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8.xml.rels" ContentType="application/vnd.openxmlformats-package.relationships+xml"/>
  <Override PartName="/xl/worksheets/_rels/sheet20.xml.rels" ContentType="application/vnd.openxmlformats-package.relationships+xml"/>
  <Override PartName="/xl/worksheets/_rels/sheet19.xml.rels" ContentType="application/vnd.openxmlformats-package.relationships+xml"/>
  <Override PartName="/xl/worksheets/_rels/sheet21.xml.rels" ContentType="application/vnd.openxmlformats-package.relationships+xml"/>
  <Override PartName="/xl/worksheets/_rels/sheet22.xml.rels" ContentType="application/vnd.openxmlformats-package.relationships+xml"/>
  <Override PartName="/xl/worksheets/_rels/sheet23.xml.rels" ContentType="application/vnd.openxmlformats-package.relationships+xml"/>
  <Override PartName="/xl/worksheets/_rels/sheet24.xml.rels" ContentType="application/vnd.openxmlformats-package.relationships+xml"/>
  <Override PartName="/xl/worksheets/_rels/sheet25.xml.rels" ContentType="application/vnd.openxmlformats-package.relationships+xml"/>
  <Override PartName="/xl/worksheets/_rels/sheet26.xml.rels" ContentType="application/vnd.openxmlformats-package.relationships+xml"/>
  <Override PartName="/xl/worksheets/_rels/sheet11.xml.rels" ContentType="application/vnd.openxmlformats-package.relationships+xml"/>
  <Override PartName="/xl/worksheets/_rels/sheet10.xml.rels" ContentType="application/vnd.openxmlformats-package.relationships+xml"/>
  <Override PartName="/xl/worksheets/_rels/sheet9.xml.rels" ContentType="application/vnd.openxmlformats-package.relationships+xml"/>
  <Override PartName="/xl/worksheets/_rels/sheet15.xml.rels" ContentType="application/vnd.openxmlformats-package.relationships+xml"/>
  <Override PartName="/xl/worksheets/_rels/sheet27.xml.rels" ContentType="application/vnd.openxmlformats-package.relationships+xml"/>
  <Override PartName="/xl/worksheets/_rels/sheet14.xml.rels" ContentType="application/vnd.openxmlformats-package.relationships+xml"/>
  <Override PartName="/xl/worksheets/_rels/sheet13.xml.rels" ContentType="application/vnd.openxmlformats-package.relationships+xml"/>
  <Override PartName="/xl/worksheets/_rels/sheet12.xml.rels" ContentType="application/vnd.openxmlformats-package.relationships+xml"/>
  <Override PartName="/xl/worksheets/_rels/sheet3.xml.rels" ContentType="application/vnd.openxmlformats-package.relationships+xml"/>
  <Override PartName="/xl/worksheets/_rels/sheet16.xml.rels" ContentType="application/vnd.openxmlformats-package.relationships+xml"/>
  <Override PartName="/xl/worksheets/_rels/sheet28.xml.rels" ContentType="application/vnd.openxmlformats-package.relationships+xml"/>
  <Override PartName="/xl/worksheets/_rels/sheet29.xml.rels" ContentType="application/vnd.openxmlformats-package.relationships+xml"/>
  <Override PartName="/xl/worksheets/_rels/sheet17.xml.rels" ContentType="application/vnd.openxmlformats-package.relationships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17.xml" ContentType="application/vnd.openxmlformats-officedocument.spreadsheetml.worksheet+xml"/>
  <Override PartName="/xl/worksheets/sheet29.xml" ContentType="application/vnd.openxmlformats-officedocument.spreadsheetml.worksheet+xml"/>
  <Override PartName="/xl/worksheets/sheet16.xml" ContentType="application/vnd.openxmlformats-officedocument.spreadsheetml.worksheet+xml"/>
  <Override PartName="/xl/worksheets/sheet15.xml" ContentType="application/vnd.openxmlformats-officedocument.spreadsheetml.worksheet+xml"/>
  <Override PartName="/xl/worksheets/sheet18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12.xml" ContentType="application/vnd.openxmlformats-officedocument.spreadsheetml.worksheet+xml"/>
  <Override PartName="/xl/worksheets/sheet7.xml" ContentType="application/vnd.openxmlformats-officedocument.spreadsheetml.worksheet+xml"/>
  <Override PartName="/xl/worksheets/sheet13.xml" ContentType="application/vnd.openxmlformats-officedocument.spreadsheetml.worksheet+xml"/>
  <Override PartName="/xl/worksheets/sheet8.xml" ContentType="application/vnd.openxmlformats-officedocument.spreadsheetml.worksheet+xml"/>
  <Override PartName="/xl/worksheets/sheet14.xml" ContentType="application/vnd.openxmlformats-officedocument.spreadsheetml.worksheet+xml"/>
  <Override PartName="/xl/worksheets/sheet9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worksheets/sheet6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xl/drawings/drawing13.xml" ContentType="application/vnd.openxmlformats-officedocument.drawing+xml"/>
  <Override PartName="/xl/drawings/drawing4.xml" ContentType="application/vnd.openxmlformats-officedocument.drawing+xml"/>
  <Override PartName="/xl/drawings/drawing9.xml" ContentType="application/vnd.openxmlformats-officedocument.drawing+xml"/>
  <Override PartName="/xl/drawings/drawing18.xml" ContentType="application/vnd.openxmlformats-officedocument.drawing+xml"/>
  <Override PartName="/xl/drawings/drawing20.xml" ContentType="application/vnd.openxmlformats-officedocument.drawing+xml"/>
  <Override PartName="/xl/drawings/_rels/drawing2.xml.rels" ContentType="application/vnd.openxmlformats-package.relationships+xml"/>
  <Override PartName="/xl/drawings/drawing12.xml" ContentType="application/vnd.openxmlformats-officedocument.drawing+xml"/>
  <Override PartName="/xl/drawings/drawing3.xml" ContentType="application/vnd.openxmlformats-officedocument.drawing+xml"/>
  <Override PartName="/xl/drawings/drawing8.xml" ContentType="application/vnd.openxmlformats-officedocument.drawing+xml"/>
  <Override PartName="/xl/drawings/drawing17.xml" ContentType="application/vnd.openxmlformats-officedocument.drawing+xml"/>
  <Override PartName="/xl/drawings/drawing22.xml" ContentType="application/vnd.openxmlformats-officedocument.drawing+xml"/>
  <Override PartName="/xl/drawings/drawing21.xml" ContentType="application/vnd.openxmlformats-officedocument.drawing+xml"/>
  <Override PartName="/xl/drawings/drawing19.xml" ContentType="application/vnd.openxmlformats-officedocument.drawing+xml"/>
  <Override PartName="/xl/drawings/drawing5.xml" ContentType="application/vnd.openxmlformats-officedocument.drawing+xml"/>
  <Override PartName="/xl/drawings/drawing14.xml" ContentType="application/vnd.openxmlformats-officedocument.drawing+xml"/>
  <Override PartName="/xl/drawings/drawing6.xml" ContentType="application/vnd.openxmlformats-officedocument.drawing+xml"/>
  <Override PartName="/xl/drawings/drawing15.xml" ContentType="application/vnd.openxmlformats-officedocument.drawing+xml"/>
  <Override PartName="/xl/drawings/drawing10.xml" ContentType="application/vnd.openxmlformats-officedocument.drawing+xml"/>
  <Override PartName="/xl/drawings/drawing1.xml" ContentType="application/vnd.openxmlformats-officedocument.drawing+xml"/>
  <Override PartName="/xl/drawings/drawing16.xml" ContentType="application/vnd.openxmlformats-officedocument.drawing+xml"/>
  <Override PartName="/xl/drawings/drawing7.xml" ContentType="application/vnd.openxmlformats-officedocument.drawing+xml"/>
  <Override PartName="/xl/drawings/drawing2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使い方" sheetId="1" state="visible" r:id="rId3"/>
    <sheet name="設定" sheetId="2" state="visible" r:id="rId4"/>
    <sheet name="名簿" sheetId="3" state="visible" r:id="rId5"/>
    <sheet name="入力状況" sheetId="4" state="visible" r:id="rId6"/>
    <sheet name="コース別名簿" sheetId="5" state="visible" r:id="rId7"/>
    <sheet name="学級別_評価" sheetId="6" state="visible" r:id="rId8"/>
    <sheet name="学級別_所見" sheetId="7" state="visible" r:id="rId9"/>
    <sheet name="個人票" sheetId="8" state="visible" r:id="rId10"/>
    <sheet name="コース別分析" sheetId="9" state="visible" r:id="rId11"/>
    <sheet name="単元01" sheetId="10" state="visible" r:id="rId12"/>
    <sheet name="単元02" sheetId="11" state="visible" r:id="rId13"/>
    <sheet name="単元03" sheetId="12" state="visible" r:id="rId14"/>
    <sheet name="単元04" sheetId="13" state="visible" r:id="rId15"/>
    <sheet name="単元05" sheetId="14" state="visible" r:id="rId16"/>
    <sheet name="単元06" sheetId="15" state="visible" r:id="rId17"/>
    <sheet name="単元07" sheetId="16" state="visible" r:id="rId18"/>
    <sheet name="単元08" sheetId="17" state="visible" r:id="rId19"/>
    <sheet name="単元09" sheetId="18" state="visible" r:id="rId20"/>
    <sheet name="単元10" sheetId="19" state="visible" r:id="rId21"/>
    <sheet name="単元11" sheetId="20" state="visible" r:id="rId22"/>
    <sheet name="単元12" sheetId="21" state="visible" r:id="rId23"/>
    <sheet name="単元13" sheetId="22" state="visible" r:id="rId24"/>
    <sheet name="単元14" sheetId="23" state="visible" r:id="rId25"/>
    <sheet name="単元15" sheetId="24" state="visible" r:id="rId26"/>
    <sheet name="単元16" sheetId="25" state="visible" r:id="rId27"/>
    <sheet name="単元17" sheetId="26" state="visible" r:id="rId28"/>
    <sheet name="単元18" sheetId="27" state="visible" r:id="rId29"/>
    <sheet name="単元19" sheetId="28" state="visible" r:id="rId30"/>
    <sheet name="単元20" sheetId="29" state="visible" r:id="rId31"/>
  </sheets>
  <definedNames>
    <definedName name="_xlnm.Print_Area" localSheetId="4">'コース別名簿'!$A$1:INDEX('コース別名簿'!$A$1:$AI$50,5+MAX(1,'コース別名簿'!$AZ$2),MAX(1,'コース別名簿'!$AZ$3)*7-1)</definedName>
    <definedName function="false" hidden="false" localSheetId="7" name="_xlnm.Print_Area" vbProcedure="false">個人票!$A$1:$I$36</definedName>
    <definedName function="false" hidden="false" localSheetId="3" name="_xlnm.Print_Area" vbProcedure="false">入力状況!$A$1:$V$25</definedName>
    <definedName function="false" hidden="false" localSheetId="9" name="_xlnm.Print_Area" vbProcedure="false">単元01!$A$1:$I$164</definedName>
    <definedName function="false" hidden="false" localSheetId="9" name="_xlnm.Print_Titles" vbProcedure="false">単元01!$4:$4</definedName>
    <definedName function="false" hidden="true" localSheetId="9" name="_xlnm._FilterDatabase" vbProcedure="false">単元01!$A$4:$I$164</definedName>
    <definedName function="false" hidden="false" localSheetId="10" name="_xlnm.Print_Area" vbProcedure="false">単元02!$A$1:$I$164</definedName>
    <definedName function="false" hidden="false" localSheetId="10" name="_xlnm.Print_Titles" vbProcedure="false">単元02!$4:$4</definedName>
    <definedName function="false" hidden="true" localSheetId="10" name="_xlnm._FilterDatabase" vbProcedure="false">単元02!$A$4:$I$164</definedName>
    <definedName function="false" hidden="false" localSheetId="11" name="_xlnm.Print_Area" vbProcedure="false">単元03!$A$1:$I$164</definedName>
    <definedName function="false" hidden="false" localSheetId="11" name="_xlnm.Print_Titles" vbProcedure="false">単元03!$4:$4</definedName>
    <definedName function="false" hidden="true" localSheetId="11" name="_xlnm._FilterDatabase" vbProcedure="false">単元03!$A$4:$I$164</definedName>
    <definedName function="false" hidden="false" localSheetId="12" name="_xlnm.Print_Area" vbProcedure="false">単元04!$A$1:$I$164</definedName>
    <definedName function="false" hidden="false" localSheetId="12" name="_xlnm.Print_Titles" vbProcedure="false">単元04!$4:$4</definedName>
    <definedName function="false" hidden="true" localSheetId="12" name="_xlnm._FilterDatabase" vbProcedure="false">単元04!$A$4:$I$164</definedName>
    <definedName function="false" hidden="false" localSheetId="13" name="_xlnm.Print_Area" vbProcedure="false">単元05!$A$1:$I$164</definedName>
    <definedName function="false" hidden="false" localSheetId="13" name="_xlnm.Print_Titles" vbProcedure="false">単元05!$4:$4</definedName>
    <definedName function="false" hidden="true" localSheetId="13" name="_xlnm._FilterDatabase" vbProcedure="false">単元05!$A$4:$I$164</definedName>
    <definedName function="false" hidden="false" localSheetId="14" name="_xlnm.Print_Area" vbProcedure="false">単元06!$A$1:$I$164</definedName>
    <definedName function="false" hidden="false" localSheetId="14" name="_xlnm.Print_Titles" vbProcedure="false">単元06!$4:$4</definedName>
    <definedName function="false" hidden="true" localSheetId="14" name="_xlnm._FilterDatabase" vbProcedure="false">単元06!$A$4:$I$164</definedName>
    <definedName function="false" hidden="false" localSheetId="15" name="_xlnm.Print_Area" vbProcedure="false">単元07!$A$1:$I$164</definedName>
    <definedName function="false" hidden="false" localSheetId="15" name="_xlnm.Print_Titles" vbProcedure="false">単元07!$4:$4</definedName>
    <definedName function="false" hidden="true" localSheetId="15" name="_xlnm._FilterDatabase" vbProcedure="false">単元07!$A$4:$I$164</definedName>
    <definedName function="false" hidden="false" localSheetId="16" name="_xlnm.Print_Area" vbProcedure="false">単元08!$A$1:$I$164</definedName>
    <definedName function="false" hidden="false" localSheetId="16" name="_xlnm.Print_Titles" vbProcedure="false">単元08!$4:$4</definedName>
    <definedName function="false" hidden="true" localSheetId="16" name="_xlnm._FilterDatabase" vbProcedure="false">単元08!$A$4:$I$164</definedName>
    <definedName function="false" hidden="false" localSheetId="17" name="_xlnm.Print_Area" vbProcedure="false">単元09!$A$1:$I$164</definedName>
    <definedName function="false" hidden="false" localSheetId="17" name="_xlnm.Print_Titles" vbProcedure="false">単元09!$4:$4</definedName>
    <definedName function="false" hidden="true" localSheetId="17" name="_xlnm._FilterDatabase" vbProcedure="false">単元09!$A$4:$I$164</definedName>
    <definedName function="false" hidden="false" localSheetId="18" name="_xlnm.Print_Area" vbProcedure="false">単元10!$A$1:$I$164</definedName>
    <definedName function="false" hidden="false" localSheetId="18" name="_xlnm.Print_Titles" vbProcedure="false">単元10!$4:$4</definedName>
    <definedName function="false" hidden="true" localSheetId="18" name="_xlnm._FilterDatabase" vbProcedure="false">単元10!$A$4:$I$164</definedName>
    <definedName function="false" hidden="false" localSheetId="19" name="_xlnm.Print_Area" vbProcedure="false">単元11!$A$1:$I$164</definedName>
    <definedName function="false" hidden="false" localSheetId="19" name="_xlnm.Print_Titles" vbProcedure="false">単元11!$4:$4</definedName>
    <definedName function="false" hidden="true" localSheetId="19" name="_xlnm._FilterDatabase" vbProcedure="false">単元11!$A$4:$I$164</definedName>
    <definedName function="false" hidden="false" localSheetId="20" name="_xlnm.Print_Area" vbProcedure="false">単元12!$A$1:$I$164</definedName>
    <definedName function="false" hidden="false" localSheetId="20" name="_xlnm.Print_Titles" vbProcedure="false">単元12!$4:$4</definedName>
    <definedName function="false" hidden="true" localSheetId="20" name="_xlnm._FilterDatabase" vbProcedure="false">単元12!$A$4:$I$164</definedName>
    <definedName function="false" hidden="false" localSheetId="21" name="_xlnm.Print_Area" vbProcedure="false">単元13!$A$1:$I$164</definedName>
    <definedName function="false" hidden="false" localSheetId="21" name="_xlnm.Print_Titles" vbProcedure="false">単元13!$4:$4</definedName>
    <definedName function="false" hidden="true" localSheetId="21" name="_xlnm._FilterDatabase" vbProcedure="false">単元13!$A$4:$I$164</definedName>
    <definedName function="false" hidden="false" localSheetId="22" name="_xlnm.Print_Area" vbProcedure="false">単元14!$A$1:$I$164</definedName>
    <definedName function="false" hidden="false" localSheetId="22" name="_xlnm.Print_Titles" vbProcedure="false">単元14!$4:$4</definedName>
    <definedName function="false" hidden="true" localSheetId="22" name="_xlnm._FilterDatabase" vbProcedure="false">単元14!$A$4:$I$164</definedName>
    <definedName function="false" hidden="false" localSheetId="23" name="_xlnm.Print_Area" vbProcedure="false">単元15!$A$1:$I$164</definedName>
    <definedName function="false" hidden="false" localSheetId="23" name="_xlnm.Print_Titles" vbProcedure="false">単元15!$4:$4</definedName>
    <definedName function="false" hidden="true" localSheetId="23" name="_xlnm._FilterDatabase" vbProcedure="false">単元15!$A$4:$I$164</definedName>
    <definedName function="false" hidden="false" localSheetId="24" name="_xlnm.Print_Area" vbProcedure="false">単元16!$A$1:$I$164</definedName>
    <definedName function="false" hidden="false" localSheetId="24" name="_xlnm.Print_Titles" vbProcedure="false">単元16!$4:$4</definedName>
    <definedName function="false" hidden="true" localSheetId="24" name="_xlnm._FilterDatabase" vbProcedure="false">単元16!$A$4:$I$164</definedName>
    <definedName function="false" hidden="false" localSheetId="25" name="_xlnm.Print_Area" vbProcedure="false">単元17!$A$1:$I$164</definedName>
    <definedName function="false" hidden="false" localSheetId="25" name="_xlnm.Print_Titles" vbProcedure="false">単元17!$4:$4</definedName>
    <definedName function="false" hidden="true" localSheetId="25" name="_xlnm._FilterDatabase" vbProcedure="false">単元17!$A$4:$I$164</definedName>
    <definedName function="false" hidden="false" localSheetId="26" name="_xlnm.Print_Area" vbProcedure="false">単元18!$A$1:$I$164</definedName>
    <definedName function="false" hidden="false" localSheetId="26" name="_xlnm.Print_Titles" vbProcedure="false">単元18!$4:$4</definedName>
    <definedName function="false" hidden="true" localSheetId="26" name="_xlnm._FilterDatabase" vbProcedure="false">単元18!$A$4:$I$164</definedName>
    <definedName function="false" hidden="false" localSheetId="27" name="_xlnm.Print_Area" vbProcedure="false">単元19!$A$1:$I$164</definedName>
    <definedName function="false" hidden="false" localSheetId="27" name="_xlnm.Print_Titles" vbProcedure="false">単元19!$4:$4</definedName>
    <definedName function="false" hidden="true" localSheetId="27" name="_xlnm._FilterDatabase" vbProcedure="false">単元19!$A$4:$I$164</definedName>
    <definedName function="false" hidden="false" localSheetId="28" name="_xlnm.Print_Area" vbProcedure="false">単元20!$A$1:$I$164</definedName>
    <definedName function="false" hidden="false" localSheetId="28" name="_xlnm.Print_Titles" vbProcedure="false">単元20!$4:$4</definedName>
    <definedName function="false" hidden="true" localSheetId="28" name="_xlnm._FilterDatabase" vbProcedure="false">単元20!$A$4:$I$164</definedName>
    <definedName function="false" hidden="true" localSheetId="2" name="_xlnm._FilterDatabase" vbProcedure="false">名簿!$A$4:$F$164</definedName>
    <definedName function="false" hidden="false" localSheetId="6" name="_xlnm.Print_Titles" vbProcedure="false">学級別_所見!$A:$B</definedName>
    <definedName function="false" hidden="false" localSheetId="5" name="_xlnm.Print_Titles" vbProcedure="false">学級別_評価!$A:$B</definedName>
    <definedName function="false" hidden="false" name="コース一覧" vbProcedure="false">OFFSET(設定!$D$8,0,0,MAX(1,COUNTA(設定!$D$8:$D$12)),1)</definedName>
    <definedName function="false" hidden="false" name="学期一覧" vbProcedure="false">OFFSET(設定!$N$8,0,0,IF(設定!$I$4="前期・後期",2,3),1)</definedName>
    <definedName function="false" hidden="false" name="学期選択" vbProcedure="false">OFFSET(設定!$O$8,0,0,IF(設定!$I$4="前期・後期",3,4),1)</definedName>
    <definedName function="false" hidden="false" name="学級一覧" vbProcedure="false">OFFSET(設定!$B$8,0,0,MAX(1,COUNTA(設定!$B$8:$B$12)),1)</definedName>
    <definedName function="false" hidden="false" name="担当者一覧" vbProcedure="false">OFFSET(設定!$E$8,0,0,MAX(1,COUNTA(設定!$E$8:$E$13)),1)</definedName>
    <definedName function="false" hidden="false" name="評価記号" vbProcedure="false">設定!$G$8:$G$10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<sst xmlns="http://schemas.openxmlformats.org/spreadsheetml/2006/main" count="676" uniqueCount="176">
  <si>
    <t xml:space="preserve">算数少人数　コース分け・成績入力ファイル</t>
  </si>
  <si>
    <t xml:space="preserve">マクロなし。黄色のセルだけ入力します。それ以外は自動で計算・表示されます。</t>
  </si>
  <si>
    <t xml:space="preserve">入力</t>
  </si>
  <si>
    <t xml:space="preserve">← このセルに入力</t>
  </si>
  <si>
    <t xml:space="preserve">年度はじめ</t>
  </si>
  <si>
    <t xml:space="preserve">1</t>
  </si>
  <si>
    <t xml:space="preserve">設定</t>
  </si>
  <si>
    <t xml:space="preserve">年度・学年・学期制・学級名・コース名・担当者・評価記号・観点名・単元一覧を入力。総括の目安と所見の字数上限もここで決める</t>
  </si>
  <si>
    <t xml:space="preserve">2</t>
  </si>
  <si>
    <t xml:space="preserve">名簿</t>
  </si>
  <si>
    <t xml:space="preserve">組・番号・氏名・ふりがなを入力（氏名は姓と名の間に全角スペース。貼り付けは「値の貼り付け」）</t>
  </si>
  <si>
    <t xml:space="preserve">単元ごと</t>
  </si>
  <si>
    <t xml:space="preserve">3</t>
  </si>
  <si>
    <r>
      <rPr>
        <b val="true"/>
        <sz val="11"/>
        <color rgb="FF262626"/>
        <rFont val="Noto Sans CJK SC"/>
        <family val="2"/>
      </rPr>
      <t xml:space="preserve">単元</t>
    </r>
    <r>
      <rPr>
        <b val="true"/>
        <sz val="11"/>
        <color rgb="FF262626"/>
        <rFont val="BIZ UDPゴシック"/>
        <family val="0"/>
        <charset val="1"/>
      </rPr>
      <t xml:space="preserve">01</t>
    </r>
    <r>
      <rPr>
        <b val="true"/>
        <sz val="11"/>
        <color rgb="FF262626"/>
        <rFont val="Noto Sans CJK SC"/>
        <family val="2"/>
      </rPr>
      <t xml:space="preserve">〜</t>
    </r>
    <r>
      <rPr>
        <b val="true"/>
        <sz val="11"/>
        <color rgb="FF262626"/>
        <rFont val="BIZ UDPゴシック"/>
        <family val="0"/>
        <charset val="1"/>
      </rPr>
      <t xml:space="preserve">20</t>
    </r>
  </si>
  <si>
    <t xml:space="preserve">左上の「コース分け」を選ぶ（習熟度別／前の単元と同じ／学級ごと）</t>
  </si>
  <si>
    <t xml:space="preserve">4</t>
  </si>
  <si>
    <t xml:space="preserve">（任意）右端の「事前テスト」「希望コース」を入力 → 希望と違う子はオレンジ</t>
  </si>
  <si>
    <t xml:space="preserve">5</t>
  </si>
  <si>
    <r>
      <rPr>
        <sz val="11"/>
        <color rgb="FF262626"/>
        <rFont val="BIZ UDPゴシック"/>
        <family val="0"/>
        <charset val="1"/>
      </rPr>
      <t xml:space="preserve">D</t>
    </r>
    <r>
      <rPr>
        <sz val="11"/>
        <color rgb="FF262626"/>
        <rFont val="Noto Sans CJK SC"/>
        <family val="2"/>
      </rPr>
      <t xml:space="preserve">列「コース」で一人ずつ選ぶ。右上の表で担当者を選び、人数を確認</t>
    </r>
  </si>
  <si>
    <t xml:space="preserve">6</t>
  </si>
  <si>
    <t xml:space="preserve">コース別名簿</t>
  </si>
  <si>
    <r>
      <rPr>
        <sz val="11"/>
        <color rgb="FF262626"/>
        <rFont val="Noto Sans CJK SC"/>
        <family val="2"/>
      </rPr>
      <t xml:space="preserve">単元番号を選ぶと、コースごとの名簿が並ぶ（</t>
    </r>
    <r>
      <rPr>
        <sz val="11"/>
        <color rgb="FF262626"/>
        <rFont val="BIZ UDPゴシック"/>
        <family val="0"/>
        <charset val="1"/>
      </rPr>
      <t xml:space="preserve">A4</t>
    </r>
    <r>
      <rPr>
        <sz val="11"/>
        <color rgb="FF262626"/>
        <rFont val="Noto Sans CJK SC"/>
        <family val="2"/>
      </rPr>
      <t xml:space="preserve">横</t>
    </r>
    <r>
      <rPr>
        <sz val="11"/>
        <color rgb="FF262626"/>
        <rFont val="BIZ UDPゴシック"/>
        <family val="0"/>
        <charset val="1"/>
      </rPr>
      <t xml:space="preserve">1</t>
    </r>
    <r>
      <rPr>
        <sz val="11"/>
        <color rgb="FF262626"/>
        <rFont val="Noto Sans CJK SC"/>
        <family val="2"/>
      </rPr>
      <t xml:space="preserve">枚で印刷）</t>
    </r>
  </si>
  <si>
    <t xml:space="preserve">7</t>
  </si>
  <si>
    <r>
      <rPr>
        <sz val="11"/>
        <color rgb="FF262626"/>
        <rFont val="Noto Sans CJK SC"/>
        <family val="2"/>
      </rPr>
      <t xml:space="preserve">▼で「決定コース」を自分のコースに絞り込み、</t>
    </r>
    <r>
      <rPr>
        <sz val="11"/>
        <color rgb="FF262626"/>
        <rFont val="BIZ UDPゴシック"/>
        <family val="0"/>
        <charset val="1"/>
      </rPr>
      <t xml:space="preserve">3</t>
    </r>
    <r>
      <rPr>
        <sz val="11"/>
        <color rgb="FF262626"/>
        <rFont val="Noto Sans CJK SC"/>
        <family val="2"/>
      </rPr>
      <t xml:space="preserve">観点と所見を入力（字数オーバーは赤）。右端に単元テストの満点・観点別得点を入れると評価の目安が出る</t>
    </r>
  </si>
  <si>
    <t xml:space="preserve">8</t>
  </si>
  <si>
    <t xml:space="preserve">入力状況</t>
  </si>
  <si>
    <r>
      <rPr>
        <sz val="11"/>
        <color rgb="FF262626"/>
        <rFont val="Noto Sans CJK SC"/>
        <family val="2"/>
      </rPr>
      <t xml:space="preserve">単元</t>
    </r>
    <r>
      <rPr>
        <sz val="11"/>
        <color rgb="FF262626"/>
        <rFont val="BIZ UDPゴシック"/>
        <family val="0"/>
        <charset val="1"/>
      </rPr>
      <t xml:space="preserve">×</t>
    </r>
    <r>
      <rPr>
        <sz val="11"/>
        <color rgb="FF262626"/>
        <rFont val="Noto Sans CJK SC"/>
        <family val="2"/>
      </rPr>
      <t xml:space="preserve">コースごとに、コース未定・評価の未入力の人数を確認</t>
    </r>
  </si>
  <si>
    <t xml:space="preserve">学期末</t>
  </si>
  <si>
    <t xml:space="preserve">9</t>
  </si>
  <si>
    <r>
      <rPr>
        <b val="true"/>
        <sz val="11"/>
        <color rgb="FF262626"/>
        <rFont val="Noto Sans CJK SC"/>
        <family val="2"/>
      </rPr>
      <t xml:space="preserve">学級別</t>
    </r>
    <r>
      <rPr>
        <b val="true"/>
        <sz val="11"/>
        <color rgb="FF262626"/>
        <rFont val="BIZ UDPゴシック"/>
        <family val="0"/>
        <charset val="1"/>
      </rPr>
      <t xml:space="preserve">_</t>
    </r>
    <r>
      <rPr>
        <b val="true"/>
        <sz val="11"/>
        <color rgb="FF262626"/>
        <rFont val="Noto Sans CJK SC"/>
        <family val="2"/>
      </rPr>
      <t xml:space="preserve">評価</t>
    </r>
  </si>
  <si>
    <r>
      <rPr>
        <sz val="11"/>
        <color rgb="FF262626"/>
        <rFont val="Noto Sans CJK SC"/>
        <family val="2"/>
      </rPr>
      <t xml:space="preserve">組と学期を選ぶと、観点別評価・</t>
    </r>
    <r>
      <rPr>
        <sz val="11"/>
        <color rgb="FF262626"/>
        <rFont val="BIZ UDPゴシック"/>
        <family val="0"/>
        <charset val="1"/>
      </rPr>
      <t xml:space="preserve">A/B/C</t>
    </r>
    <r>
      <rPr>
        <sz val="11"/>
        <color rgb="FF262626"/>
        <rFont val="Noto Sans CJK SC"/>
        <family val="2"/>
      </rPr>
      <t xml:space="preserve">の数・総括の目安が一覧に。濃い赤＝同じ観点で</t>
    </r>
    <r>
      <rPr>
        <sz val="11"/>
        <color rgb="FF262626"/>
        <rFont val="BIZ UDPゴシック"/>
        <family val="0"/>
        <charset val="1"/>
      </rPr>
      <t xml:space="preserve">2</t>
    </r>
    <r>
      <rPr>
        <sz val="11"/>
        <color rgb="FF262626"/>
        <rFont val="Noto Sans CJK SC"/>
        <family val="2"/>
      </rPr>
      <t xml:space="preserve">単元続けて</t>
    </r>
    <r>
      <rPr>
        <sz val="11"/>
        <color rgb="FF262626"/>
        <rFont val="BIZ UDPゴシック"/>
        <family val="0"/>
        <charset val="1"/>
      </rPr>
      <t xml:space="preserve">C</t>
    </r>
  </si>
  <si>
    <t xml:space="preserve">10</t>
  </si>
  <si>
    <r>
      <rPr>
        <b val="true"/>
        <sz val="11"/>
        <color rgb="FF262626"/>
        <rFont val="Noto Sans CJK SC"/>
        <family val="2"/>
      </rPr>
      <t xml:space="preserve">学級別</t>
    </r>
    <r>
      <rPr>
        <b val="true"/>
        <sz val="11"/>
        <color rgb="FF262626"/>
        <rFont val="BIZ UDPゴシック"/>
        <family val="0"/>
        <charset val="1"/>
      </rPr>
      <t xml:space="preserve">_</t>
    </r>
    <r>
      <rPr>
        <b val="true"/>
        <sz val="11"/>
        <color rgb="FF262626"/>
        <rFont val="Noto Sans CJK SC"/>
        <family val="2"/>
      </rPr>
      <t xml:space="preserve">所見</t>
    </r>
  </si>
  <si>
    <t xml:space="preserve">組と学期を選ぶと、その学期の単元のコースと所見だけが左から並ぶ</t>
  </si>
  <si>
    <t xml:space="preserve">11</t>
  </si>
  <si>
    <t xml:space="preserve">個人票</t>
  </si>
  <si>
    <r>
      <rPr>
        <sz val="11"/>
        <color rgb="FF262626"/>
        <rFont val="Noto Sans CJK SC"/>
        <family val="2"/>
      </rPr>
      <t xml:space="preserve">組と番号を選ぶと、</t>
    </r>
    <r>
      <rPr>
        <sz val="11"/>
        <color rgb="FF262626"/>
        <rFont val="BIZ UDPゴシック"/>
        <family val="0"/>
        <charset val="1"/>
      </rPr>
      <t xml:space="preserve">1</t>
    </r>
    <r>
      <rPr>
        <sz val="11"/>
        <color rgb="FF262626"/>
        <rFont val="Noto Sans CJK SC"/>
        <family val="2"/>
      </rPr>
      <t xml:space="preserve">人分の記録と学期ごとのまとめが</t>
    </r>
    <r>
      <rPr>
        <sz val="11"/>
        <color rgb="FF262626"/>
        <rFont val="BIZ UDPゴシック"/>
        <family val="0"/>
        <charset val="1"/>
      </rPr>
      <t xml:space="preserve">1</t>
    </r>
    <r>
      <rPr>
        <sz val="11"/>
        <color rgb="FF262626"/>
        <rFont val="Noto Sans CJK SC"/>
        <family val="2"/>
      </rPr>
      <t xml:space="preserve">枚に（面談・引き継ぎ用）</t>
    </r>
  </si>
  <si>
    <t xml:space="preserve">12</t>
  </si>
  <si>
    <t xml:space="preserve">コース別分析</t>
  </si>
  <si>
    <r>
      <rPr>
        <sz val="11"/>
        <color rgb="FF262626"/>
        <rFont val="Noto Sans CJK SC"/>
        <family val="2"/>
      </rPr>
      <t xml:space="preserve">単元を選ぶと、コースごとの</t>
    </r>
    <r>
      <rPr>
        <sz val="11"/>
        <color rgb="FF262626"/>
        <rFont val="BIZ UDPゴシック"/>
        <family val="0"/>
        <charset val="1"/>
      </rPr>
      <t xml:space="preserve">A</t>
    </r>
    <r>
      <rPr>
        <sz val="11"/>
        <color rgb="FF262626"/>
        <rFont val="Noto Sans CJK SC"/>
        <family val="2"/>
      </rPr>
      <t xml:space="preserve">・</t>
    </r>
    <r>
      <rPr>
        <sz val="11"/>
        <color rgb="FF262626"/>
        <rFont val="BIZ UDPゴシック"/>
        <family val="0"/>
        <charset val="1"/>
      </rPr>
      <t xml:space="preserve">B</t>
    </r>
    <r>
      <rPr>
        <sz val="11"/>
        <color rgb="FF262626"/>
        <rFont val="Noto Sans CJK SC"/>
        <family val="2"/>
      </rPr>
      <t xml:space="preserve">・</t>
    </r>
    <r>
      <rPr>
        <sz val="11"/>
        <color rgb="FF262626"/>
        <rFont val="BIZ UDPゴシック"/>
        <family val="0"/>
        <charset val="1"/>
      </rPr>
      <t xml:space="preserve">C</t>
    </r>
    <r>
      <rPr>
        <sz val="11"/>
        <color rgb="FF262626"/>
        <rFont val="Noto Sans CJK SC"/>
        <family val="2"/>
      </rPr>
      <t xml:space="preserve">の割合とグラフ。単元ごとの推移も（授業の振り返り用）</t>
    </r>
  </si>
  <si>
    <t xml:space="preserve">やってはいけないこと</t>
  </si>
  <si>
    <t xml:space="preserve">×</t>
  </si>
  <si>
    <t xml:space="preserve">名簿の並べ替え・行の削除・行の挿入（単元シートの評価と行がずれます）</t>
  </si>
  <si>
    <r>
      <rPr>
        <sz val="11"/>
        <color rgb="FF262626"/>
        <rFont val="Noto Sans CJK SC"/>
        <family val="2"/>
      </rPr>
      <t xml:space="preserve">単元シートの並べ替え（▼での絞り込みは</t>
    </r>
    <r>
      <rPr>
        <sz val="11"/>
        <color rgb="FF262626"/>
        <rFont val="BIZ UDPゴシック"/>
        <family val="0"/>
        <charset val="1"/>
      </rPr>
      <t xml:space="preserve">OK</t>
    </r>
    <r>
      <rPr>
        <sz val="11"/>
        <color rgb="FF262626"/>
        <rFont val="Noto Sans CJK SC"/>
        <family val="2"/>
      </rPr>
      <t xml:space="preserve">。並べ替えはロックでできないようにしています）</t>
    </r>
  </si>
  <si>
    <t xml:space="preserve">黄色以外のセルへの入力・削除</t>
  </si>
  <si>
    <t xml:space="preserve">年度途中の変更</t>
  </si>
  <si>
    <t xml:space="preserve">転入</t>
  </si>
  <si>
    <t xml:space="preserve">名簿の一番下の空いている行に追加</t>
  </si>
  <si>
    <t xml:space="preserve">転出</t>
  </si>
  <si>
    <t xml:space="preserve">行は消さずに、名簿の備考で「転出」を選ぶ（コース名簿から外れ、入力済みの評価は残る）</t>
  </si>
  <si>
    <t xml:space="preserve">姓の変更</t>
  </si>
  <si>
    <t xml:space="preserve">名簿の氏名を書き換えるだけ</t>
  </si>
  <si>
    <t xml:space="preserve">コース名の変更</t>
  </si>
  <si>
    <r>
      <rPr>
        <sz val="11"/>
        <color rgb="FF262626"/>
        <rFont val="Noto Sans CJK SC"/>
        <family val="2"/>
      </rPr>
      <t xml:space="preserve">設定で書き換える。すでに選んだ単元は</t>
    </r>
    <r>
      <rPr>
        <sz val="11"/>
        <color rgb="FF262626"/>
        <rFont val="BIZ UDPゴシック"/>
        <family val="0"/>
        <charset val="1"/>
      </rPr>
      <t xml:space="preserve">D</t>
    </r>
    <r>
      <rPr>
        <sz val="11"/>
        <color rgb="FF262626"/>
        <rFont val="Noto Sans CJK SC"/>
        <family val="2"/>
      </rPr>
      <t xml:space="preserve">列を選び直す</t>
    </r>
  </si>
  <si>
    <t xml:space="preserve">シート保護</t>
  </si>
  <si>
    <t xml:space="preserve">黄色のセル以外はロック済み（パスワードなし）。直したいときは［校閲］→［シート保護の解除］、終わったら［シートの保護］で戻す</t>
  </si>
  <si>
    <t xml:space="preserve">貼り付け</t>
  </si>
  <si>
    <r>
      <rPr>
        <sz val="11"/>
        <color rgb="FF262626"/>
        <rFont val="Noto Sans CJK SC"/>
        <family val="2"/>
      </rPr>
      <t xml:space="preserve">名簿などに他のファイルから貼るときは［値の貼り付け］（</t>
    </r>
    <r>
      <rPr>
        <sz val="11"/>
        <color rgb="FF262626"/>
        <rFont val="BIZ UDPゴシック"/>
        <family val="0"/>
        <charset val="1"/>
      </rPr>
      <t xml:space="preserve">Ctrl</t>
    </r>
    <r>
      <rPr>
        <sz val="11"/>
        <color rgb="FF262626"/>
        <rFont val="Noto Sans CJK SC"/>
        <family val="2"/>
      </rPr>
      <t xml:space="preserve">＋</t>
    </r>
    <r>
      <rPr>
        <sz val="11"/>
        <color rgb="FF262626"/>
        <rFont val="BIZ UDPゴシック"/>
        <family val="0"/>
        <charset val="1"/>
      </rPr>
      <t xml:space="preserve">Shift</t>
    </r>
    <r>
      <rPr>
        <sz val="11"/>
        <color rgb="FF262626"/>
        <rFont val="Noto Sans CJK SC"/>
        <family val="2"/>
      </rPr>
      <t xml:space="preserve">＋</t>
    </r>
    <r>
      <rPr>
        <sz val="11"/>
        <color rgb="FF262626"/>
        <rFont val="BIZ UDPゴシック"/>
        <family val="0"/>
        <charset val="1"/>
      </rPr>
      <t xml:space="preserve">V </t>
    </r>
    <r>
      <rPr>
        <sz val="11"/>
        <color rgb="FF262626"/>
        <rFont val="Noto Sans CJK SC"/>
        <family val="2"/>
      </rPr>
      <t xml:space="preserve">など）を使う。ふつうに貼ると、貼ったセルがロックされることがある</t>
    </r>
  </si>
  <si>
    <t xml:space="preserve">黄色のセルに入力します。リストは上から詰めて入力してください。</t>
  </si>
  <si>
    <t xml:space="preserve">年度</t>
  </si>
  <si>
    <r>
      <rPr>
        <sz val="9"/>
        <color rgb="FF7F7F7F"/>
        <rFont val="Noto Sans CJK SC"/>
        <family val="2"/>
      </rPr>
      <t xml:space="preserve">例：</t>
    </r>
    <r>
      <rPr>
        <sz val="9"/>
        <color rgb="FF7F7F7F"/>
        <rFont val="BIZ UDPゴシック"/>
        <family val="0"/>
        <charset val="1"/>
      </rPr>
      <t xml:space="preserve">2026</t>
    </r>
  </si>
  <si>
    <t xml:space="preserve">学期制</t>
  </si>
  <si>
    <r>
      <rPr>
        <b val="true"/>
        <sz val="12"/>
        <color rgb="FF262626"/>
        <rFont val="BIZ UDPゴシック"/>
        <family val="0"/>
        <charset val="1"/>
      </rPr>
      <t xml:space="preserve">3</t>
    </r>
    <r>
      <rPr>
        <b val="true"/>
        <sz val="12"/>
        <color rgb="FF262626"/>
        <rFont val="Noto Sans CJK SC"/>
        <family val="2"/>
      </rPr>
      <t xml:space="preserve">学期制</t>
    </r>
  </si>
  <si>
    <t xml:space="preserve">学年</t>
  </si>
  <si>
    <r>
      <rPr>
        <sz val="9"/>
        <color rgb="FF7F7F7F"/>
        <rFont val="Noto Sans CJK SC"/>
        <family val="2"/>
      </rPr>
      <t xml:space="preserve">例：</t>
    </r>
    <r>
      <rPr>
        <sz val="9"/>
        <color rgb="FF7F7F7F"/>
        <rFont val="BIZ UDPゴシック"/>
        <family val="0"/>
        <charset val="1"/>
      </rPr>
      <t xml:space="preserve">5</t>
    </r>
    <r>
      <rPr>
        <sz val="9"/>
        <color rgb="FF7F7F7F"/>
        <rFont val="Noto Sans CJK SC"/>
        <family val="2"/>
      </rPr>
      <t xml:space="preserve">年</t>
    </r>
  </si>
  <si>
    <t xml:space="preserve">学期の選択肢が切り替わります</t>
  </si>
  <si>
    <t xml:space="preserve">学級名</t>
  </si>
  <si>
    <t xml:space="preserve">習熟コース名</t>
  </si>
  <si>
    <t xml:space="preserve">担当者</t>
  </si>
  <si>
    <t xml:space="preserve">評価記号</t>
  </si>
  <si>
    <t xml:space="preserve">略</t>
  </si>
  <si>
    <t xml:space="preserve">観点名</t>
  </si>
  <si>
    <t xml:space="preserve">学期</t>
  </si>
  <si>
    <t xml:space="preserve">選択</t>
  </si>
  <si>
    <r>
      <rPr>
        <sz val="11"/>
        <color rgb="FF262626"/>
        <rFont val="BIZ UDPゴシック"/>
        <family val="0"/>
        <charset val="1"/>
      </rPr>
      <t xml:space="preserve">1</t>
    </r>
    <r>
      <rPr>
        <sz val="11"/>
        <color rgb="FF262626"/>
        <rFont val="Noto Sans CJK SC"/>
        <family val="2"/>
      </rPr>
      <t xml:space="preserve">組</t>
    </r>
  </si>
  <si>
    <t xml:space="preserve">深める</t>
  </si>
  <si>
    <t xml:space="preserve">A</t>
  </si>
  <si>
    <t xml:space="preserve">知</t>
  </si>
  <si>
    <t xml:space="preserve">知識・技能</t>
  </si>
  <si>
    <t xml:space="preserve">通年</t>
  </si>
  <si>
    <r>
      <rPr>
        <sz val="11"/>
        <color rgb="FF262626"/>
        <rFont val="BIZ UDPゴシック"/>
        <family val="0"/>
        <charset val="1"/>
      </rPr>
      <t xml:space="preserve">2</t>
    </r>
    <r>
      <rPr>
        <sz val="11"/>
        <color rgb="FF262626"/>
        <rFont val="Noto Sans CJK SC"/>
        <family val="2"/>
      </rPr>
      <t xml:space="preserve">組</t>
    </r>
  </si>
  <si>
    <r>
      <rPr>
        <sz val="11"/>
        <color rgb="FF262626"/>
        <rFont val="Noto Sans CJK SC"/>
        <family val="2"/>
      </rPr>
      <t xml:space="preserve">広げる</t>
    </r>
    <r>
      <rPr>
        <sz val="11"/>
        <color rgb="FF262626"/>
        <rFont val="BIZ UDPゴシック"/>
        <family val="0"/>
        <charset val="1"/>
      </rPr>
      <t xml:space="preserve">A</t>
    </r>
  </si>
  <si>
    <t xml:space="preserve">B</t>
  </si>
  <si>
    <t xml:space="preserve">思</t>
  </si>
  <si>
    <t xml:space="preserve">思考・判断・表現</t>
  </si>
  <si>
    <r>
      <rPr>
        <sz val="11"/>
        <color rgb="FF262626"/>
        <rFont val="BIZ UDPゴシック"/>
        <family val="0"/>
        <charset val="1"/>
      </rPr>
      <t xml:space="preserve">3</t>
    </r>
    <r>
      <rPr>
        <sz val="11"/>
        <color rgb="FF262626"/>
        <rFont val="Noto Sans CJK SC"/>
        <family val="2"/>
      </rPr>
      <t xml:space="preserve">組</t>
    </r>
  </si>
  <si>
    <r>
      <rPr>
        <sz val="11"/>
        <color rgb="FF262626"/>
        <rFont val="Noto Sans CJK SC"/>
        <family val="2"/>
      </rPr>
      <t xml:space="preserve">広げる</t>
    </r>
    <r>
      <rPr>
        <sz val="11"/>
        <color rgb="FF262626"/>
        <rFont val="BIZ UDPゴシック"/>
        <family val="0"/>
        <charset val="1"/>
      </rPr>
      <t xml:space="preserve">B</t>
    </r>
  </si>
  <si>
    <t xml:space="preserve">C</t>
  </si>
  <si>
    <t xml:space="preserve">態</t>
  </si>
  <si>
    <t xml:space="preserve">主体的に学習に取り組む態度</t>
  </si>
  <si>
    <r>
      <rPr>
        <sz val="11"/>
        <color rgb="FF262626"/>
        <rFont val="BIZ UDPゴシック"/>
        <family val="0"/>
        <charset val="1"/>
      </rPr>
      <t xml:space="preserve">4</t>
    </r>
    <r>
      <rPr>
        <sz val="11"/>
        <color rgb="FF262626"/>
        <rFont val="Noto Sans CJK SC"/>
        <family val="2"/>
      </rPr>
      <t xml:space="preserve">組</t>
    </r>
  </si>
  <si>
    <t xml:space="preserve">かためる</t>
  </si>
  <si>
    <t xml:space="preserve">上から良い順</t>
  </si>
  <si>
    <t xml:space="preserve">略は一覧表の見出しに使います</t>
  </si>
  <si>
    <r>
      <rPr>
        <sz val="9"/>
        <color rgb="FF7F7F7F"/>
        <rFont val="Noto Sans CJK SC"/>
        <family val="2"/>
      </rPr>
      <t xml:space="preserve">最大</t>
    </r>
    <r>
      <rPr>
        <sz val="9"/>
        <color rgb="FF7F7F7F"/>
        <rFont val="BIZ UDPゴシック"/>
        <family val="0"/>
        <charset val="1"/>
      </rPr>
      <t xml:space="preserve">5</t>
    </r>
  </si>
  <si>
    <r>
      <rPr>
        <sz val="9"/>
        <color rgb="FF7F7F7F"/>
        <rFont val="Noto Sans CJK SC"/>
        <family val="2"/>
      </rPr>
      <t xml:space="preserve">▼から選ぶ（直接入力も</t>
    </r>
    <r>
      <rPr>
        <sz val="9"/>
        <color rgb="FF7F7F7F"/>
        <rFont val="BIZ UDPゴシック"/>
        <family val="0"/>
        <charset val="1"/>
      </rPr>
      <t xml:space="preserve">OK</t>
    </r>
    <r>
      <rPr>
        <sz val="9"/>
        <color rgb="FF7F7F7F"/>
        <rFont val="Noto Sans CJK SC"/>
        <family val="2"/>
      </rPr>
      <t xml:space="preserve">）・上から順に色分け</t>
    </r>
  </si>
  <si>
    <t xml:space="preserve">単元一覧</t>
  </si>
  <si>
    <r>
      <rPr>
        <sz val="9"/>
        <color rgb="FF7F7F7F"/>
        <rFont val="Noto Sans CJK SC"/>
        <family val="2"/>
      </rPr>
      <t xml:space="preserve">使う単元だけ上から入力。空欄の単元シートは使わなくて</t>
    </r>
    <r>
      <rPr>
        <sz val="9"/>
        <color rgb="FF7F7F7F"/>
        <rFont val="BIZ UDPゴシック"/>
        <family val="0"/>
        <charset val="1"/>
      </rPr>
      <t xml:space="preserve">OK</t>
    </r>
  </si>
  <si>
    <t xml:space="preserve">No</t>
  </si>
  <si>
    <t xml:space="preserve">単元名</t>
  </si>
  <si>
    <t xml:space="preserve">時期・メモ</t>
  </si>
  <si>
    <t xml:space="preserve">総括の目安（学期ごと・観点ごと）</t>
  </si>
  <si>
    <r>
      <rPr>
        <b val="true"/>
        <sz val="11"/>
        <color rgb="FF1F3864"/>
        <rFont val="BIZ UDPゴシック"/>
        <family val="0"/>
        <charset val="1"/>
      </rPr>
      <t xml:space="preserve">A</t>
    </r>
    <r>
      <rPr>
        <b val="true"/>
        <sz val="11"/>
        <color rgb="FF1F3864"/>
        <rFont val="Noto Sans CJK SC"/>
        <family val="2"/>
      </rPr>
      <t xml:space="preserve">にする</t>
    </r>
  </si>
  <si>
    <r>
      <rPr>
        <sz val="9"/>
        <color rgb="FF7F7F7F"/>
        <rFont val="BIZ UDPゴシック"/>
        <family val="0"/>
        <charset val="1"/>
      </rPr>
      <t xml:space="preserve">A</t>
    </r>
    <r>
      <rPr>
        <sz val="9"/>
        <color rgb="FF7F7F7F"/>
        <rFont val="Noto Sans CJK SC"/>
        <family val="2"/>
      </rPr>
      <t xml:space="preserve">の割合がこの値以上</t>
    </r>
  </si>
  <si>
    <r>
      <rPr>
        <b val="true"/>
        <sz val="11"/>
        <color rgb="FF1F3864"/>
        <rFont val="BIZ UDPゴシック"/>
        <family val="0"/>
        <charset val="1"/>
      </rPr>
      <t xml:space="preserve">C</t>
    </r>
    <r>
      <rPr>
        <b val="true"/>
        <sz val="11"/>
        <color rgb="FF1F3864"/>
        <rFont val="Noto Sans CJK SC"/>
        <family val="2"/>
      </rPr>
      <t xml:space="preserve">にする</t>
    </r>
  </si>
  <si>
    <r>
      <rPr>
        <sz val="9"/>
        <color rgb="FF7F7F7F"/>
        <rFont val="BIZ UDPゴシック"/>
        <family val="0"/>
        <charset val="1"/>
      </rPr>
      <t xml:space="preserve">C</t>
    </r>
    <r>
      <rPr>
        <sz val="9"/>
        <color rgb="FF7F7F7F"/>
        <rFont val="Noto Sans CJK SC"/>
        <family val="2"/>
      </rPr>
      <t xml:space="preserve">の割合がこの値以上（どちらでもなければ</t>
    </r>
    <r>
      <rPr>
        <sz val="9"/>
        <color rgb="FF7F7F7F"/>
        <rFont val="BIZ UDPゴシック"/>
        <family val="0"/>
        <charset val="1"/>
      </rPr>
      <t xml:space="preserve">B</t>
    </r>
    <r>
      <rPr>
        <sz val="9"/>
        <color rgb="FF7F7F7F"/>
        <rFont val="Noto Sans CJK SC"/>
        <family val="2"/>
      </rPr>
      <t xml:space="preserve">）</t>
    </r>
  </si>
  <si>
    <r>
      <rPr>
        <sz val="9"/>
        <color rgb="FFC00000"/>
        <rFont val="Noto Sans CJK SC"/>
        <family val="2"/>
      </rPr>
      <t xml:space="preserve">※学級別</t>
    </r>
    <r>
      <rPr>
        <sz val="9"/>
        <color rgb="FFC00000"/>
        <rFont val="BIZ UDPゴシック"/>
        <family val="0"/>
        <charset val="1"/>
      </rPr>
      <t xml:space="preserve">_</t>
    </r>
    <r>
      <rPr>
        <sz val="9"/>
        <color rgb="FFC00000"/>
        <rFont val="Noto Sans CJK SC"/>
        <family val="2"/>
      </rPr>
      <t xml:space="preserve">評価・個人票に「目安」として表示。最終的な総括は学校の規定で判断</t>
    </r>
  </si>
  <si>
    <t xml:space="preserve">所見</t>
  </si>
  <si>
    <t xml:space="preserve">字数の上限</t>
  </si>
  <si>
    <t xml:space="preserve">超えると単元シートで赤くなる（空欄なら判定しない）</t>
  </si>
  <si>
    <t xml:space="preserve">気になる子のアラート</t>
  </si>
  <si>
    <r>
      <rPr>
        <sz val="9"/>
        <color rgb="FF7F7F7F"/>
        <rFont val="Noto Sans CJK SC"/>
        <family val="2"/>
      </rPr>
      <t xml:space="preserve">同じ観点で</t>
    </r>
    <r>
      <rPr>
        <sz val="9"/>
        <color rgb="FF7F7F7F"/>
        <rFont val="BIZ UDPゴシック"/>
        <family val="0"/>
        <charset val="1"/>
      </rPr>
      <t xml:space="preserve">2</t>
    </r>
    <r>
      <rPr>
        <sz val="9"/>
        <color rgb="FF7F7F7F"/>
        <rFont val="Noto Sans CJK SC"/>
        <family val="2"/>
      </rPr>
      <t xml:space="preserve">単元続けて「</t>
    </r>
    <r>
      <rPr>
        <sz val="9"/>
        <color rgb="FF7F7F7F"/>
        <rFont val="BIZ UDPゴシック"/>
        <family val="0"/>
        <charset val="1"/>
      </rPr>
      <t xml:space="preserve">C</t>
    </r>
    <r>
      <rPr>
        <sz val="9"/>
        <color rgb="FF7F7F7F"/>
        <rFont val="Noto Sans CJK SC"/>
        <family val="2"/>
      </rPr>
      <t xml:space="preserve">」（評価記号の</t>
    </r>
    <r>
      <rPr>
        <sz val="9"/>
        <color rgb="FF7F7F7F"/>
        <rFont val="BIZ UDPゴシック"/>
        <family val="0"/>
        <charset val="1"/>
      </rPr>
      <t xml:space="preserve">3</t>
    </r>
    <r>
      <rPr>
        <sz val="9"/>
        <color rgb="FF7F7F7F"/>
        <rFont val="Noto Sans CJK SC"/>
        <family val="2"/>
      </rPr>
      <t xml:space="preserve">番目）の子を、学級別</t>
    </r>
    <r>
      <rPr>
        <sz val="9"/>
        <color rgb="FF7F7F7F"/>
        <rFont val="BIZ UDPゴシック"/>
        <family val="0"/>
        <charset val="1"/>
      </rPr>
      <t xml:space="preserve">_</t>
    </r>
    <r>
      <rPr>
        <sz val="9"/>
        <color rgb="FF7F7F7F"/>
        <rFont val="Noto Sans CJK SC"/>
        <family val="2"/>
      </rPr>
      <t xml:space="preserve">評価で濃い赤で表示</t>
    </r>
  </si>
  <si>
    <t xml:space="preserve">単元テストの評価の目安（得点率）</t>
  </si>
  <si>
    <r>
      <rPr>
        <b val="true"/>
        <sz val="11"/>
        <color rgb="FF1F3864"/>
        <rFont val="BIZ UDPゴシック"/>
        <family val="0"/>
        <charset val="1"/>
      </rPr>
      <t xml:space="preserve">A</t>
    </r>
    <r>
      <rPr>
        <b val="true"/>
        <sz val="11"/>
        <color rgb="FF1F3864"/>
        <rFont val="Noto Sans CJK SC"/>
        <family val="2"/>
      </rPr>
      <t xml:space="preserve">の目安</t>
    </r>
  </si>
  <si>
    <t xml:space="preserve">得点率がこの値以上</t>
  </si>
  <si>
    <r>
      <rPr>
        <b val="true"/>
        <sz val="11"/>
        <color rgb="FF1F3864"/>
        <rFont val="BIZ UDPゴシック"/>
        <family val="0"/>
        <charset val="1"/>
      </rPr>
      <t xml:space="preserve">C</t>
    </r>
    <r>
      <rPr>
        <b val="true"/>
        <sz val="11"/>
        <color rgb="FF1F3864"/>
        <rFont val="Noto Sans CJK SC"/>
        <family val="2"/>
      </rPr>
      <t xml:space="preserve">の目安</t>
    </r>
  </si>
  <si>
    <r>
      <rPr>
        <sz val="9"/>
        <color rgb="FF7F7F7F"/>
        <rFont val="Noto Sans CJK SC"/>
        <family val="2"/>
      </rPr>
      <t xml:space="preserve">得点率がこの値未満（その間は</t>
    </r>
    <r>
      <rPr>
        <sz val="9"/>
        <color rgb="FF7F7F7F"/>
        <rFont val="BIZ UDPゴシック"/>
        <family val="0"/>
        <charset val="1"/>
      </rPr>
      <t xml:space="preserve">B</t>
    </r>
    <r>
      <rPr>
        <sz val="9"/>
        <color rgb="FF7F7F7F"/>
        <rFont val="Noto Sans CJK SC"/>
        <family val="2"/>
      </rPr>
      <t xml:space="preserve">）</t>
    </r>
  </si>
  <si>
    <t xml:space="preserve">※単元シートに「目安」として表示。評価は先生が判断して入力します</t>
  </si>
  <si>
    <t xml:space="preserve">並べ替え・行の削除は禁止。転入生は一番下の空き行へ、転出生は備考で「転出」。</t>
  </si>
  <si>
    <t xml:space="preserve">氏名は姓と名の間に全角スペース（例：算数　太郎）</t>
  </si>
  <si>
    <t xml:space="preserve">通し</t>
  </si>
  <si>
    <t xml:space="preserve">組</t>
  </si>
  <si>
    <t xml:space="preserve">番号</t>
  </si>
  <si>
    <t xml:space="preserve">児童氏名</t>
  </si>
  <si>
    <t xml:space="preserve">ふりがな</t>
  </si>
  <si>
    <t xml:space="preserve">備考</t>
  </si>
  <si>
    <t xml:space="preserve">計算用</t>
  </si>
  <si>
    <t xml:space="preserve">学級</t>
  </si>
  <si>
    <t xml:space="preserve">人数</t>
  </si>
  <si>
    <t xml:space="preserve">合計</t>
  </si>
  <si>
    <r>
      <rPr>
        <sz val="10"/>
        <color rgb="FF7F7F7F"/>
        <rFont val="Noto Sans CJK SC"/>
        <family val="2"/>
      </rPr>
      <t xml:space="preserve">単元ごと・コースごとに、コース未定と評価（</t>
    </r>
    <r>
      <rPr>
        <sz val="10"/>
        <color rgb="FF7F7F7F"/>
        <rFont val="BIZ UDPゴシック"/>
        <family val="0"/>
        <charset val="1"/>
      </rPr>
      <t xml:space="preserve">3</t>
    </r>
    <r>
      <rPr>
        <sz val="10"/>
        <color rgb="FF7F7F7F"/>
        <rFont val="Noto Sans CJK SC"/>
        <family val="2"/>
      </rPr>
      <t xml:space="preserve">観点）の未入力の人数を表示します。赤い数字が残っている作業です。</t>
    </r>
  </si>
  <si>
    <t xml:space="preserve">コース分け</t>
  </si>
  <si>
    <t xml:space="preserve">状態</t>
  </si>
  <si>
    <t xml:space="preserve">未定</t>
  </si>
  <si>
    <t xml:space="preserve">評価
未入力</t>
  </si>
  <si>
    <r>
      <rPr>
        <b val="true"/>
        <sz val="10"/>
        <color rgb="FFFFFFFF"/>
        <rFont val="Noto Sans CJK SC"/>
        <family val="2"/>
      </rPr>
      <t xml:space="preserve">コース</t>
    </r>
    <r>
      <rPr>
        <b val="true"/>
        <sz val="10"/>
        <color rgb="FFFFFFFF"/>
        <rFont val="BIZ UDPゴシック"/>
        <family val="0"/>
        <charset val="1"/>
      </rPr>
      <t xml:space="preserve">1</t>
    </r>
  </si>
  <si>
    <r>
      <rPr>
        <b val="true"/>
        <sz val="10"/>
        <color rgb="FFFFFFFF"/>
        <rFont val="Noto Sans CJK SC"/>
        <family val="2"/>
      </rPr>
      <t xml:space="preserve">コース</t>
    </r>
    <r>
      <rPr>
        <b val="true"/>
        <sz val="10"/>
        <color rgb="FFFFFFFF"/>
        <rFont val="BIZ UDPゴシック"/>
        <family val="0"/>
        <charset val="1"/>
      </rPr>
      <t xml:space="preserve">2</t>
    </r>
  </si>
  <si>
    <r>
      <rPr>
        <b val="true"/>
        <sz val="10"/>
        <color rgb="FFFFFFFF"/>
        <rFont val="Noto Sans CJK SC"/>
        <family val="2"/>
      </rPr>
      <t xml:space="preserve">コース</t>
    </r>
    <r>
      <rPr>
        <b val="true"/>
        <sz val="10"/>
        <color rgb="FFFFFFFF"/>
        <rFont val="BIZ UDPゴシック"/>
        <family val="0"/>
        <charset val="1"/>
      </rPr>
      <t xml:space="preserve">3</t>
    </r>
  </si>
  <si>
    <r>
      <rPr>
        <b val="true"/>
        <sz val="10"/>
        <color rgb="FFFFFFFF"/>
        <rFont val="Noto Sans CJK SC"/>
        <family val="2"/>
      </rPr>
      <t xml:space="preserve">コース</t>
    </r>
    <r>
      <rPr>
        <b val="true"/>
        <sz val="10"/>
        <color rgb="FFFFFFFF"/>
        <rFont val="BIZ UDPゴシック"/>
        <family val="0"/>
        <charset val="1"/>
      </rPr>
      <t xml:space="preserve">4</t>
    </r>
  </si>
  <si>
    <r>
      <rPr>
        <b val="true"/>
        <sz val="10"/>
        <color rgb="FFFFFFFF"/>
        <rFont val="Noto Sans CJK SC"/>
        <family val="2"/>
      </rPr>
      <t xml:space="preserve">コース</t>
    </r>
    <r>
      <rPr>
        <b val="true"/>
        <sz val="10"/>
        <color rgb="FFFFFFFF"/>
        <rFont val="BIZ UDPゴシック"/>
        <family val="0"/>
        <charset val="1"/>
      </rPr>
      <t xml:space="preserve">5</t>
    </r>
  </si>
  <si>
    <t xml:space="preserve">コース（担当）</t>
  </si>
  <si>
    <t xml:space="preserve">未入力</t>
  </si>
  <si>
    <t xml:space="preserve">単元</t>
  </si>
  <si>
    <t xml:space="preserve">学級別　観点別評価一覧</t>
  </si>
  <si>
    <r>
      <rPr>
        <b val="true"/>
        <sz val="14"/>
        <color rgb="FF262626"/>
        <rFont val="BIZ UDPゴシック"/>
        <family val="0"/>
        <charset val="1"/>
      </rPr>
      <t xml:space="preserve">1</t>
    </r>
    <r>
      <rPr>
        <b val="true"/>
        <sz val="14"/>
        <color rgb="FF262626"/>
        <rFont val="Noto Sans CJK SC"/>
        <family val="2"/>
      </rPr>
      <t xml:space="preserve">組</t>
    </r>
  </si>
  <si>
    <r>
      <rPr>
        <sz val="9"/>
        <color rgb="FF7F7F7F"/>
        <rFont val="Noto Sans CJK SC"/>
        <family val="2"/>
      </rPr>
      <t xml:space="preserve">学期以外の単元は薄く表示／濃い赤＝同じ観点で</t>
    </r>
    <r>
      <rPr>
        <sz val="9"/>
        <color rgb="FF7F7F7F"/>
        <rFont val="BIZ UDPゴシック"/>
        <family val="0"/>
        <charset val="1"/>
      </rPr>
      <t xml:space="preserve">2</t>
    </r>
    <r>
      <rPr>
        <sz val="9"/>
        <color rgb="FF7F7F7F"/>
        <rFont val="Noto Sans CJK SC"/>
        <family val="2"/>
      </rPr>
      <t xml:space="preserve">単元続けて</t>
    </r>
    <r>
      <rPr>
        <sz val="9"/>
        <color rgb="FF7F7F7F"/>
        <rFont val="BIZ UDPゴシック"/>
        <family val="0"/>
        <charset val="1"/>
      </rPr>
      <t xml:space="preserve">C</t>
    </r>
  </si>
  <si>
    <t xml:space="preserve">総括の目安</t>
  </si>
  <si>
    <t xml:space="preserve">学級別　コース・所見一覧</t>
  </si>
  <si>
    <t xml:space="preserve">学期ごとのまとめ</t>
  </si>
  <si>
    <t xml:space="preserve">観点</t>
  </si>
  <si>
    <t xml:space="preserve">総括は設定シートの基準による「目安」です。</t>
  </si>
  <si>
    <r>
      <rPr>
        <sz val="9"/>
        <color rgb="FF7F7F7F"/>
        <rFont val="Noto Sans CJK SC"/>
        <family val="2"/>
      </rPr>
      <t xml:space="preserve">評価が</t>
    </r>
    <r>
      <rPr>
        <sz val="9"/>
        <color rgb="FF7F7F7F"/>
        <rFont val="BIZ UDPゴシック"/>
        <family val="0"/>
        <charset val="1"/>
      </rPr>
      <t xml:space="preserve">1</t>
    </r>
    <r>
      <rPr>
        <sz val="9"/>
        <color rgb="FF7F7F7F"/>
        <rFont val="Noto Sans CJK SC"/>
        <family val="2"/>
      </rPr>
      <t xml:space="preserve">つもない学期・観点は空欄になります。</t>
    </r>
  </si>
  <si>
    <t xml:space="preserve">単元ごとの記録</t>
  </si>
  <si>
    <t xml:space="preserve">コース</t>
  </si>
  <si>
    <t xml:space="preserve">単元テスト</t>
  </si>
  <si>
    <t xml:space="preserve">コース別の評価の分布</t>
  </si>
  <si>
    <t xml:space="preserve">※評価の分布は授業の振り返りの材料です。コース分けの効果を示すには、事前・事後の比較などの研究デザインが別に必要です。</t>
  </si>
  <si>
    <t xml:space="preserve">単元ごとの推移（全体）</t>
  </si>
  <si>
    <t xml:space="preserve">全体</t>
  </si>
  <si>
    <t xml:space="preserve">割合（その観点で評価が入っている人数に対する割合）</t>
  </si>
  <si>
    <t xml:space="preserve">評価数</t>
  </si>
  <si>
    <t xml:space="preserve">単元テストの平均得点率（選んだ単元）</t>
  </si>
  <si>
    <t xml:space="preserve">受験者</t>
  </si>
  <si>
    <t xml:space="preserve">受験者＝知の得点が入っている人数。平均は得点が入っている子だけで計算。</t>
  </si>
  <si>
    <t xml:space="preserve">習熟度別</t>
  </si>
  <si>
    <t xml:space="preserve">← 満点</t>
  </si>
  <si>
    <t xml:space="preserve">見出しの▼で「決定コース」を絞り込むと、自分のコースだけ表示できます。オレンジ＝希望コースと違う子。</t>
  </si>
  <si>
    <t xml:space="preserve">コース分けの参考（任意）</t>
  </si>
  <si>
    <t xml:space="preserve">得点を入力 → 目安は自動</t>
  </si>
  <si>
    <t xml:space="preserve">決定コース</t>
  </si>
  <si>
    <t xml:space="preserve">字数</t>
  </si>
  <si>
    <t xml:space="preserve">事前テスト</t>
  </si>
  <si>
    <t xml:space="preserve">希望コース</t>
  </si>
  <si>
    <t xml:space="preserve">コース未選択</t>
  </si>
  <si>
    <t xml:space="preserve">評価未入力</t>
  </si>
  <si>
    <r>
      <rPr>
        <sz val="9"/>
        <color rgb="FF7F7F7F"/>
        <rFont val="BIZ UDPゴシック"/>
        <family val="0"/>
        <charset val="1"/>
      </rPr>
      <t xml:space="preserve">3</t>
    </r>
    <r>
      <rPr>
        <sz val="9"/>
        <color rgb="FF7F7F7F"/>
        <rFont val="Noto Sans CJK SC"/>
        <family val="2"/>
      </rPr>
      <t xml:space="preserve">観点のどれか</t>
    </r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</si>
</sst>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%"/>
    <numFmt numFmtId="166" formatCode="General"/>
  </numFmts>
  <fonts count="81">
    <font>
      <sz val="11"/>
      <color theme="1"/>
      <name val="BIZ UDPゴシック"/>
      <family val="2"/>
      <charset val="1"/>
    </font>
    <font>
      <sz val="10"/>
      <name val="BIZ UDPゴシック"/>
      <family val="0"/>
    </font>
    <font>
      <sz val="10"/>
      <name val="BIZ UDPゴシック"/>
      <family val="0"/>
    </font>
    <font>
      <sz val="10"/>
      <name val="BIZ UDPゴシック"/>
      <family val="0"/>
    </font>
    <font>
      <b val="true"/>
      <sz val="16"/>
      <color rgb="FF1F3864"/>
      <name val="BIZ UDPゴシック"/>
      <family val="2"/>
    </font>
    <font>
      <sz val="10"/>
      <color rgb="FF7F7F7F"/>
      <name val="BIZ UDPゴシック"/>
      <family val="2"/>
    </font>
    <font>
      <b val="true"/>
      <sz val="9"/>
      <color rgb="FF262626"/>
      <name val="BIZ UDPゴシック"/>
      <family val="2"/>
    </font>
    <font>
      <sz val="9"/>
      <color rgb="FF7F7F7F"/>
      <name val="BIZ UDPゴシック"/>
      <family val="2"/>
    </font>
    <font>
      <b val="true"/>
      <sz val="11"/>
      <color rgb="FFFFFFFF"/>
      <name val="BIZ UDPゴシック"/>
      <family val="2"/>
    </font>
    <font>
      <b val="true"/>
      <sz val="12"/>
      <color rgb="FF1F3864"/>
      <name val="BIZ UDPゴシック"/>
      <family val="0"/>
      <charset val="1"/>
    </font>
    <font>
      <b val="true"/>
      <sz val="11"/>
      <color rgb="FF262626"/>
      <name val="BIZ UDPゴシック"/>
      <family val="2"/>
    </font>
    <font>
      <sz val="11"/>
      <color rgb="FF262626"/>
      <name val="BIZ UDPゴシック"/>
      <family val="2"/>
    </font>
    <font>
      <b val="true"/>
      <sz val="11"/>
      <color rgb="FF262626"/>
      <name val="BIZ UDPゴシック"/>
      <family val="0"/>
      <charset val="1"/>
    </font>
    <font>
      <sz val="11"/>
      <color rgb="FF262626"/>
      <name val="BIZ UDPゴシック"/>
      <family val="0"/>
      <charset val="1"/>
    </font>
    <font>
      <b val="true"/>
      <sz val="12"/>
      <color rgb="FFC00000"/>
      <name val="BIZ UDPゴシック"/>
      <family val="0"/>
      <charset val="1"/>
    </font>
    <font>
      <b val="true"/>
      <sz val="10"/>
      <color rgb="FFFFFFFF"/>
      <name val="BIZ UDPゴシック"/>
      <family val="2"/>
    </font>
    <font>
      <b val="true"/>
      <sz val="12"/>
      <color rgb="FF262626"/>
      <name val="BIZ UDPゴシック"/>
      <family val="0"/>
      <charset val="1"/>
    </font>
    <font>
      <sz val="9"/>
      <color rgb="FF7F7F7F"/>
      <name val="BIZ UDPゴシック"/>
      <family val="0"/>
      <charset val="1"/>
    </font>
    <font>
      <b val="true"/>
      <sz val="12"/>
      <color rgb="FF262626"/>
      <name val="BIZ UDPゴシック"/>
      <family val="2"/>
    </font>
    <font>
      <sz val="11"/>
      <color theme="1"/>
      <name val="BIZ UDPゴシック"/>
      <family val="2"/>
    </font>
    <font>
      <b val="true"/>
      <sz val="13"/>
      <color rgb="FF1F3864"/>
      <name val="BIZ UDPゴシック"/>
      <family val="2"/>
    </font>
    <font>
      <b val="true"/>
      <sz val="10"/>
      <color rgb="FFFFFFFF"/>
      <name val="BIZ UDPゴシック"/>
      <family val="0"/>
      <charset val="1"/>
    </font>
    <font>
      <b val="true"/>
      <sz val="11"/>
      <color rgb="FF1F3864"/>
      <name val="BIZ UDPゴシック"/>
      <family val="0"/>
      <charset val="1"/>
    </font>
    <font>
      <sz val="10"/>
      <color rgb="FF262626"/>
      <name val="BIZ UDPゴシック"/>
      <family val="0"/>
      <charset val="1"/>
    </font>
    <font>
      <b val="true"/>
      <sz val="11"/>
      <color rgb="FF1F3864"/>
      <name val="BIZ UDPゴシック"/>
      <family val="2"/>
    </font>
    <font>
      <sz val="9"/>
      <color rgb="FFC00000"/>
      <name val="BIZ UDPゴシック"/>
      <family val="2"/>
    </font>
    <font>
      <sz val="9"/>
      <color rgb="FFC00000"/>
      <name val="BIZ UDPゴシック"/>
      <family val="0"/>
      <charset val="1"/>
    </font>
    <font>
      <sz val="10"/>
      <color rgb="FFC00000"/>
      <name val="BIZ UDPゴシック"/>
      <family val="2"/>
    </font>
    <font>
      <sz val="9"/>
      <color rgb="FFA6A6A6"/>
      <name val="BIZ UDPゴシック"/>
      <family val="0"/>
      <charset val="1"/>
    </font>
    <font>
      <sz val="8"/>
      <color rgb="FF7F7F7F"/>
      <name val="BIZ UDPゴシック"/>
      <family val="0"/>
      <charset val="1"/>
    </font>
    <font>
      <sz val="10"/>
      <color rgb="FF7F7F7F"/>
      <name val="BIZ UDPゴシック"/>
      <family val="0"/>
      <charset val="1"/>
    </font>
    <font>
      <b val="true"/>
      <sz val="9"/>
      <color rgb="FF548235"/>
      <name val="BIZ UDPゴシック"/>
      <family val="2"/>
    </font>
    <font>
      <b val="true"/>
      <sz val="9"/>
      <color rgb="FF2F5597"/>
      <name val="BIZ UDPゴシック"/>
      <family val="2"/>
    </font>
    <font>
      <b val="true"/>
      <sz val="9"/>
      <color rgb="FFC55A11"/>
      <name val="BIZ UDPゴシック"/>
      <family val="2"/>
    </font>
    <font>
      <b val="true"/>
      <sz val="9"/>
      <color rgb="FF7030A0"/>
      <name val="BIZ UDPゴシック"/>
      <family val="2"/>
    </font>
    <font>
      <b val="true"/>
      <sz val="9"/>
      <color rgb="FF2E8B8B"/>
      <name val="BIZ UDPゴシック"/>
      <family val="2"/>
    </font>
    <font>
      <b val="true"/>
      <sz val="10"/>
      <color rgb="FF1F3864"/>
      <name val="BIZ UDPゴシック"/>
      <family val="0"/>
      <charset val="1"/>
    </font>
    <font>
      <b val="true"/>
      <sz val="10"/>
      <color rgb="FF262626"/>
      <name val="BIZ UDPゴシック"/>
      <family val="0"/>
      <charset val="1"/>
    </font>
    <font>
      <b val="true"/>
      <sz val="10"/>
      <color rgb="FF548235"/>
      <name val="BIZ UDPゴシック"/>
      <family val="0"/>
      <charset val="1"/>
    </font>
    <font>
      <b val="true"/>
      <sz val="10"/>
      <color rgb="FF2F5597"/>
      <name val="BIZ UDPゴシック"/>
      <family val="0"/>
      <charset val="1"/>
    </font>
    <font>
      <b val="true"/>
      <sz val="10"/>
      <color rgb="FFC55A11"/>
      <name val="BIZ UDPゴシック"/>
      <family val="0"/>
      <charset val="1"/>
    </font>
    <font>
      <b val="true"/>
      <sz val="10"/>
      <color rgb="FF7030A0"/>
      <name val="BIZ UDPゴシック"/>
      <family val="0"/>
      <charset val="1"/>
    </font>
    <font>
      <b val="true"/>
      <sz val="10"/>
      <color rgb="FF2E8B8B"/>
      <name val="BIZ UDPゴシック"/>
      <family val="0"/>
      <charset val="1"/>
    </font>
    <font>
      <sz val="8"/>
      <color rgb="FFFFFFFF"/>
      <name val="BIZ UDPゴシック"/>
      <family val="0"/>
      <charset val="1"/>
    </font>
    <font>
      <b val="true"/>
      <sz val="14"/>
      <color rgb="FF262626"/>
      <name val="BIZ UDPゴシック"/>
      <family val="0"/>
      <charset val="1"/>
    </font>
    <font>
      <b val="true"/>
      <sz val="12"/>
      <color rgb="FFFFFFFF"/>
      <name val="BIZ UDPゴシック"/>
      <family val="2"/>
    </font>
    <font>
      <b val="true"/>
      <sz val="11"/>
      <color rgb="FFFFFFFF"/>
      <name val="BIZ UDPゴシック"/>
      <family val="0"/>
      <charset val="1"/>
    </font>
    <font>
      <b val="true"/>
      <sz val="12"/>
      <color rgb="FFFFFFFF"/>
      <name val="BIZ UDPゴシック"/>
      <family val="0"/>
      <charset val="1"/>
    </font>
    <font>
      <b val="true"/>
      <sz val="9"/>
      <color rgb="FF2E8B8B"/>
      <name val="BIZ UDPゴシック"/>
      <family val="0"/>
      <charset val="1"/>
    </font>
    <font>
      <b val="true"/>
      <sz val="14"/>
      <color rgb="FF262626"/>
      <name val="BIZ UDPゴシック"/>
      <family val="2"/>
    </font>
    <font>
      <b val="true"/>
      <sz val="9"/>
      <color rgb="FFFFFFFF"/>
      <name val="BIZ UDPゴシック"/>
      <family val="0"/>
      <charset val="1"/>
    </font>
    <font>
      <b val="true"/>
      <sz val="10"/>
      <color rgb="FF385723"/>
      <name val="BIZ UDPゴシック"/>
      <family val="2"/>
    </font>
    <font>
      <b val="true"/>
      <sz val="9"/>
      <color rgb="FF7F6000"/>
      <name val="BIZ UDPゴシック"/>
      <family val="2"/>
    </font>
    <font>
      <sz val="9"/>
      <color rgb="FF1F3864"/>
      <name val="BIZ UDPゴシック"/>
      <family val="0"/>
      <charset val="1"/>
    </font>
    <font>
      <b val="true"/>
      <sz val="9"/>
      <color rgb="FF385723"/>
      <name val="BIZ UDPゴシック"/>
      <family val="0"/>
      <charset val="1"/>
    </font>
    <font>
      <b val="true"/>
      <sz val="9"/>
      <color rgb="FF1F3864"/>
      <name val="BIZ UDPゴシック"/>
      <family val="2"/>
    </font>
    <font>
      <sz val="10"/>
      <color rgb="FF1F3864"/>
      <name val="BIZ UDPゴシック"/>
      <family val="2"/>
    </font>
    <font>
      <b val="true"/>
      <sz val="9"/>
      <color rgb="FF1F3864"/>
      <name val="BIZ UDPゴシック"/>
      <family val="0"/>
      <charset val="1"/>
    </font>
    <font>
      <sz val="9"/>
      <color rgb="FF262626"/>
      <name val="BIZ UDPゴシック"/>
      <family val="0"/>
      <charset val="1"/>
    </font>
    <font>
      <b val="true"/>
      <sz val="15"/>
      <color rgb="FF1F3864"/>
      <name val="BIZ UDPゴシック"/>
      <family val="2"/>
    </font>
    <font>
      <b val="true"/>
      <sz val="12"/>
      <color rgb="FF1F3864"/>
      <name val="BIZ UDPゴシック"/>
      <family val="2"/>
    </font>
    <font>
      <b val="true"/>
      <sz val="9"/>
      <color rgb="FFFFFFFF"/>
      <name val="BIZ UDPゴシック"/>
      <family val="2"/>
    </font>
    <font>
      <b val="true"/>
      <sz val="13"/>
      <color rgb="FF262626"/>
      <name val="BIZ UDPゴシック"/>
      <family val="0"/>
      <charset val="1"/>
    </font>
    <font>
      <b val="true"/>
      <sz val="8"/>
      <color rgb="FF1F4E9E"/>
      <name val="BIZ UDPゴシック"/>
      <family val="0"/>
      <charset val="1"/>
    </font>
    <font>
      <b val="true"/>
      <sz val="8"/>
      <color rgb="FFC00000"/>
      <name val="BIZ UDPゴシック"/>
      <family val="0"/>
      <charset val="1"/>
    </font>
    <font>
      <b val="true"/>
      <sz val="11"/>
      <color rgb="FF548235"/>
      <name val="BIZ UDPゴシック"/>
      <family val="2"/>
    </font>
    <font>
      <b val="true"/>
      <sz val="11"/>
      <color rgb="FF2F5597"/>
      <name val="BIZ UDPゴシック"/>
      <family val="2"/>
    </font>
    <font>
      <b val="true"/>
      <sz val="11"/>
      <color rgb="FFC55A11"/>
      <name val="BIZ UDPゴシック"/>
      <family val="2"/>
    </font>
    <font>
      <b val="true"/>
      <sz val="11"/>
      <color rgb="FF7030A0"/>
      <name val="BIZ UDPゴシック"/>
      <family val="2"/>
    </font>
    <font>
      <b val="true"/>
      <sz val="11"/>
      <color rgb="FF2E8B8B"/>
      <name val="BIZ UDPゴシック"/>
      <family val="0"/>
      <charset val="1"/>
    </font>
    <font>
      <b val="true"/>
      <sz val="10"/>
      <color rgb="FF548235"/>
      <name val="BIZ UDPゴシック"/>
      <family val="2"/>
    </font>
    <font>
      <b val="true"/>
      <sz val="10"/>
      <color rgb="FF2F5597"/>
      <name val="BIZ UDPゴシック"/>
      <family val="2"/>
    </font>
    <font>
      <b val="true"/>
      <sz val="10"/>
      <color rgb="FFC55A11"/>
      <name val="BIZ UDPゴシック"/>
      <family val="2"/>
    </font>
    <font>
      <b val="true"/>
      <sz val="10"/>
      <color rgb="FF7030A0"/>
      <name val="BIZ UDPゴシック"/>
      <family val="2"/>
    </font>
    <font>
      <b val="true"/>
      <sz val="18"/>
      <color rgb="FF000000"/>
      <name val="BIZ UDPゴシック"/>
      <family val="2"/>
    </font>
    <font>
      <sz val="10"/>
      <color rgb="FF000000"/>
      <name val="BIZ UDPゴシック"/>
      <family val="2"/>
    </font>
    <font>
      <sz val="10"/>
      <color rgb="FF1F3864"/>
      <name val="BIZ UDPゴシック"/>
      <family val="0"/>
      <charset val="1"/>
    </font>
    <font>
      <b val="true"/>
      <sz val="9"/>
      <color rgb="FF375623"/>
      <name val="BIZ UDPゴシック"/>
      <family val="2"/>
    </font>
    <font>
      <b val="true"/>
      <sz val="10"/>
      <color rgb="FFC00000"/>
      <name val="BIZ UDPゴシック"/>
      <family val="2"/>
    </font>
    <font>
      <b val="true"/>
      <sz val="11"/>
      <color rgb="FFC00000"/>
      <name val="BIZ UDPゴシック"/>
      <family val="0"/>
      <charset val="1"/>
    </font>
    <font>
      <b val="true"/>
      <sz val="10"/>
      <color rgb="FF262626"/>
      <name val="BIZ UDPゴシック"/>
      <family val="2"/>
    </font>
  </fonts>
  <fills count="28">
    <fill>
      <patternFill patternType="none"/>
    </fill>
    <fill>
      <patternFill patternType="gray125"/>
    </fill>
    <fill>
      <patternFill patternType="solid">
        <fgColor rgb="FFFFF5CC"/>
        <bgColor rgb="FFFFF2CC"/>
      </patternFill>
    </fill>
    <fill>
      <patternFill patternType="solid">
        <fgColor rgb="FF1F3864"/>
        <bgColor rgb="FF262626"/>
      </patternFill>
    </fill>
    <fill>
      <patternFill patternType="solid">
        <fgColor rgb="FFDCE4F2"/>
        <bgColor rgb="FFD9E6F5"/>
      </patternFill>
    </fill>
    <fill>
      <patternFill patternType="solid">
        <fgColor rgb="FFFFFFFF"/>
        <bgColor rgb="FFF7F7F7"/>
      </patternFill>
    </fill>
    <fill>
      <patternFill patternType="solid">
        <fgColor rgb="FFC00000"/>
        <bgColor rgb="FF800000"/>
      </patternFill>
    </fill>
    <fill>
      <patternFill patternType="solid">
        <fgColor rgb="FFEAF4E4"/>
        <bgColor rgb="FFEDEDED"/>
      </patternFill>
    </fill>
    <fill>
      <patternFill patternType="solid">
        <fgColor rgb="FF548235"/>
        <bgColor rgb="FF7F7F7F"/>
      </patternFill>
    </fill>
    <fill>
      <patternFill patternType="solid">
        <fgColor rgb="FF2F5597"/>
        <bgColor rgb="FF1F4E9E"/>
      </patternFill>
    </fill>
    <fill>
      <patternFill patternType="solid">
        <fgColor rgb="FFC55A11"/>
        <bgColor rgb="FFE06666"/>
      </patternFill>
    </fill>
    <fill>
      <patternFill patternType="solid">
        <fgColor rgb="FF7030A0"/>
        <bgColor rgb="FF660066"/>
      </patternFill>
    </fill>
    <fill>
      <patternFill patternType="solid">
        <fgColor rgb="FF2E8B8B"/>
        <bgColor rgb="FF4472C4"/>
      </patternFill>
    </fill>
    <fill>
      <patternFill patternType="solid">
        <fgColor rgb="FFDCEBDC"/>
        <bgColor rgb="FFE2EFDA"/>
      </patternFill>
    </fill>
    <fill>
      <patternFill patternType="solid">
        <fgColor rgb="FFD9E6F5"/>
        <bgColor rgb="FFDCE4F2"/>
      </patternFill>
    </fill>
    <fill>
      <patternFill patternType="solid">
        <fgColor rgb="FFFBE3D2"/>
        <bgColor rgb="FFFCE4D6"/>
      </patternFill>
    </fill>
    <fill>
      <patternFill patternType="solid">
        <fgColor rgb="FFE8DEF3"/>
        <bgColor rgb="FFDCE4F2"/>
      </patternFill>
    </fill>
    <fill>
      <patternFill patternType="solid">
        <fgColor rgb="FFD6EFEF"/>
        <bgColor rgb="FFD9E6F5"/>
      </patternFill>
    </fill>
    <fill>
      <patternFill patternType="solid">
        <fgColor rgb="FF7F6000"/>
        <bgColor rgb="FFC55A11"/>
      </patternFill>
    </fill>
    <fill>
      <patternFill patternType="solid">
        <fgColor rgb="FFC6E0B4"/>
        <bgColor rgb="FFD0D0D0"/>
      </patternFill>
    </fill>
    <fill>
      <patternFill patternType="solid">
        <fgColor rgb="FFFFE699"/>
        <bgColor rgb="FFFBE3D2"/>
      </patternFill>
    </fill>
    <fill>
      <patternFill patternType="solid">
        <fgColor rgb="FFE2EFDA"/>
        <bgColor rgb="FFDCEBDC"/>
      </patternFill>
    </fill>
    <fill>
      <patternFill patternType="solid">
        <fgColor rgb="FFFFF2CC"/>
        <bgColor rgb="FFFFF5CC"/>
      </patternFill>
    </fill>
    <fill>
      <patternFill patternType="solid">
        <fgColor rgb="FF375623"/>
        <bgColor rgb="FF385723"/>
      </patternFill>
    </fill>
    <fill>
      <patternFill patternType="solid">
        <fgColor rgb="FF385723"/>
        <bgColor rgb="FF375623"/>
      </patternFill>
    </fill>
    <fill>
      <patternFill patternType="solid">
        <fgColor rgb="FFA9D08E"/>
        <bgColor rgb="FFC6E0B4"/>
      </patternFill>
    </fill>
    <fill>
      <patternFill patternType="solid">
        <fgColor rgb="FFFFF0F0"/>
        <bgColor rgb="FFF5F5F5"/>
      </patternFill>
    </fill>
    <fill>
      <patternFill patternType="solid">
        <fgColor rgb="FFF7F7F7"/>
        <bgColor rgb="FFF5F5F5"/>
      </patternFill>
    </fill>
  </fills>
  <borders count="10">
    <border diagonalUp="false" diagonalDown="false">
      <left/>
      <right/>
      <top/>
      <bottom/>
      <diagonal/>
    </border>
    <border diagonalUp="false" diagonalDown="false">
      <left/>
      <right/>
      <top/>
      <bottom style="medium">
        <color rgb="FF1F3864"/>
      </bottom>
      <diagonal/>
    </border>
    <border diagonalUp="false" diagonalDown="false">
      <left style="thin">
        <color rgb="FFD0D0D0"/>
      </left>
      <right style="thin">
        <color rgb="FFD0D0D0"/>
      </right>
      <top style="thin">
        <color rgb="FFD0D0D0"/>
      </top>
      <bottom style="thin">
        <color rgb="FFD0D0D0"/>
      </bottom>
      <diagonal/>
    </border>
    <border diagonalUp="false" diagonalDown="false">
      <left style="thin">
        <color rgb="FFFFFFFF"/>
      </left>
      <right style="thin">
        <color rgb="FFFFFFFF"/>
      </right>
      <top style="thin">
        <color rgb="FF9E9E9E"/>
      </top>
      <bottom style="thin">
        <color rgb="FF9E9E9E"/>
      </bottom>
      <diagonal/>
    </border>
    <border diagonalUp="false" diagonalDown="false">
      <left style="thick">
        <color rgb="FF548235"/>
      </left>
      <right style="thin">
        <color rgb="FFD0D0D0"/>
      </right>
      <top style="thin">
        <color rgb="FFD0D0D0"/>
      </top>
      <bottom style="thin">
        <color rgb="FFD0D0D0"/>
      </bottom>
      <diagonal/>
    </border>
    <border diagonalUp="false" diagonalDown="false">
      <left style="thick">
        <color rgb="FF2F5597"/>
      </left>
      <right style="thin">
        <color rgb="FFD0D0D0"/>
      </right>
      <top style="thin">
        <color rgb="FFD0D0D0"/>
      </top>
      <bottom style="thin">
        <color rgb="FFD0D0D0"/>
      </bottom>
      <diagonal/>
    </border>
    <border diagonalUp="false" diagonalDown="false">
      <left style="thick">
        <color rgb="FFC55A11"/>
      </left>
      <right style="thin">
        <color rgb="FFD0D0D0"/>
      </right>
      <top style="thin">
        <color rgb="FFD0D0D0"/>
      </top>
      <bottom style="thin">
        <color rgb="FFD0D0D0"/>
      </bottom>
      <diagonal/>
    </border>
    <border diagonalUp="false" diagonalDown="false">
      <left style="thick">
        <color rgb="FF7030A0"/>
      </left>
      <right style="thin">
        <color rgb="FFD0D0D0"/>
      </right>
      <top style="thin">
        <color rgb="FFD0D0D0"/>
      </top>
      <bottom style="thin">
        <color rgb="FFD0D0D0"/>
      </bottom>
      <diagonal/>
    </border>
    <border diagonalUp="false" diagonalDown="false">
      <left style="thick">
        <color rgb="FF2E8B8B"/>
      </left>
      <right style="thin">
        <color rgb="FFD0D0D0"/>
      </right>
      <top style="thin">
        <color rgb="FFD0D0D0"/>
      </top>
      <bottom style="thin">
        <color rgb="FFD0D0D0"/>
      </bottom>
      <diagonal/>
    </border>
    <border diagonalUp="false" diagonalDown="false">
      <left style="thin">
        <color rgb="FF9E9E9E"/>
      </left>
      <right style="thin">
        <color rgb="FF9E9E9E"/>
      </right>
      <top style="thin">
        <color rgb="FF9E9E9E"/>
      </top>
      <bottom style="thin">
        <color rgb="FF9E9E9E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0" xfId="0" applyFont="true" applyBorder="true" applyAlignment="true" applyProtection="false">
      <alignment horizontal="general" vertical="center" textRotation="0" wrapText="false" indent="1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5" borderId="2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11" fillId="5" borderId="2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13" fillId="5" borderId="2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8" fillId="6" borderId="0" xfId="0" applyFont="true" applyBorder="true" applyAlignment="true" applyProtection="false">
      <alignment horizontal="general" vertical="center" textRotation="0" wrapText="false" indent="1" shrinkToFit="false"/>
      <protection locked="true" hidden="false"/>
    </xf>
    <xf numFmtId="164" fontId="14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true"/>
      <protection locked="true" hidden="false"/>
    </xf>
    <xf numFmtId="164" fontId="4" fillId="0" borderId="1" xfId="0" applyFont="true" applyBorder="true" applyAlignment="true" applyProtection="false">
      <alignment horizontal="general" vertical="center" textRotation="0" wrapText="false" indent="0" shrinkToFit="tru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3" borderId="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16" fillId="2" borderId="2" xfId="0" applyFont="true" applyBorder="true" applyAlignment="true" applyProtection="true">
      <alignment horizontal="center" vertical="center" textRotation="0" wrapText="false" indent="0" shrinkToFit="true"/>
      <protection locked="fals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2" borderId="2" xfId="0" applyFont="true" applyBorder="true" applyAlignment="true" applyProtection="true">
      <alignment horizontal="center" vertical="center" textRotation="0" wrapText="false" indent="0" shrinkToFit="true"/>
      <protection locked="false" hidden="false"/>
    </xf>
    <xf numFmtId="164" fontId="11" fillId="2" borderId="4" xfId="0" applyFont="true" applyBorder="true" applyAlignment="true" applyProtection="true">
      <alignment horizontal="center" vertical="center" textRotation="0" wrapText="false" indent="0" shrinkToFit="true"/>
      <protection locked="false" hidden="false"/>
    </xf>
    <xf numFmtId="164" fontId="10" fillId="2" borderId="2" xfId="0" applyFont="true" applyBorder="true" applyAlignment="true" applyProtection="true">
      <alignment horizontal="center" vertical="center" textRotation="0" wrapText="false" indent="0" shrinkToFit="true"/>
      <protection locked="false" hidden="false"/>
    </xf>
    <xf numFmtId="164" fontId="11" fillId="2" borderId="2" xfId="0" applyFont="true" applyBorder="true" applyAlignment="true" applyProtection="true">
      <alignment horizontal="left" vertical="center" textRotation="0" wrapText="false" indent="1" shrinkToFit="true"/>
      <protection locked="false" hidden="false"/>
    </xf>
    <xf numFmtId="164" fontId="11" fillId="2" borderId="5" xfId="0" applyFont="true" applyBorder="true" applyAlignment="true" applyProtection="true">
      <alignment horizontal="center" vertical="center" textRotation="0" wrapText="false" indent="0" shrinkToFit="true"/>
      <protection locked="false" hidden="false"/>
    </xf>
    <xf numFmtId="164" fontId="11" fillId="2" borderId="6" xfId="0" applyFont="true" applyBorder="true" applyAlignment="true" applyProtection="true">
      <alignment horizontal="center" vertical="center" textRotation="0" wrapText="false" indent="0" shrinkToFit="true"/>
      <protection locked="false" hidden="false"/>
    </xf>
    <xf numFmtId="164" fontId="11" fillId="2" borderId="7" xfId="0" applyFont="true" applyBorder="true" applyAlignment="true" applyProtection="true">
      <alignment horizontal="center" vertical="center" textRotation="0" wrapText="false" indent="0" shrinkToFit="true"/>
      <protection locked="false" hidden="false"/>
    </xf>
    <xf numFmtId="164" fontId="13" fillId="2" borderId="8" xfId="0" applyFont="true" applyBorder="true" applyAlignment="true" applyProtection="true">
      <alignment horizontal="center" vertical="center" textRotation="0" wrapText="false" indent="0" shrinkToFit="true"/>
      <protection locked="fals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3" borderId="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22" fillId="4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23" fillId="2" borderId="2" xfId="0" applyFont="true" applyBorder="true" applyAlignment="true" applyProtection="true">
      <alignment horizontal="left" vertical="center" textRotation="0" wrapText="false" indent="1" shrinkToFit="true"/>
      <protection locked="false" hidden="false"/>
    </xf>
    <xf numFmtId="165" fontId="16" fillId="2" borderId="2" xfId="0" applyFont="true" applyBorder="true" applyAlignment="true" applyProtection="true">
      <alignment horizontal="center" vertical="center" textRotation="0" wrapText="false" indent="0" shrinkToFit="true"/>
      <protection locked="false" hidden="false"/>
    </xf>
    <xf numFmtId="164" fontId="17" fillId="0" borderId="0" xfId="0" applyFont="true" applyBorder="false" applyAlignment="true" applyProtection="false">
      <alignment horizontal="general" vertical="center" textRotation="0" wrapText="false" indent="1" shrinkToFit="false"/>
      <protection locked="true" hidden="false"/>
    </xf>
    <xf numFmtId="164" fontId="2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4" fillId="4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false" indent="1" shrinkToFit="false"/>
      <protection locked="true" hidden="false"/>
    </xf>
    <xf numFmtId="164" fontId="2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center" vertical="center" textRotation="0" wrapText="false" indent="0" shrinkToFit="true"/>
      <protection locked="true" hidden="false"/>
    </xf>
    <xf numFmtId="164" fontId="13" fillId="2" borderId="2" xfId="0" applyFont="true" applyBorder="true" applyAlignment="true" applyProtection="true">
      <alignment horizontal="left" vertical="center" textRotation="0" wrapText="false" indent="1" shrinkToFit="true"/>
      <protection locked="false" hidden="false"/>
    </xf>
    <xf numFmtId="164" fontId="23" fillId="2" borderId="2" xfId="0" applyFont="true" applyBorder="true" applyAlignment="true" applyProtection="true">
      <alignment horizontal="center" vertical="center" textRotation="0" wrapText="false" indent="0" shrinkToFit="true"/>
      <protection locked="false" hidden="false"/>
    </xf>
    <xf numFmtId="164" fontId="17" fillId="0" borderId="0" xfId="0" applyFont="true" applyBorder="false" applyAlignment="true" applyProtection="false">
      <alignment horizontal="center" vertical="center" textRotation="0" wrapText="false" indent="0" shrinkToFit="true"/>
      <protection locked="true" hidden="false"/>
    </xf>
    <xf numFmtId="164" fontId="29" fillId="0" borderId="0" xfId="0" applyFont="true" applyBorder="false" applyAlignment="true" applyProtection="false">
      <alignment horizontal="general" vertical="center" textRotation="0" wrapText="false" indent="0" shrinkToFit="true"/>
      <protection locked="true" hidden="false"/>
    </xf>
    <xf numFmtId="164" fontId="12" fillId="4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13" fillId="5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8" fillId="3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12" fillId="7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21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9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1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11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1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13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32" fillId="14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33" fillId="15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34" fillId="16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35" fillId="17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36" fillId="0" borderId="0" xfId="0" applyFont="true" applyBorder="false" applyAlignment="true" applyProtection="false">
      <alignment horizontal="center" vertical="center" textRotation="0" wrapText="false" indent="0" shrinkToFit="true"/>
      <protection locked="true" hidden="false"/>
    </xf>
    <xf numFmtId="164" fontId="13" fillId="0" borderId="0" xfId="0" applyFont="true" applyBorder="false" applyAlignment="true" applyProtection="false">
      <alignment horizontal="left" vertical="center" textRotation="0" wrapText="false" indent="1" shrinkToFit="true"/>
      <protection locked="true" hidden="false"/>
    </xf>
    <xf numFmtId="164" fontId="23" fillId="0" borderId="0" xfId="0" applyFont="true" applyBorder="false" applyAlignment="true" applyProtection="false">
      <alignment horizontal="center" vertical="center" textRotation="0" wrapText="false" indent="0" shrinkToFit="true"/>
      <protection locked="true" hidden="false"/>
    </xf>
    <xf numFmtId="164" fontId="37" fillId="0" borderId="0" xfId="0" applyFont="true" applyBorder="false" applyAlignment="true" applyProtection="false">
      <alignment horizontal="center" vertical="center" textRotation="0" wrapText="false" indent="0" shrinkToFit="true"/>
      <protection locked="true" hidden="false"/>
    </xf>
    <xf numFmtId="164" fontId="12" fillId="0" borderId="0" xfId="0" applyFont="true" applyBorder="false" applyAlignment="true" applyProtection="false">
      <alignment horizontal="center" vertical="center" textRotation="0" wrapText="false" indent="0" shrinkToFit="true"/>
      <protection locked="true" hidden="false"/>
    </xf>
    <xf numFmtId="164" fontId="38" fillId="0" borderId="0" xfId="0" applyFont="true" applyBorder="false" applyAlignment="true" applyProtection="false">
      <alignment horizontal="left" vertical="center" textRotation="0" wrapText="false" indent="1" shrinkToFit="true"/>
      <protection locked="true" hidden="false"/>
    </xf>
    <xf numFmtId="164" fontId="39" fillId="0" borderId="0" xfId="0" applyFont="true" applyBorder="false" applyAlignment="true" applyProtection="false">
      <alignment horizontal="left" vertical="center" textRotation="0" wrapText="false" indent="1" shrinkToFit="true"/>
      <protection locked="true" hidden="false"/>
    </xf>
    <xf numFmtId="164" fontId="40" fillId="0" borderId="0" xfId="0" applyFont="true" applyBorder="false" applyAlignment="true" applyProtection="false">
      <alignment horizontal="left" vertical="center" textRotation="0" wrapText="false" indent="1" shrinkToFit="true"/>
      <protection locked="true" hidden="false"/>
    </xf>
    <xf numFmtId="164" fontId="41" fillId="0" borderId="0" xfId="0" applyFont="true" applyBorder="false" applyAlignment="true" applyProtection="false">
      <alignment horizontal="left" vertical="center" textRotation="0" wrapText="false" indent="1" shrinkToFit="true"/>
      <protection locked="true" hidden="false"/>
    </xf>
    <xf numFmtId="164" fontId="42" fillId="0" borderId="0" xfId="0" applyFont="true" applyBorder="false" applyAlignment="true" applyProtection="false">
      <alignment horizontal="left" vertical="center" textRotation="0" wrapText="false" indent="1" shrinkToFit="true"/>
      <protection locked="true" hidden="false"/>
    </xf>
    <xf numFmtId="164" fontId="43" fillId="0" borderId="0" xfId="0" applyFont="true" applyBorder="false" applyAlignment="true" applyProtection="false">
      <alignment horizontal="general" vertical="center" textRotation="0" wrapText="false" indent="0" shrinkToFit="true"/>
      <protection locked="true" hidden="false"/>
    </xf>
    <xf numFmtId="164" fontId="44" fillId="2" borderId="9" xfId="0" applyFont="true" applyBorder="true" applyAlignment="true" applyProtection="true">
      <alignment horizontal="center" vertical="center" textRotation="0" wrapText="false" indent="0" shrinkToFit="true"/>
      <protection locked="false" hidden="false"/>
    </xf>
    <xf numFmtId="164" fontId="20" fillId="0" borderId="0" xfId="0" applyFont="true" applyBorder="true" applyAlignment="true" applyProtection="false">
      <alignment horizontal="general" vertical="center" textRotation="0" wrapText="false" indent="1" shrinkToFit="true"/>
      <protection locked="true" hidden="false"/>
    </xf>
    <xf numFmtId="164" fontId="45" fillId="8" borderId="0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46" fillId="8" borderId="0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45" fillId="9" borderId="0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46" fillId="9" borderId="0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45" fillId="10" borderId="0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46" fillId="10" borderId="0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45" fillId="11" borderId="0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46" fillId="11" borderId="0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47" fillId="12" borderId="0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46" fillId="12" borderId="0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31" fillId="13" borderId="0" xfId="0" applyFont="true" applyBorder="true" applyAlignment="true" applyProtection="false">
      <alignment horizontal="general" vertical="center" textRotation="0" wrapText="false" indent="1" shrinkToFit="true"/>
      <protection locked="true" hidden="false"/>
    </xf>
    <xf numFmtId="164" fontId="31" fillId="13" borderId="0" xfId="0" applyFont="true" applyBorder="false" applyAlignment="true" applyProtection="false">
      <alignment horizontal="center" vertical="center" textRotation="0" wrapText="false" indent="0" shrinkToFit="true"/>
      <protection locked="true" hidden="false"/>
    </xf>
    <xf numFmtId="164" fontId="32" fillId="14" borderId="0" xfId="0" applyFont="true" applyBorder="true" applyAlignment="true" applyProtection="false">
      <alignment horizontal="general" vertical="center" textRotation="0" wrapText="false" indent="1" shrinkToFit="true"/>
      <protection locked="true" hidden="false"/>
    </xf>
    <xf numFmtId="164" fontId="32" fillId="14" borderId="0" xfId="0" applyFont="true" applyBorder="false" applyAlignment="true" applyProtection="false">
      <alignment horizontal="center" vertical="center" textRotation="0" wrapText="false" indent="0" shrinkToFit="true"/>
      <protection locked="true" hidden="false"/>
    </xf>
    <xf numFmtId="164" fontId="33" fillId="15" borderId="0" xfId="0" applyFont="true" applyBorder="true" applyAlignment="true" applyProtection="false">
      <alignment horizontal="general" vertical="center" textRotation="0" wrapText="false" indent="1" shrinkToFit="true"/>
      <protection locked="true" hidden="false"/>
    </xf>
    <xf numFmtId="164" fontId="33" fillId="15" borderId="0" xfId="0" applyFont="true" applyBorder="false" applyAlignment="true" applyProtection="false">
      <alignment horizontal="center" vertical="center" textRotation="0" wrapText="false" indent="0" shrinkToFit="true"/>
      <protection locked="true" hidden="false"/>
    </xf>
    <xf numFmtId="164" fontId="34" fillId="16" borderId="0" xfId="0" applyFont="true" applyBorder="true" applyAlignment="true" applyProtection="false">
      <alignment horizontal="general" vertical="center" textRotation="0" wrapText="false" indent="1" shrinkToFit="true"/>
      <protection locked="true" hidden="false"/>
    </xf>
    <xf numFmtId="164" fontId="34" fillId="16" borderId="0" xfId="0" applyFont="true" applyBorder="false" applyAlignment="true" applyProtection="false">
      <alignment horizontal="center" vertical="center" textRotation="0" wrapText="false" indent="0" shrinkToFit="true"/>
      <protection locked="true" hidden="false"/>
    </xf>
    <xf numFmtId="164" fontId="48" fillId="17" borderId="0" xfId="0" applyFont="true" applyBorder="true" applyAlignment="true" applyProtection="false">
      <alignment horizontal="general" vertical="center" textRotation="0" wrapText="false" indent="1" shrinkToFit="true"/>
      <protection locked="true" hidden="false"/>
    </xf>
    <xf numFmtId="164" fontId="48" fillId="17" borderId="0" xfId="0" applyFont="true" applyBorder="false" applyAlignment="true" applyProtection="false">
      <alignment horizontal="center" vertical="center" textRotation="0" wrapText="false" indent="0" shrinkToFit="true"/>
      <protection locked="true" hidden="false"/>
    </xf>
    <xf numFmtId="164" fontId="30" fillId="0" borderId="0" xfId="0" applyFont="true" applyBorder="false" applyAlignment="true" applyProtection="false">
      <alignment horizontal="center" vertical="center" textRotation="0" wrapText="false" indent="0" shrinkToFit="true"/>
      <protection locked="true" hidden="false"/>
    </xf>
    <xf numFmtId="164" fontId="49" fillId="2" borderId="9" xfId="0" applyFont="true" applyBorder="true" applyAlignment="true" applyProtection="true">
      <alignment horizontal="center" vertical="center" textRotation="0" wrapText="false" indent="0" shrinkToFit="true"/>
      <protection locked="false" hidden="false"/>
    </xf>
    <xf numFmtId="164" fontId="21" fillId="8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18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0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0" fillId="9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1" fillId="19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52" fillId="20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53" fillId="4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54" fillId="21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52" fillId="22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55" fillId="4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56" fillId="0" borderId="0" xfId="0" applyFont="true" applyBorder="true" applyAlignment="true" applyProtection="false">
      <alignment horizontal="general" vertical="center" textRotation="0" wrapText="false" indent="1" shrinkToFit="true"/>
      <protection locked="true" hidden="false"/>
    </xf>
    <xf numFmtId="164" fontId="21" fillId="0" borderId="0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57" fillId="0" borderId="0" xfId="0" applyFont="true" applyBorder="false" applyAlignment="true" applyProtection="false">
      <alignment horizontal="center" vertical="center" textRotation="0" wrapText="false" indent="0" shrinkToFit="true"/>
      <protection locked="true" hidden="false"/>
    </xf>
    <xf numFmtId="164" fontId="58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2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9" fillId="0" borderId="0" xfId="0" applyFont="true" applyBorder="true" applyAlignment="true" applyProtection="false">
      <alignment horizontal="general" vertical="center" textRotation="0" wrapText="false" indent="1" shrinkToFit="true"/>
      <protection locked="true" hidden="false"/>
    </xf>
    <xf numFmtId="164" fontId="6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1" fillId="3" borderId="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22" fillId="0" borderId="0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false" indent="0" shrinkToFit="true"/>
      <protection locked="true" hidden="false"/>
    </xf>
    <xf numFmtId="164" fontId="13" fillId="0" borderId="0" xfId="0" applyFont="true" applyBorder="false" applyAlignment="true" applyProtection="false">
      <alignment horizontal="center" vertical="center" textRotation="0" wrapText="false" indent="0" shrinkToFit="true"/>
      <protection locked="true" hidden="false"/>
    </xf>
    <xf numFmtId="164" fontId="62" fillId="0" borderId="0" xfId="0" applyFont="true" applyBorder="false" applyAlignment="true" applyProtection="false">
      <alignment horizontal="center" vertical="center" textRotation="0" wrapText="false" indent="0" shrinkToFit="true"/>
      <protection locked="true" hidden="false"/>
    </xf>
    <xf numFmtId="164" fontId="23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5" fillId="9" borderId="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63" fillId="4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64" fillId="4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65" fillId="13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13" fillId="0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23" fillId="0" borderId="0" xfId="0" applyFont="true" applyBorder="false" applyAlignment="true" applyProtection="false">
      <alignment horizontal="left" vertical="center" textRotation="0" wrapText="false" indent="1" shrinkToFit="true"/>
      <protection locked="true" hidden="false"/>
    </xf>
    <xf numFmtId="165" fontId="23" fillId="0" borderId="0" xfId="0" applyFont="true" applyBorder="false" applyAlignment="true" applyProtection="false">
      <alignment horizontal="center" vertical="center" textRotation="0" wrapText="false" indent="0" shrinkToFit="true"/>
      <protection locked="true" hidden="false"/>
    </xf>
    <xf numFmtId="164" fontId="66" fillId="14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67" fillId="15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68" fillId="16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69" fillId="17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2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23" fillId="0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5" fontId="13" fillId="0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15" fillId="23" borderId="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61" fillId="23" borderId="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70" fillId="13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71" fillId="14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72" fillId="15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73" fillId="16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42" fillId="17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15" fillId="3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18" fillId="2" borderId="9" xfId="0" applyFont="true" applyBorder="true" applyAlignment="true" applyProtection="true">
      <alignment horizontal="center" vertical="center" textRotation="0" wrapText="false" indent="0" shrinkToFit="true"/>
      <protection locked="false" hidden="false"/>
    </xf>
    <xf numFmtId="164" fontId="76" fillId="0" borderId="0" xfId="0" applyFont="true" applyBorder="true" applyAlignment="true" applyProtection="false">
      <alignment horizontal="general" vertical="center" textRotation="0" wrapText="false" indent="1" shrinkToFit="true"/>
      <protection locked="true" hidden="false"/>
    </xf>
    <xf numFmtId="166" fontId="12" fillId="5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12" fillId="2" borderId="2" xfId="0" applyFont="true" applyBorder="true" applyAlignment="true" applyProtection="true">
      <alignment horizontal="center" vertical="center" textRotation="0" wrapText="false" indent="0" shrinkToFit="true"/>
      <protection locked="false" hidden="false"/>
    </xf>
    <xf numFmtId="164" fontId="7" fillId="0" borderId="0" xfId="0" applyFont="true" applyBorder="true" applyAlignment="true" applyProtection="false">
      <alignment horizontal="general" vertical="center" textRotation="0" wrapText="false" indent="0" shrinkToFit="true"/>
      <protection locked="true" hidden="false"/>
    </xf>
    <xf numFmtId="164" fontId="5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18" borderId="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15" fillId="24" borderId="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61" fillId="18" borderId="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77" fillId="25" borderId="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23" fillId="0" borderId="0" xfId="0" applyFont="true" applyBorder="false" applyAlignment="true" applyProtection="true">
      <alignment horizontal="center" vertical="center" textRotation="0" wrapText="false" indent="0" shrinkToFit="true"/>
      <protection locked="false" hidden="false"/>
    </xf>
    <xf numFmtId="164" fontId="16" fillId="0" borderId="0" xfId="0" applyFont="true" applyBorder="false" applyAlignment="true" applyProtection="true">
      <alignment horizontal="center" vertical="center" textRotation="0" wrapText="false" indent="0" shrinkToFit="true"/>
      <protection locked="false" hidden="false"/>
    </xf>
    <xf numFmtId="164" fontId="23" fillId="0" borderId="0" xfId="0" applyFont="true" applyBorder="false" applyAlignment="true" applyProtection="true">
      <alignment horizontal="left" vertical="center" textRotation="0" wrapText="false" indent="0" shrinkToFit="true"/>
      <protection locked="false" hidden="false"/>
    </xf>
    <xf numFmtId="164" fontId="13" fillId="0" borderId="0" xfId="0" applyFont="true" applyBorder="false" applyAlignment="true" applyProtection="true">
      <alignment horizontal="center" vertical="center" textRotation="0" wrapText="false" indent="0" shrinkToFit="true"/>
      <protection locked="fals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78" fillId="26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7" fillId="26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79" fillId="26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80" fillId="27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17" fillId="27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6" fontId="12" fillId="27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53">
    <dxf>
      <fill>
        <patternFill patternType="solid">
          <fgColor rgb="FF1F3864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A6A6A6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FFF5CC"/>
          <bgColor rgb="FF000000"/>
        </patternFill>
      </fill>
    </dxf>
    <dxf>
      <fill>
        <patternFill patternType="solid">
          <fgColor rgb="FF262626"/>
          <bgColor rgb="FF000000"/>
        </patternFill>
      </fill>
    </dxf>
    <dxf>
      <font>
        <strike val="1"/>
        <color rgb="FFA6A6A6"/>
      </font>
      <fill>
        <patternFill>
          <bgColor rgb="FFEDEDED"/>
        </patternFill>
      </fill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1F3864"/>
        </bottom>
        <diagonal/>
      </border>
    </dxf>
    <dxf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ont>
        <b val="1"/>
        <color rgb="FF375623"/>
      </font>
      <fill>
        <patternFill>
          <bgColor rgb="FFE2EFDA"/>
        </patternFill>
      </fill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ont>
        <b val="1"/>
        <color rgb="FF7F6000"/>
      </font>
      <fill>
        <patternFill>
          <bgColor rgb="FFFFF2CC"/>
        </patternFill>
      </fill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ont>
        <b val="1"/>
        <color rgb="FF808080"/>
      </font>
      <fill>
        <patternFill>
          <bgColor rgb="FFF2F2F2"/>
        </patternFill>
      </fill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ont>
        <b val="1"/>
        <color rgb="FFC00000"/>
      </font>
      <fill>
        <patternFill>
          <bgColor rgb="FFFDE2E2"/>
        </patternFill>
      </fill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ont>
        <color rgb="FFBFBFBF"/>
      </font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ill>
        <patternFill>
          <bgColor rgb="FFFFFFFF"/>
        </patternFill>
      </fill>
    </dxf>
    <dxf>
      <font>
        <b val="1"/>
        <color rgb="FF1F4E9E"/>
      </font>
      <fill>
        <patternFill>
          <bgColor rgb="FFF3F6FB"/>
        </patternFill>
      </fill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ont>
        <b val="1"/>
        <color rgb="FF1F4E9E"/>
      </font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ill>
        <patternFill>
          <bgColor rgb="FFF3F6FB"/>
        </patternFill>
      </fill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ont>
        <color rgb="FFC9C9C9"/>
      </font>
      <fill>
        <patternFill>
          <bgColor rgb="FFEAF4E4"/>
        </patternFill>
      </fill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ill>
        <patternFill>
          <bgColor rgb="FFEAF4E4"/>
        </patternFill>
      </fill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ont>
        <b val="1"/>
        <color rgb="FF1F4E9E"/>
      </font>
      <fill>
        <patternFill>
          <bgColor rgb="FFFFF2CC"/>
        </patternFill>
      </fill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ill>
        <patternFill>
          <bgColor rgb="FFFFF2CC"/>
        </patternFill>
      </fill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ont>
        <b val="1"/>
        <color rgb="FFFFFFFF"/>
      </font>
      <fill>
        <patternFill>
          <bgColor rgb="FFC00000"/>
        </patternFill>
      </fill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ont>
        <b val="1"/>
        <color rgb="FFFFFFFF"/>
      </font>
      <fill>
        <patternFill>
          <bgColor rgb="FFC00000"/>
        </patternFill>
      </fill>
      <border diagonalUp="false" diagonalDown="false">
        <left style="thin">
          <color rgb="FF5B7DB8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ont>
        <color rgb="FFD0D0D0"/>
      </font>
      <fill>
        <patternFill>
          <bgColor rgb="FFF5F5F5"/>
        </patternFill>
      </fill>
      <border diagonalUp="false" diagonalDown="false">
        <left style="thin">
          <color rgb="FF5B7DB8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ont>
        <b val="1"/>
        <color rgb="FFC00000"/>
      </font>
      <fill>
        <patternFill>
          <bgColor rgb="FFFDE2E2"/>
        </patternFill>
      </fill>
      <border diagonalUp="false" diagonalDown="false">
        <left style="thin">
          <color rgb="FF5B7DB8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ont>
        <b val="1"/>
        <color rgb="FF1F4E9E"/>
      </font>
      <border diagonalUp="false" diagonalDown="false">
        <left style="thin">
          <color rgb="FF5B7DB8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border diagonalUp="false" diagonalDown="false">
        <left style="thin">
          <color rgb="FF5B7DB8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ont>
        <color rgb="FFD0D0D0"/>
      </font>
      <fill>
        <patternFill>
          <bgColor rgb="FFF5F5F5"/>
        </patternFill>
      </fill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ill>
        <patternFill>
          <bgColor rgb="FF1F3864"/>
        </patternFill>
      </fill>
      <border diagonalUp="false" diagonalDown="false">
        <left style="thin">
          <color rgb="FFFFFFFF"/>
        </left>
        <right style="thin">
          <color rgb="FFFFFFFF"/>
        </right>
        <top style="thin">
          <color rgb="FF9E9E9E"/>
        </top>
        <bottom style="thin">
          <color rgb="FF9E9E9E"/>
        </bottom>
        <diagonal/>
      </border>
    </dxf>
    <dxf>
      <fill>
        <patternFill>
          <bgColor rgb="FF2F5597"/>
        </patternFill>
      </fill>
      <border diagonalUp="false" diagonalDown="false">
        <left style="thin">
          <color rgb="FFFFFFFF"/>
        </left>
        <right style="thin">
          <color rgb="FFFFFFFF"/>
        </right>
        <top style="thin">
          <color rgb="FF9E9E9E"/>
        </top>
        <bottom style="thin">
          <color rgb="FF9E9E9E"/>
        </bottom>
        <diagonal/>
      </border>
    </dxf>
    <dxf>
      <fill>
        <patternFill>
          <bgColor rgb="FFDCE4F2"/>
        </patternFill>
      </fill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ont>
        <color rgb="FFFFFFFF"/>
      </font>
      <fill>
        <patternFill>
          <bgColor rgb="FFFFFFFF"/>
        </patternFill>
      </fill>
    </dxf>
    <dxf>
      <font>
        <b val="1"/>
        <color rgb="FF1F4E9E"/>
      </font>
      <fill>
        <patternFill>
          <bgColor rgb="FFD9E6F5"/>
        </patternFill>
      </fill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ill>
        <patternFill patternType="solid">
          <fgColor rgb="FF7F7F7F"/>
          <bgColor rgb="FF000000"/>
        </patternFill>
      </fill>
    </dxf>
    <dxf>
      <fill>
        <patternFill patternType="solid">
          <fgColor rgb="FF7F6000"/>
          <bgColor rgb="FF000000"/>
        </patternFill>
      </fill>
    </dxf>
    <dxf>
      <fill>
        <patternFill patternType="solid">
          <fgColor rgb="FF385723"/>
          <bgColor rgb="FF000000"/>
        </patternFill>
      </fill>
    </dxf>
    <dxf>
      <font>
        <color rgb="FFA6A6A6"/>
      </font>
      <fill>
        <patternFill>
          <bgColor rgb="FFEDEDED"/>
        </patternFill>
      </fill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ont>
        <color rgb="FFBFBFBF"/>
      </font>
      <fill>
        <patternFill>
          <bgColor rgb="FFF2F2F2"/>
        </patternFill>
      </fill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ill>
        <patternFill>
          <bgColor rgb="FFFFD7D7"/>
        </patternFill>
      </fill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ont>
        <b val="1"/>
        <color rgb="FFC55A11"/>
      </font>
      <fill>
        <patternFill>
          <bgColor rgb="FFFCE4D6"/>
        </patternFill>
      </fill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ill>
        <patternFill>
          <bgColor rgb="FFFFF5CC"/>
        </patternFill>
      </fill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ont>
        <b val="1"/>
        <color rgb="FF548235"/>
      </font>
      <fill>
        <patternFill>
          <bgColor rgb="FFDCEBDC"/>
        </patternFill>
      </fill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ont>
        <b val="1"/>
        <color rgb="FF2F5597"/>
      </font>
      <fill>
        <patternFill>
          <bgColor rgb="FFD9E6F5"/>
        </patternFill>
      </fill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ont>
        <b val="1"/>
        <color rgb="FFC55A11"/>
      </font>
      <fill>
        <patternFill>
          <bgColor rgb="FFFBE3D2"/>
        </patternFill>
      </fill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ont>
        <b val="1"/>
        <color rgb="FF7030A0"/>
      </font>
      <fill>
        <patternFill>
          <bgColor rgb="FFE8DEF3"/>
        </patternFill>
      </fill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ont>
        <b val="1"/>
        <color rgb="FF2E8B8B"/>
      </font>
      <fill>
        <patternFill>
          <bgColor rgb="FFD6EFEF"/>
        </patternFill>
      </fill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ont>
        <b val="1"/>
        <color rgb="FF1F4E9E"/>
      </font>
      <fill>
        <patternFill>
          <bgColor rgb="FFFFF5CC"/>
        </patternFill>
      </fill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ont>
        <color rgb="FFC00000"/>
      </font>
      <fill>
        <patternFill>
          <bgColor rgb="FFFFD7D7"/>
        </patternFill>
      </fill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ont>
        <b val="1"/>
        <color rgb="FFC00000"/>
      </font>
      <fill>
        <patternFill>
          <bgColor rgb="FFFFD7D7"/>
        </patternFill>
      </fill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ont>
        <color rgb="FF808080"/>
      </font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ont>
        <b val="1"/>
        <color rgb="FF1F4E9E"/>
      </font>
      <fill>
        <patternFill>
          <bgColor rgb="FFEAF4E4"/>
        </patternFill>
      </fill>
      <border diagonalUp="false" diagonalDown="false">
        <left style="thin">
          <color rgb="FFD0D0D0"/>
        </left>
        <right style="thin">
          <color rgb="FFD0D0D0"/>
        </right>
        <top style="thin">
          <color rgb="FFD0D0D0"/>
        </top>
        <bottom style="thin">
          <color rgb="FFD0D0D0"/>
        </bottom>
        <diagonal/>
      </border>
    </dxf>
    <dxf>
      <font>
        <color rgb="FFA6A6A6"/>
      </font>
    </dxf>
  </dxfs>
  <colors>
    <indexedColors>
      <rgbColor rgb="FF000000"/>
      <rgbColor rgb="FFFFFFFF"/>
      <rgbColor rgb="FFC00000"/>
      <rgbColor rgb="FFEDEDED"/>
      <rgbColor rgb="FF0000FF"/>
      <rgbColor rgb="FFFFF2CC"/>
      <rgbColor rgb="FFFFF0F0"/>
      <rgbColor rgb="FFD9E6F5"/>
      <rgbColor rgb="FF800000"/>
      <rgbColor rgb="FF548235"/>
      <rgbColor rgb="FF000080"/>
      <rgbColor rgb="FF7F6000"/>
      <rgbColor rgb="FFF3F6FB"/>
      <rgbColor rgb="FFE8DEF3"/>
      <rgbColor rgb="FFBFBFBF"/>
      <rgbColor rgb="FF808080"/>
      <rgbColor rgb="FFA5A5A5"/>
      <rgbColor rgb="FF7030A0"/>
      <rgbColor rgb="FFFFF5CC"/>
      <rgbColor rgb="FFD6EFEF"/>
      <rgbColor rgb="FF660066"/>
      <rgbColor rgb="FFE06666"/>
      <rgbColor rgb="FF2F5597"/>
      <rgbColor rgb="FFD0D0D0"/>
      <rgbColor rgb="FF000080"/>
      <rgbColor rgb="FFF5F5F5"/>
      <rgbColor rgb="FFFBE3D2"/>
      <rgbColor rgb="FFDCEBDC"/>
      <rgbColor rgb="FFF7F7F7"/>
      <rgbColor rgb="FF800000"/>
      <rgbColor rgb="FFFDE2E2"/>
      <rgbColor rgb="FF0000FF"/>
      <rgbColor rgb="FFDCE4F2"/>
      <rgbColor rgb="FFEAF4E4"/>
      <rgbColor rgb="FFE2EFDA"/>
      <rgbColor rgb="FFFFE699"/>
      <rgbColor rgb="FFC9C9C9"/>
      <rgbColor rgb="FFD9D9D9"/>
      <rgbColor rgb="FFA6A6A6"/>
      <rgbColor rgb="FFFFD7D7"/>
      <rgbColor rgb="FF4472C4"/>
      <rgbColor rgb="FF878787"/>
      <rgbColor rgb="FFA9D08E"/>
      <rgbColor rgb="FFC6E0B4"/>
      <rgbColor rgb="FFFCE4D6"/>
      <rgbColor rgb="FFC55A11"/>
      <rgbColor rgb="FF5B7DB8"/>
      <rgbColor rgb="FF9E9E9E"/>
      <rgbColor rgb="FF1F3864"/>
      <rgbColor rgb="FF2E8B8B"/>
      <rgbColor rgb="FF385723"/>
      <rgbColor rgb="FF375623"/>
      <rgbColor rgb="FFF2F2F2"/>
      <rgbColor rgb="FF7F7F7F"/>
      <rgbColor rgb="FF1F4E9E"/>
      <rgbColor rgb="FF262626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worksheet" Target="worksheets/sheet14.xml"/><Relationship Id="rId17" Type="http://schemas.openxmlformats.org/officeDocument/2006/relationships/worksheet" Target="worksheets/sheet15.xml"/><Relationship Id="rId18" Type="http://schemas.openxmlformats.org/officeDocument/2006/relationships/worksheet" Target="worksheets/sheet16.xml"/><Relationship Id="rId19" Type="http://schemas.openxmlformats.org/officeDocument/2006/relationships/worksheet" Target="worksheets/sheet17.xml"/><Relationship Id="rId20" Type="http://schemas.openxmlformats.org/officeDocument/2006/relationships/worksheet" Target="worksheets/sheet18.xml"/><Relationship Id="rId21" Type="http://schemas.openxmlformats.org/officeDocument/2006/relationships/worksheet" Target="worksheets/sheet19.xml"/><Relationship Id="rId22" Type="http://schemas.openxmlformats.org/officeDocument/2006/relationships/worksheet" Target="worksheets/sheet20.xml"/><Relationship Id="rId23" Type="http://schemas.openxmlformats.org/officeDocument/2006/relationships/worksheet" Target="worksheets/sheet21.xml"/><Relationship Id="rId24" Type="http://schemas.openxmlformats.org/officeDocument/2006/relationships/worksheet" Target="worksheets/sheet22.xml"/><Relationship Id="rId25" Type="http://schemas.openxmlformats.org/officeDocument/2006/relationships/worksheet" Target="worksheets/sheet23.xml"/><Relationship Id="rId26" Type="http://schemas.openxmlformats.org/officeDocument/2006/relationships/worksheet" Target="worksheets/sheet24.xml"/><Relationship Id="rId27" Type="http://schemas.openxmlformats.org/officeDocument/2006/relationships/worksheet" Target="worksheets/sheet25.xml"/><Relationship Id="rId28" Type="http://schemas.openxmlformats.org/officeDocument/2006/relationships/worksheet" Target="worksheets/sheet26.xml"/><Relationship Id="rId29" Type="http://schemas.openxmlformats.org/officeDocument/2006/relationships/worksheet" Target="worksheets/sheet27.xml"/><Relationship Id="rId30" Type="http://schemas.openxmlformats.org/officeDocument/2006/relationships/worksheet" Target="worksheets/sheet28.xml"/><Relationship Id="rId31" Type="http://schemas.openxmlformats.org/officeDocument/2006/relationships/worksheet" Target="worksheets/sheet29.xml"/><Relationship Id="rId32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知識・技能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bar"/>
        <c:grouping val="percentStacked"/>
        <c:varyColors val="0"/>
        <c:ser>
          <c:idx val="0"/>
          <c:order val="0"/>
          <c:tx>
            <c:strRef>
              <c:f>コース別分析!D6</c:f>
              <c:strCache>
                <c:ptCount val="1"/>
                <c:pt idx="0">
                  <c:v>A</c:v>
                </c:pt>
              </c:strCache>
            </c:strRef>
          </c:tx>
          <c:spPr>
            <a:solidFill>
              <a:srgbClr val="4472c4"/>
            </a:solidFill>
            <a:ln w="0">
              <a:solidFill>
                <a:srgbClr val="ffffff"/>
              </a:solidFill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コース別分析!$B$7:$B$12</c:f>
              <c:strCache>
                <c:ptCount val="6"/>
                <c:pt idx="0">
                  <c:v>深める</c:v>
                </c:pt>
                <c:pt idx="1">
                  <c:v>広げるA</c:v>
                </c:pt>
                <c:pt idx="2">
                  <c:v>広げるB</c:v>
                </c:pt>
                <c:pt idx="3">
                  <c:v>かためる</c:v>
                </c:pt>
                <c:pt idx="4">
                  <c:v/>
                </c:pt>
                <c:pt idx="5">
                  <c:v>全体</c:v>
                </c:pt>
              </c:strCache>
            </c:strRef>
          </c:cat>
          <c:val>
            <c:numRef>
              <c:f>コース別分析!$D$7:$D$12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コース別分析!E6</c:f>
              <c:strCache>
                <c:ptCount val="1"/>
                <c:pt idx="0">
                  <c:v>B</c:v>
                </c:pt>
              </c:strCache>
            </c:strRef>
          </c:tx>
          <c:spPr>
            <a:solidFill>
              <a:srgbClr val="a5a5a5"/>
            </a:solidFill>
            <a:ln w="0">
              <a:solidFill>
                <a:srgbClr val="ffffff"/>
              </a:solidFill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コース別分析!$B$7:$B$12</c:f>
              <c:strCache>
                <c:ptCount val="6"/>
                <c:pt idx="0">
                  <c:v>深める</c:v>
                </c:pt>
                <c:pt idx="1">
                  <c:v>広げるA</c:v>
                </c:pt>
                <c:pt idx="2">
                  <c:v>広げるB</c:v>
                </c:pt>
                <c:pt idx="3">
                  <c:v>かためる</c:v>
                </c:pt>
                <c:pt idx="4">
                  <c:v/>
                </c:pt>
                <c:pt idx="5">
                  <c:v>全体</c:v>
                </c:pt>
              </c:strCache>
            </c:strRef>
          </c:cat>
          <c:val>
            <c:numRef>
              <c:f>コース別分析!$E$7:$E$12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</c:ser>
        <c:ser>
          <c:idx val="2"/>
          <c:order val="2"/>
          <c:tx>
            <c:strRef>
              <c:f>コース別分析!F6</c:f>
              <c:strCache>
                <c:ptCount val="1"/>
                <c:pt idx="0">
                  <c:v>C</c:v>
                </c:pt>
              </c:strCache>
            </c:strRef>
          </c:tx>
          <c:spPr>
            <a:solidFill>
              <a:srgbClr val="e06666"/>
            </a:solidFill>
            <a:ln w="0">
              <a:solidFill>
                <a:srgbClr val="ffffff"/>
              </a:solidFill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コース別分析!$B$7:$B$12</c:f>
              <c:strCache>
                <c:ptCount val="6"/>
                <c:pt idx="0">
                  <c:v>深める</c:v>
                </c:pt>
                <c:pt idx="1">
                  <c:v>広げるA</c:v>
                </c:pt>
                <c:pt idx="2">
                  <c:v>広げるB</c:v>
                </c:pt>
                <c:pt idx="3">
                  <c:v>かためる</c:v>
                </c:pt>
                <c:pt idx="4">
                  <c:v/>
                </c:pt>
                <c:pt idx="5">
                  <c:v>全体</c:v>
                </c:pt>
              </c:strCache>
            </c:strRef>
          </c:cat>
          <c:val>
            <c:numRef>
              <c:f>コース別分析!$F$7:$F$12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</c:ser>
        <c:gapWidth val="150"/>
        <c:overlap val="100"/>
        <c:axId val="72658577"/>
        <c:axId val="46689319"/>
      </c:barChart>
      <c:catAx>
        <c:axId val="72658577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46689319"/>
        <c:crosses val="autoZero"/>
        <c:auto val="1"/>
        <c:lblAlgn val="ctr"/>
        <c:lblOffset val="100"/>
        <c:noMultiLvlLbl val="0"/>
      </c:catAx>
      <c:valAx>
        <c:axId val="46689319"/>
        <c:scaling>
          <c:orientation val="minMax"/>
        </c:scaling>
        <c:delete val="0"/>
        <c:axPos val="l"/>
        <c:numFmt formatCode="0%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2658577"/>
        <c:crosses val="autoZero"/>
        <c:crossBetween val="between"/>
      </c:valAx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思考・判断・表現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bar"/>
        <c:grouping val="percentStacked"/>
        <c:varyColors val="0"/>
        <c:ser>
          <c:idx val="0"/>
          <c:order val="0"/>
          <c:tx>
            <c:strRef>
              <c:f>コース別分析!G6</c:f>
              <c:strCache>
                <c:ptCount val="1"/>
                <c:pt idx="0">
                  <c:v>A</c:v>
                </c:pt>
              </c:strCache>
            </c:strRef>
          </c:tx>
          <c:spPr>
            <a:solidFill>
              <a:srgbClr val="4472c4"/>
            </a:solidFill>
            <a:ln w="0">
              <a:solidFill>
                <a:srgbClr val="ffffff"/>
              </a:solidFill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コース別分析!$B$7:$B$12</c:f>
              <c:strCache>
                <c:ptCount val="6"/>
                <c:pt idx="0">
                  <c:v>深める</c:v>
                </c:pt>
                <c:pt idx="1">
                  <c:v>広げるA</c:v>
                </c:pt>
                <c:pt idx="2">
                  <c:v>広げるB</c:v>
                </c:pt>
                <c:pt idx="3">
                  <c:v>かためる</c:v>
                </c:pt>
                <c:pt idx="4">
                  <c:v/>
                </c:pt>
                <c:pt idx="5">
                  <c:v>全体</c:v>
                </c:pt>
              </c:strCache>
            </c:strRef>
          </c:cat>
          <c:val>
            <c:numRef>
              <c:f>コース別分析!$G$7:$G$12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コース別分析!H6</c:f>
              <c:strCache>
                <c:ptCount val="1"/>
                <c:pt idx="0">
                  <c:v>B</c:v>
                </c:pt>
              </c:strCache>
            </c:strRef>
          </c:tx>
          <c:spPr>
            <a:solidFill>
              <a:srgbClr val="a5a5a5"/>
            </a:solidFill>
            <a:ln w="0">
              <a:solidFill>
                <a:srgbClr val="ffffff"/>
              </a:solidFill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コース別分析!$B$7:$B$12</c:f>
              <c:strCache>
                <c:ptCount val="6"/>
                <c:pt idx="0">
                  <c:v>深める</c:v>
                </c:pt>
                <c:pt idx="1">
                  <c:v>広げるA</c:v>
                </c:pt>
                <c:pt idx="2">
                  <c:v>広げるB</c:v>
                </c:pt>
                <c:pt idx="3">
                  <c:v>かためる</c:v>
                </c:pt>
                <c:pt idx="4">
                  <c:v/>
                </c:pt>
                <c:pt idx="5">
                  <c:v>全体</c:v>
                </c:pt>
              </c:strCache>
            </c:strRef>
          </c:cat>
          <c:val>
            <c:numRef>
              <c:f>コース別分析!$H$7:$H$12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</c:ser>
        <c:ser>
          <c:idx val="2"/>
          <c:order val="2"/>
          <c:tx>
            <c:strRef>
              <c:f>コース別分析!I6</c:f>
              <c:strCache>
                <c:ptCount val="1"/>
                <c:pt idx="0">
                  <c:v>C</c:v>
                </c:pt>
              </c:strCache>
            </c:strRef>
          </c:tx>
          <c:spPr>
            <a:solidFill>
              <a:srgbClr val="e06666"/>
            </a:solidFill>
            <a:ln w="0">
              <a:solidFill>
                <a:srgbClr val="ffffff"/>
              </a:solidFill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コース別分析!$B$7:$B$12</c:f>
              <c:strCache>
                <c:ptCount val="6"/>
                <c:pt idx="0">
                  <c:v>深める</c:v>
                </c:pt>
                <c:pt idx="1">
                  <c:v>広げるA</c:v>
                </c:pt>
                <c:pt idx="2">
                  <c:v>広げるB</c:v>
                </c:pt>
                <c:pt idx="3">
                  <c:v>かためる</c:v>
                </c:pt>
                <c:pt idx="4">
                  <c:v/>
                </c:pt>
                <c:pt idx="5">
                  <c:v>全体</c:v>
                </c:pt>
              </c:strCache>
            </c:strRef>
          </c:cat>
          <c:val>
            <c:numRef>
              <c:f>コース別分析!$I$7:$I$12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</c:ser>
        <c:gapWidth val="150"/>
        <c:overlap val="100"/>
        <c:axId val="21549838"/>
        <c:axId val="36952172"/>
      </c:barChart>
      <c:catAx>
        <c:axId val="21549838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36952172"/>
        <c:crosses val="autoZero"/>
        <c:auto val="1"/>
        <c:lblAlgn val="ctr"/>
        <c:lblOffset val="100"/>
        <c:noMultiLvlLbl val="0"/>
      </c:catAx>
      <c:valAx>
        <c:axId val="36952172"/>
        <c:scaling>
          <c:orientation val="minMax"/>
        </c:scaling>
        <c:delete val="0"/>
        <c:axPos val="l"/>
        <c:numFmt formatCode="0%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21549838"/>
        <c:crosses val="autoZero"/>
        <c:crossBetween val="between"/>
      </c:valAx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主体的に学習に取り組む態度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bar"/>
        <c:grouping val="percentStacked"/>
        <c:varyColors val="0"/>
        <c:ser>
          <c:idx val="0"/>
          <c:order val="0"/>
          <c:tx>
            <c:strRef>
              <c:f>コース別分析!J6</c:f>
              <c:strCache>
                <c:ptCount val="1"/>
                <c:pt idx="0">
                  <c:v>A</c:v>
                </c:pt>
              </c:strCache>
            </c:strRef>
          </c:tx>
          <c:spPr>
            <a:solidFill>
              <a:srgbClr val="4472c4"/>
            </a:solidFill>
            <a:ln w="0">
              <a:solidFill>
                <a:srgbClr val="ffffff"/>
              </a:solidFill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コース別分析!$B$7:$B$12</c:f>
              <c:strCache>
                <c:ptCount val="6"/>
                <c:pt idx="0">
                  <c:v>深める</c:v>
                </c:pt>
                <c:pt idx="1">
                  <c:v>広げるA</c:v>
                </c:pt>
                <c:pt idx="2">
                  <c:v>広げるB</c:v>
                </c:pt>
                <c:pt idx="3">
                  <c:v>かためる</c:v>
                </c:pt>
                <c:pt idx="4">
                  <c:v/>
                </c:pt>
                <c:pt idx="5">
                  <c:v>全体</c:v>
                </c:pt>
              </c:strCache>
            </c:strRef>
          </c:cat>
          <c:val>
            <c:numRef>
              <c:f>コース別分析!$J$7:$J$12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コース別分析!K6</c:f>
              <c:strCache>
                <c:ptCount val="1"/>
                <c:pt idx="0">
                  <c:v>B</c:v>
                </c:pt>
              </c:strCache>
            </c:strRef>
          </c:tx>
          <c:spPr>
            <a:solidFill>
              <a:srgbClr val="a5a5a5"/>
            </a:solidFill>
            <a:ln w="0">
              <a:solidFill>
                <a:srgbClr val="ffffff"/>
              </a:solidFill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コース別分析!$B$7:$B$12</c:f>
              <c:strCache>
                <c:ptCount val="6"/>
                <c:pt idx="0">
                  <c:v>深める</c:v>
                </c:pt>
                <c:pt idx="1">
                  <c:v>広げるA</c:v>
                </c:pt>
                <c:pt idx="2">
                  <c:v>広げるB</c:v>
                </c:pt>
                <c:pt idx="3">
                  <c:v>かためる</c:v>
                </c:pt>
                <c:pt idx="4">
                  <c:v/>
                </c:pt>
                <c:pt idx="5">
                  <c:v>全体</c:v>
                </c:pt>
              </c:strCache>
            </c:strRef>
          </c:cat>
          <c:val>
            <c:numRef>
              <c:f>コース別分析!$K$7:$K$12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</c:ser>
        <c:ser>
          <c:idx val="2"/>
          <c:order val="2"/>
          <c:tx>
            <c:strRef>
              <c:f>コース別分析!L6</c:f>
              <c:strCache>
                <c:ptCount val="1"/>
                <c:pt idx="0">
                  <c:v>C</c:v>
                </c:pt>
              </c:strCache>
            </c:strRef>
          </c:tx>
          <c:spPr>
            <a:solidFill>
              <a:srgbClr val="e06666"/>
            </a:solidFill>
            <a:ln w="0">
              <a:solidFill>
                <a:srgbClr val="ffffff"/>
              </a:solidFill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コース別分析!$B$7:$B$12</c:f>
              <c:strCache>
                <c:ptCount val="6"/>
                <c:pt idx="0">
                  <c:v>深める</c:v>
                </c:pt>
                <c:pt idx="1">
                  <c:v>広げるA</c:v>
                </c:pt>
                <c:pt idx="2">
                  <c:v>広げるB</c:v>
                </c:pt>
                <c:pt idx="3">
                  <c:v>かためる</c:v>
                </c:pt>
                <c:pt idx="4">
                  <c:v/>
                </c:pt>
                <c:pt idx="5">
                  <c:v>全体</c:v>
                </c:pt>
              </c:strCache>
            </c:strRef>
          </c:cat>
          <c:val>
            <c:numRef>
              <c:f>コース別分析!$L$7:$L$12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5">
                  <c:v>0</c:v>
                </c:pt>
              </c:numCache>
            </c:numRef>
          </c:val>
        </c:ser>
        <c:gapWidth val="150"/>
        <c:overlap val="100"/>
        <c:axId val="95420895"/>
        <c:axId val="89672904"/>
      </c:barChart>
      <c:catAx>
        <c:axId val="95420895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89672904"/>
        <c:crosses val="autoZero"/>
        <c:auto val="1"/>
        <c:lblAlgn val="ctr"/>
        <c:lblOffset val="100"/>
        <c:noMultiLvlLbl val="0"/>
      </c:catAx>
      <c:valAx>
        <c:axId val="89672904"/>
        <c:scaling>
          <c:orientation val="minMax"/>
        </c:scaling>
        <c:delete val="0"/>
        <c:axPos val="l"/>
        <c:numFmt formatCode="0%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95420895"/>
        <c:crosses val="autoZero"/>
        <c:crossBetween val="between"/>
      </c:valAx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2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22</xdr:row>
      <xdr:rowOff>0</xdr:rowOff>
    </xdr:from>
    <xdr:to>
      <xdr:col>6</xdr:col>
      <xdr:colOff>201240</xdr:colOff>
      <xdr:row>36</xdr:row>
      <xdr:rowOff>32760</xdr:rowOff>
    </xdr:to>
    <xdr:graphicFrame>
      <xdr:nvGraphicFramePr>
        <xdr:cNvPr id="0" name="Chart 1"/>
        <xdr:cNvGraphicFramePr/>
      </xdr:nvGraphicFramePr>
      <xdr:xfrm>
        <a:off x="211320" y="5705640"/>
        <a:ext cx="2879640" cy="269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8</xdr:col>
      <xdr:colOff>0</xdr:colOff>
      <xdr:row>22</xdr:row>
      <xdr:rowOff>0</xdr:rowOff>
    </xdr:from>
    <xdr:to>
      <xdr:col>14</xdr:col>
      <xdr:colOff>694440</xdr:colOff>
      <xdr:row>36</xdr:row>
      <xdr:rowOff>32760</xdr:rowOff>
    </xdr:to>
    <xdr:graphicFrame>
      <xdr:nvGraphicFramePr>
        <xdr:cNvPr id="1" name="Chart 2"/>
        <xdr:cNvGraphicFramePr/>
      </xdr:nvGraphicFramePr>
      <xdr:xfrm>
        <a:off x="3735720" y="5705640"/>
        <a:ext cx="2879640" cy="269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16</xdr:col>
      <xdr:colOff>0</xdr:colOff>
      <xdr:row>22</xdr:row>
      <xdr:rowOff>0</xdr:rowOff>
    </xdr:from>
    <xdr:to>
      <xdr:col>21</xdr:col>
      <xdr:colOff>412560</xdr:colOff>
      <xdr:row>36</xdr:row>
      <xdr:rowOff>32760</xdr:rowOff>
    </xdr:to>
    <xdr:graphicFrame>
      <xdr:nvGraphicFramePr>
        <xdr:cNvPr id="2" name="Chart 3"/>
        <xdr:cNvGraphicFramePr/>
      </xdr:nvGraphicFramePr>
      <xdr:xfrm>
        <a:off x="7682760" y="5705640"/>
        <a:ext cx="2879640" cy="269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13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_rels/sheet14.xml.rels><?xml version="1.0" encoding="UTF-8"?>
<Relationships xmlns="http://schemas.openxmlformats.org/package/2006/relationships"><Relationship Id="rId1" Type="http://schemas.openxmlformats.org/officeDocument/2006/relationships/drawing" Target="../drawings/drawing7.xml"/>
</Relationships>
</file>

<file path=xl/worksheets/_rels/sheet15.xml.rels><?xml version="1.0" encoding="UTF-8"?>
<Relationships xmlns="http://schemas.openxmlformats.org/package/2006/relationships"><Relationship Id="rId1" Type="http://schemas.openxmlformats.org/officeDocument/2006/relationships/drawing" Target="../drawings/drawing8.xml"/>
</Relationships>
</file>

<file path=xl/worksheets/_rels/sheet16.xml.rels><?xml version="1.0" encoding="UTF-8"?>
<Relationships xmlns="http://schemas.openxmlformats.org/package/2006/relationships"><Relationship Id="rId1" Type="http://schemas.openxmlformats.org/officeDocument/2006/relationships/drawing" Target="../drawings/drawing9.xml"/>
</Relationships>
</file>

<file path=xl/worksheets/_rels/sheet17.xml.rels><?xml version="1.0" encoding="UTF-8"?>
<Relationships xmlns="http://schemas.openxmlformats.org/package/2006/relationships"><Relationship Id="rId1" Type="http://schemas.openxmlformats.org/officeDocument/2006/relationships/drawing" Target="../drawings/drawing10.xml"/>
</Relationships>
</file>

<file path=xl/worksheets/_rels/sheet18.xml.rels><?xml version="1.0" encoding="UTF-8"?>
<Relationships xmlns="http://schemas.openxmlformats.org/package/2006/relationships"><Relationship Id="rId1" Type="http://schemas.openxmlformats.org/officeDocument/2006/relationships/drawing" Target="../drawings/drawing11.xml"/>
</Relationships>
</file>

<file path=xl/worksheets/_rels/sheet19.xml.rels><?xml version="1.0" encoding="UTF-8"?>
<Relationships xmlns="http://schemas.openxmlformats.org/package/2006/relationships"><Relationship Id="rId1" Type="http://schemas.openxmlformats.org/officeDocument/2006/relationships/drawing" Target="../drawings/drawing12.xml"/>
</Relationships>
</file>

<file path=xl/worksheets/_rels/sheet20.xml.rels><?xml version="1.0" encoding="UTF-8"?>
<Relationships xmlns="http://schemas.openxmlformats.org/package/2006/relationships"><Relationship Id="rId1" Type="http://schemas.openxmlformats.org/officeDocument/2006/relationships/drawing" Target="../drawings/drawing13.xml"/>
</Relationships>
</file>

<file path=xl/worksheets/_rels/sheet21.xml.rels><?xml version="1.0" encoding="UTF-8"?>
<Relationships xmlns="http://schemas.openxmlformats.org/package/2006/relationships"><Relationship Id="rId1" Type="http://schemas.openxmlformats.org/officeDocument/2006/relationships/drawing" Target="../drawings/drawing14.xml"/>
</Relationships>
</file>

<file path=xl/worksheets/_rels/sheet22.xml.rels><?xml version="1.0" encoding="UTF-8"?>
<Relationships xmlns="http://schemas.openxmlformats.org/package/2006/relationships"><Relationship Id="rId1" Type="http://schemas.openxmlformats.org/officeDocument/2006/relationships/drawing" Target="../drawings/drawing15.xml"/>
</Relationships>
</file>

<file path=xl/worksheets/_rels/sheet23.xml.rels><?xml version="1.0" encoding="UTF-8"?>
<Relationships xmlns="http://schemas.openxmlformats.org/package/2006/relationships"><Relationship Id="rId1" Type="http://schemas.openxmlformats.org/officeDocument/2006/relationships/drawing" Target="../drawings/drawing16.xml"/>
</Relationships>
</file>

<file path=xl/worksheets/_rels/sheet24.xml.rels><?xml version="1.0" encoding="UTF-8"?>
<Relationships xmlns="http://schemas.openxmlformats.org/package/2006/relationships"><Relationship Id="rId1" Type="http://schemas.openxmlformats.org/officeDocument/2006/relationships/drawing" Target="../drawings/drawing17.xml"/>
</Relationships>
</file>

<file path=xl/worksheets/_rels/sheet25.xml.rels><?xml version="1.0" encoding="UTF-8"?>
<Relationships xmlns="http://schemas.openxmlformats.org/package/2006/relationships"><Relationship Id="rId1" Type="http://schemas.openxmlformats.org/officeDocument/2006/relationships/drawing" Target="../drawings/drawing18.xml"/>
</Relationships>
</file>

<file path=xl/worksheets/_rels/sheet26.xml.rels><?xml version="1.0" encoding="UTF-8"?>
<Relationships xmlns="http://schemas.openxmlformats.org/package/2006/relationships"><Relationship Id="rId1" Type="http://schemas.openxmlformats.org/officeDocument/2006/relationships/drawing" Target="../drawings/drawing19.xml"/>
</Relationships>
</file>

<file path=xl/worksheets/_rels/sheet27.xml.rels><?xml version="1.0" encoding="UTF-8"?>
<Relationships xmlns="http://schemas.openxmlformats.org/package/2006/relationships"><Relationship Id="rId1" Type="http://schemas.openxmlformats.org/officeDocument/2006/relationships/drawing" Target="../drawings/drawing20.xml"/>
</Relationships>
</file>

<file path=xl/worksheets/_rels/sheet28.xml.rels><?xml version="1.0" encoding="UTF-8"?>
<Relationships xmlns="http://schemas.openxmlformats.org/package/2006/relationships"><Relationship Id="rId1" Type="http://schemas.openxmlformats.org/officeDocument/2006/relationships/drawing" Target="../drawings/drawing21.xml"/>
</Relationships>
</file>

<file path=xl/worksheets/_rels/sheet29.xml.rels><?xml version="1.0" encoding="UTF-8"?>
<Relationships xmlns="http://schemas.openxmlformats.org/package/2006/relationships"><Relationship Id="rId1" Type="http://schemas.openxmlformats.org/officeDocument/2006/relationships/drawing" Target="../drawings/drawing2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D35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7"/>
    <col collapsed="false" customWidth="true" hidden="false" outlineLevel="0" max="3" min="3" style="0" width="22"/>
    <col collapsed="false" customWidth="true" hidden="false" outlineLevel="0" max="4" min="4" style="0" width="100"/>
  </cols>
  <sheetData>
    <row r="1" customFormat="false" ht="33.75" hidden="false" customHeight="true" outlineLevel="0" collapsed="false">
      <c r="B1" s="1" t="s">
        <v>0</v>
      </c>
      <c r="C1" s="1"/>
      <c r="D1" s="1"/>
    </row>
    <row r="2" customFormat="false" ht="15" hidden="false" customHeight="false" outlineLevel="0" collapsed="false">
      <c r="B2" s="2" t="s">
        <v>1</v>
      </c>
      <c r="C2" s="2"/>
      <c r="D2" s="2"/>
    </row>
    <row r="3" customFormat="false" ht="15" hidden="false" customHeight="false" outlineLevel="0" collapsed="false">
      <c r="B3" s="3" t="s">
        <v>2</v>
      </c>
      <c r="C3" s="4" t="s">
        <v>3</v>
      </c>
    </row>
    <row r="6" customFormat="false" ht="24" hidden="false" customHeight="true" outlineLevel="0" collapsed="false">
      <c r="B6" s="5" t="s">
        <v>4</v>
      </c>
      <c r="C6" s="5"/>
      <c r="D6" s="5"/>
    </row>
    <row r="7" customFormat="false" ht="25.5" hidden="false" customHeight="true" outlineLevel="0" collapsed="false">
      <c r="B7" s="6" t="s">
        <v>5</v>
      </c>
      <c r="C7" s="7" t="s">
        <v>6</v>
      </c>
      <c r="D7" s="8" t="s">
        <v>7</v>
      </c>
    </row>
    <row r="8" customFormat="false" ht="25.5" hidden="false" customHeight="true" outlineLevel="0" collapsed="false">
      <c r="B8" s="6" t="s">
        <v>8</v>
      </c>
      <c r="C8" s="7" t="s">
        <v>9</v>
      </c>
      <c r="D8" s="8" t="s">
        <v>10</v>
      </c>
    </row>
    <row r="10" customFormat="false" ht="24" hidden="false" customHeight="true" outlineLevel="0" collapsed="false">
      <c r="B10" s="5" t="s">
        <v>11</v>
      </c>
      <c r="C10" s="5"/>
      <c r="D10" s="5"/>
    </row>
    <row r="11" customFormat="false" ht="25.5" hidden="false" customHeight="true" outlineLevel="0" collapsed="false">
      <c r="B11" s="6" t="s">
        <v>12</v>
      </c>
      <c r="C11" s="7" t="s">
        <v>13</v>
      </c>
      <c r="D11" s="8" t="s">
        <v>14</v>
      </c>
    </row>
    <row r="12" customFormat="false" ht="25.5" hidden="false" customHeight="true" outlineLevel="0" collapsed="false">
      <c r="B12" s="6" t="s">
        <v>15</v>
      </c>
      <c r="C12" s="7" t="s">
        <v>13</v>
      </c>
      <c r="D12" s="8" t="s">
        <v>16</v>
      </c>
    </row>
    <row r="13" customFormat="false" ht="25.5" hidden="false" customHeight="true" outlineLevel="0" collapsed="false">
      <c r="B13" s="6" t="s">
        <v>17</v>
      </c>
      <c r="C13" s="7" t="s">
        <v>13</v>
      </c>
      <c r="D13" s="9" t="s">
        <v>18</v>
      </c>
    </row>
    <row r="14" customFormat="false" ht="25.5" hidden="false" customHeight="true" outlineLevel="0" collapsed="false">
      <c r="B14" s="6" t="s">
        <v>19</v>
      </c>
      <c r="C14" s="7" t="s">
        <v>20</v>
      </c>
      <c r="D14" s="8" t="s">
        <v>21</v>
      </c>
    </row>
    <row r="15" customFormat="false" ht="25.5" hidden="false" customHeight="true" outlineLevel="0" collapsed="false">
      <c r="B15" s="6" t="s">
        <v>22</v>
      </c>
      <c r="C15" s="7" t="s">
        <v>13</v>
      </c>
      <c r="D15" s="8" t="s">
        <v>23</v>
      </c>
    </row>
    <row r="16" customFormat="false" ht="25.5" hidden="false" customHeight="true" outlineLevel="0" collapsed="false">
      <c r="B16" s="6" t="s">
        <v>24</v>
      </c>
      <c r="C16" s="7" t="s">
        <v>25</v>
      </c>
      <c r="D16" s="8" t="s">
        <v>26</v>
      </c>
    </row>
    <row r="18" customFormat="false" ht="24" hidden="false" customHeight="true" outlineLevel="0" collapsed="false">
      <c r="B18" s="5" t="s">
        <v>27</v>
      </c>
      <c r="C18" s="5"/>
      <c r="D18" s="5"/>
    </row>
    <row r="19" customFormat="false" ht="25.5" hidden="false" customHeight="true" outlineLevel="0" collapsed="false">
      <c r="B19" s="6" t="s">
        <v>28</v>
      </c>
      <c r="C19" s="7" t="s">
        <v>29</v>
      </c>
      <c r="D19" s="8" t="s">
        <v>30</v>
      </c>
    </row>
    <row r="20" customFormat="false" ht="25.5" hidden="false" customHeight="true" outlineLevel="0" collapsed="false">
      <c r="B20" s="6" t="s">
        <v>31</v>
      </c>
      <c r="C20" s="7" t="s">
        <v>32</v>
      </c>
      <c r="D20" s="8" t="s">
        <v>33</v>
      </c>
    </row>
    <row r="21" customFormat="false" ht="25.5" hidden="false" customHeight="true" outlineLevel="0" collapsed="false">
      <c r="B21" s="6" t="s">
        <v>34</v>
      </c>
      <c r="C21" s="7" t="s">
        <v>35</v>
      </c>
      <c r="D21" s="8" t="s">
        <v>36</v>
      </c>
    </row>
    <row r="22" customFormat="false" ht="25.5" hidden="false" customHeight="true" outlineLevel="0" collapsed="false">
      <c r="B22" s="6" t="s">
        <v>37</v>
      </c>
      <c r="C22" s="7" t="s">
        <v>38</v>
      </c>
      <c r="D22" s="8" t="s">
        <v>39</v>
      </c>
    </row>
    <row r="24" customFormat="false" ht="24" hidden="false" customHeight="true" outlineLevel="0" collapsed="false">
      <c r="B24" s="10" t="s">
        <v>40</v>
      </c>
      <c r="C24" s="10"/>
      <c r="D24" s="10"/>
    </row>
    <row r="25" customFormat="false" ht="24" hidden="false" customHeight="true" outlineLevel="0" collapsed="false">
      <c r="B25" s="11" t="s">
        <v>41</v>
      </c>
      <c r="C25" s="8" t="s">
        <v>42</v>
      </c>
      <c r="D25" s="8"/>
    </row>
    <row r="26" customFormat="false" ht="24" hidden="false" customHeight="true" outlineLevel="0" collapsed="false">
      <c r="B26" s="11" t="s">
        <v>41</v>
      </c>
      <c r="C26" s="8" t="s">
        <v>43</v>
      </c>
      <c r="D26" s="8"/>
    </row>
    <row r="27" customFormat="false" ht="24" hidden="false" customHeight="true" outlineLevel="0" collapsed="false">
      <c r="B27" s="11" t="s">
        <v>41</v>
      </c>
      <c r="C27" s="8" t="s">
        <v>44</v>
      </c>
      <c r="D27" s="8"/>
    </row>
    <row r="29" customFormat="false" ht="24" hidden="false" customHeight="true" outlineLevel="0" collapsed="false">
      <c r="B29" s="5" t="s">
        <v>45</v>
      </c>
      <c r="C29" s="5"/>
      <c r="D29" s="5"/>
    </row>
    <row r="30" customFormat="false" ht="24" hidden="false" customHeight="true" outlineLevel="0" collapsed="false">
      <c r="B30" s="12"/>
      <c r="C30" s="7" t="s">
        <v>46</v>
      </c>
      <c r="D30" s="8" t="s">
        <v>47</v>
      </c>
    </row>
    <row r="31" customFormat="false" ht="24" hidden="false" customHeight="true" outlineLevel="0" collapsed="false">
      <c r="B31" s="12"/>
      <c r="C31" s="7" t="s">
        <v>48</v>
      </c>
      <c r="D31" s="8" t="s">
        <v>49</v>
      </c>
    </row>
    <row r="32" customFormat="false" ht="24" hidden="false" customHeight="true" outlineLevel="0" collapsed="false">
      <c r="B32" s="12"/>
      <c r="C32" s="7" t="s">
        <v>50</v>
      </c>
      <c r="D32" s="8" t="s">
        <v>51</v>
      </c>
    </row>
    <row r="33" customFormat="false" ht="24" hidden="false" customHeight="true" outlineLevel="0" collapsed="false">
      <c r="B33" s="12"/>
      <c r="C33" s="7" t="s">
        <v>52</v>
      </c>
      <c r="D33" s="8" t="s">
        <v>53</v>
      </c>
    </row>
    <row r="34" customFormat="false" ht="24" hidden="false" customHeight="true" outlineLevel="0" collapsed="false">
      <c r="B34" s="12"/>
      <c r="C34" s="7" t="s">
        <v>54</v>
      </c>
      <c r="D34" s="8" t="s">
        <v>55</v>
      </c>
    </row>
    <row r="35" customFormat="false" ht="24" hidden="false" customHeight="true" outlineLevel="0" collapsed="false">
      <c r="B35" s="12"/>
      <c r="C35" s="7" t="s">
        <v>56</v>
      </c>
      <c r="D35" s="8" t="s">
        <v>57</v>
      </c>
    </row>
  </sheetData>
  <sheetProtection sheet="true" formatColumns="false" formatRows="false"/>
  <mergeCells count="10">
    <mergeCell ref="B1:D1"/>
    <mergeCell ref="B2:D2"/>
    <mergeCell ref="B6:D6"/>
    <mergeCell ref="B10:D10"/>
    <mergeCell ref="B18:D18"/>
    <mergeCell ref="B24:D24"/>
    <mergeCell ref="C25:D25"/>
    <mergeCell ref="C26:D26"/>
    <mergeCell ref="C27:D27"/>
    <mergeCell ref="B29:D29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O6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7"/>
    <col collapsed="false" customWidth="true" hidden="false" outlineLevel="0" max="3" min="3" style="0" width="9"/>
    <col collapsed="false" customWidth="true" hidden="false" outlineLevel="0" max="4" min="4" style="0" width="30"/>
    <col collapsed="false" customWidth="true" hidden="false" outlineLevel="0" max="5" min="5" style="0" width="16"/>
    <col collapsed="false" customWidth="true" hidden="false" outlineLevel="0" max="6" min="6" style="0" width="3"/>
    <col collapsed="false" customWidth="true" hidden="false" outlineLevel="0" max="7" min="7" style="0" width="16"/>
    <col collapsed="false" customWidth="true" hidden="false" outlineLevel="0" max="8" min="8" style="0" width="3"/>
    <col collapsed="false" customWidth="true" hidden="false" outlineLevel="0" max="9" min="9" style="0" width="9"/>
    <col collapsed="false" customWidth="true" hidden="false" outlineLevel="0" max="10" min="10" style="0" width="3"/>
    <col collapsed="false" customWidth="true" hidden="false" outlineLevel="0" max="11" min="11" style="0" width="30"/>
    <col collapsed="false" customWidth="true" hidden="false" outlineLevel="0" max="12" min="12" style="0" width="6"/>
    <col collapsed="false" customWidth="true" hidden="true" outlineLevel="0" max="15" min="14" style="0" width="13"/>
  </cols>
  <sheetData>
    <row r="1" customFormat="false" ht="33.75" hidden="false" customHeight="true" outlineLevel="0" collapsed="false">
      <c r="A1" s="13"/>
      <c r="B1" s="14" t="s">
        <v>6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3"/>
      <c r="N1" s="13"/>
      <c r="O1" s="13"/>
    </row>
    <row r="2" customFormat="false" ht="15" hidden="false" customHeight="false" outlineLevel="0" collapsed="false">
      <c r="A2" s="13"/>
      <c r="B2" s="15" t="s">
        <v>58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customFormat="false" ht="21" hidden="false" customHeight="true" outlineLevel="0" collapsed="false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customFormat="false" ht="21" hidden="false" customHeight="true" outlineLevel="0" collapsed="false">
      <c r="A4" s="13"/>
      <c r="B4" s="16" t="s">
        <v>59</v>
      </c>
      <c r="C4" s="16"/>
      <c r="D4" s="17"/>
      <c r="E4" s="4" t="s">
        <v>60</v>
      </c>
      <c r="F4" s="13"/>
      <c r="G4" s="16" t="s">
        <v>61</v>
      </c>
      <c r="H4" s="13"/>
      <c r="I4" s="17" t="s">
        <v>62</v>
      </c>
      <c r="J4" s="17"/>
      <c r="K4" s="17"/>
      <c r="L4" s="13"/>
      <c r="M4" s="13"/>
      <c r="N4" s="13"/>
      <c r="O4" s="13"/>
    </row>
    <row r="5" customFormat="false" ht="21" hidden="false" customHeight="true" outlineLevel="0" collapsed="false">
      <c r="A5" s="13"/>
      <c r="B5" s="16" t="s">
        <v>63</v>
      </c>
      <c r="C5" s="16"/>
      <c r="D5" s="17"/>
      <c r="E5" s="4" t="s">
        <v>64</v>
      </c>
      <c r="F5" s="13"/>
      <c r="G5" s="13"/>
      <c r="H5" s="13"/>
      <c r="I5" s="4" t="s">
        <v>65</v>
      </c>
      <c r="J5" s="13"/>
      <c r="K5" s="13"/>
      <c r="L5" s="13"/>
      <c r="M5" s="13"/>
      <c r="N5" s="13"/>
      <c r="O5" s="13"/>
    </row>
    <row r="6" customFormat="false" ht="21" hidden="false" customHeight="true" outlineLevel="0" collapsed="false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customFormat="false" ht="21" hidden="false" customHeight="true" outlineLevel="0" collapsed="false">
      <c r="A7" s="13"/>
      <c r="B7" s="16" t="s">
        <v>66</v>
      </c>
      <c r="C7" s="16"/>
      <c r="D7" s="16" t="s">
        <v>67</v>
      </c>
      <c r="E7" s="16" t="s">
        <v>68</v>
      </c>
      <c r="F7" s="13"/>
      <c r="G7" s="16" t="s">
        <v>69</v>
      </c>
      <c r="H7" s="13"/>
      <c r="I7" s="16" t="s">
        <v>70</v>
      </c>
      <c r="J7" s="13"/>
      <c r="K7" s="16" t="s">
        <v>71</v>
      </c>
      <c r="L7" s="13"/>
      <c r="M7" s="13"/>
      <c r="N7" s="18" t="s">
        <v>72</v>
      </c>
      <c r="O7" s="18" t="s">
        <v>73</v>
      </c>
    </row>
    <row r="8" customFormat="false" ht="21" hidden="false" customHeight="true" outlineLevel="0" collapsed="false">
      <c r="A8" s="13"/>
      <c r="B8" s="19" t="s">
        <v>74</v>
      </c>
      <c r="C8" s="19"/>
      <c r="D8" s="20" t="s">
        <v>75</v>
      </c>
      <c r="E8" s="19"/>
      <c r="F8" s="13"/>
      <c r="G8" s="19" t="s">
        <v>76</v>
      </c>
      <c r="H8" s="13"/>
      <c r="I8" s="21" t="s">
        <v>77</v>
      </c>
      <c r="J8" s="13"/>
      <c r="K8" s="22" t="s">
        <v>78</v>
      </c>
      <c r="L8" s="13"/>
      <c r="M8" s="13"/>
      <c r="N8" s="13" t="n">
        <f aca="false">IF($I$4="前期・後期","前期",1)</f>
        <v>1</v>
      </c>
      <c r="O8" s="18" t="s">
        <v>79</v>
      </c>
    </row>
    <row r="9" customFormat="false" ht="21" hidden="false" customHeight="true" outlineLevel="0" collapsed="false">
      <c r="A9" s="13"/>
      <c r="B9" s="19" t="s">
        <v>80</v>
      </c>
      <c r="C9" s="19"/>
      <c r="D9" s="23" t="s">
        <v>81</v>
      </c>
      <c r="E9" s="19"/>
      <c r="F9" s="13"/>
      <c r="G9" s="19" t="s">
        <v>82</v>
      </c>
      <c r="H9" s="13"/>
      <c r="I9" s="21" t="s">
        <v>83</v>
      </c>
      <c r="J9" s="13"/>
      <c r="K9" s="22" t="s">
        <v>84</v>
      </c>
      <c r="L9" s="13"/>
      <c r="M9" s="13"/>
      <c r="N9" s="13" t="n">
        <f aca="false">IF($I$4="前期・後期","後期",2)</f>
        <v>2</v>
      </c>
      <c r="O9" s="13" t="n">
        <f aca="false">N8</f>
        <v>1</v>
      </c>
    </row>
    <row r="10" customFormat="false" ht="21" hidden="false" customHeight="true" outlineLevel="0" collapsed="false">
      <c r="A10" s="13"/>
      <c r="B10" s="19" t="s">
        <v>85</v>
      </c>
      <c r="C10" s="19"/>
      <c r="D10" s="24" t="s">
        <v>86</v>
      </c>
      <c r="E10" s="19"/>
      <c r="F10" s="13"/>
      <c r="G10" s="19" t="s">
        <v>87</v>
      </c>
      <c r="H10" s="13"/>
      <c r="I10" s="21" t="s">
        <v>88</v>
      </c>
      <c r="J10" s="13"/>
      <c r="K10" s="22" t="s">
        <v>89</v>
      </c>
      <c r="L10" s="13"/>
      <c r="M10" s="13"/>
      <c r="N10" s="13" t="n">
        <f aca="false">IF($I$4="前期・後期","",3)</f>
        <v>3</v>
      </c>
      <c r="O10" s="13" t="n">
        <f aca="false">N9</f>
        <v>2</v>
      </c>
    </row>
    <row r="11" customFormat="false" ht="21" hidden="false" customHeight="true" outlineLevel="0" collapsed="false">
      <c r="A11" s="13"/>
      <c r="B11" s="19" t="s">
        <v>90</v>
      </c>
      <c r="C11" s="19"/>
      <c r="D11" s="25" t="s">
        <v>91</v>
      </c>
      <c r="E11" s="19"/>
      <c r="F11" s="13"/>
      <c r="G11" s="4" t="s">
        <v>92</v>
      </c>
      <c r="H11" s="13"/>
      <c r="I11" s="4" t="s">
        <v>93</v>
      </c>
      <c r="J11" s="13"/>
      <c r="K11" s="13"/>
      <c r="L11" s="13"/>
      <c r="M11" s="13"/>
      <c r="N11" s="13"/>
      <c r="O11" s="13" t="n">
        <f aca="false">N10</f>
        <v>3</v>
      </c>
    </row>
    <row r="12" customFormat="false" ht="21" hidden="false" customHeight="true" outlineLevel="0" collapsed="false">
      <c r="A12" s="13"/>
      <c r="B12" s="19"/>
      <c r="C12" s="19"/>
      <c r="D12" s="26"/>
      <c r="E12" s="19"/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customFormat="false" ht="21" hidden="false" customHeight="true" outlineLevel="0" collapsed="false">
      <c r="A13" s="13"/>
      <c r="B13" s="4" t="s">
        <v>94</v>
      </c>
      <c r="C13" s="13"/>
      <c r="D13" s="4" t="s">
        <v>95</v>
      </c>
      <c r="E13" s="19"/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customFormat="false" ht="21" hidden="false" customHeight="true" outlineLevel="0" collapsed="false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customFormat="false" ht="21" hidden="false" customHeight="true" outlineLevel="0" collapsed="false">
      <c r="A15" s="13"/>
      <c r="B15" s="27" t="s">
        <v>96</v>
      </c>
      <c r="C15" s="13"/>
      <c r="D15" s="4" t="s">
        <v>97</v>
      </c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customFormat="false" ht="21" hidden="false" customHeight="true" outlineLevel="0" collapsed="false">
      <c r="A16" s="13"/>
      <c r="B16" s="28" t="s">
        <v>98</v>
      </c>
      <c r="C16" s="16" t="s">
        <v>72</v>
      </c>
      <c r="D16" s="16" t="s">
        <v>99</v>
      </c>
      <c r="E16" s="16" t="s">
        <v>100</v>
      </c>
      <c r="F16" s="13"/>
      <c r="G16" s="16" t="s">
        <v>101</v>
      </c>
      <c r="H16" s="16"/>
      <c r="I16" s="16"/>
      <c r="J16" s="16"/>
      <c r="K16" s="16"/>
      <c r="L16" s="13"/>
      <c r="M16" s="13"/>
      <c r="N16" s="13"/>
      <c r="O16" s="13"/>
    </row>
    <row r="17" customFormat="false" ht="21" hidden="false" customHeight="true" outlineLevel="0" collapsed="false">
      <c r="A17" s="13"/>
      <c r="B17" s="29" t="n">
        <v>1</v>
      </c>
      <c r="C17" s="19"/>
      <c r="D17" s="22"/>
      <c r="E17" s="30"/>
      <c r="F17" s="13"/>
      <c r="G17" s="29" t="s">
        <v>102</v>
      </c>
      <c r="H17" s="13"/>
      <c r="I17" s="31" t="n">
        <v>0.5</v>
      </c>
      <c r="J17" s="13"/>
      <c r="K17" s="32" t="s">
        <v>103</v>
      </c>
      <c r="L17" s="13"/>
      <c r="M17" s="13"/>
      <c r="N17" s="13"/>
      <c r="O17" s="13"/>
    </row>
    <row r="18" customFormat="false" ht="21" hidden="false" customHeight="true" outlineLevel="0" collapsed="false">
      <c r="A18" s="13"/>
      <c r="B18" s="29" t="n">
        <v>2</v>
      </c>
      <c r="C18" s="19"/>
      <c r="D18" s="22"/>
      <c r="E18" s="30"/>
      <c r="F18" s="13"/>
      <c r="G18" s="29" t="s">
        <v>104</v>
      </c>
      <c r="H18" s="13"/>
      <c r="I18" s="31" t="n">
        <v>0.5</v>
      </c>
      <c r="J18" s="13"/>
      <c r="K18" s="32" t="s">
        <v>105</v>
      </c>
      <c r="L18" s="13"/>
      <c r="M18" s="13"/>
      <c r="N18" s="13"/>
      <c r="O18" s="13"/>
    </row>
    <row r="19" customFormat="false" ht="21" hidden="false" customHeight="true" outlineLevel="0" collapsed="false">
      <c r="A19" s="13"/>
      <c r="B19" s="29" t="n">
        <v>3</v>
      </c>
      <c r="C19" s="19"/>
      <c r="D19" s="22"/>
      <c r="E19" s="30"/>
      <c r="F19" s="13"/>
      <c r="G19" s="33" t="s">
        <v>106</v>
      </c>
      <c r="H19" s="13"/>
      <c r="I19" s="13"/>
      <c r="J19" s="13"/>
      <c r="K19" s="13"/>
      <c r="L19" s="13"/>
      <c r="M19" s="13"/>
      <c r="N19" s="13"/>
      <c r="O19" s="13"/>
    </row>
    <row r="20" customFormat="false" ht="21" hidden="false" customHeight="true" outlineLevel="0" collapsed="false">
      <c r="A20" s="13"/>
      <c r="B20" s="29" t="n">
        <v>4</v>
      </c>
      <c r="C20" s="19"/>
      <c r="D20" s="22"/>
      <c r="E20" s="30"/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customFormat="false" ht="21" hidden="false" customHeight="true" outlineLevel="0" collapsed="false">
      <c r="A21" s="13"/>
      <c r="B21" s="29" t="n">
        <v>5</v>
      </c>
      <c r="C21" s="19"/>
      <c r="D21" s="22"/>
      <c r="E21" s="30"/>
      <c r="F21" s="13"/>
      <c r="G21" s="16" t="s">
        <v>107</v>
      </c>
      <c r="H21" s="16"/>
      <c r="I21" s="16"/>
      <c r="J21" s="16"/>
      <c r="K21" s="16"/>
      <c r="L21" s="13"/>
      <c r="M21" s="13"/>
      <c r="N21" s="13"/>
      <c r="O21" s="13"/>
    </row>
    <row r="22" customFormat="false" ht="21" hidden="false" customHeight="true" outlineLevel="0" collapsed="false">
      <c r="A22" s="13"/>
      <c r="B22" s="29" t="n">
        <v>6</v>
      </c>
      <c r="C22" s="19"/>
      <c r="D22" s="22"/>
      <c r="E22" s="30"/>
      <c r="F22" s="13"/>
      <c r="G22" s="34" t="s">
        <v>108</v>
      </c>
      <c r="H22" s="13"/>
      <c r="I22" s="17" t="n">
        <v>60</v>
      </c>
      <c r="J22" s="13"/>
      <c r="K22" s="35" t="s">
        <v>109</v>
      </c>
      <c r="L22" s="13"/>
      <c r="M22" s="13"/>
      <c r="N22" s="13"/>
      <c r="O22" s="13"/>
    </row>
    <row r="23" customFormat="false" ht="21" hidden="false" customHeight="true" outlineLevel="0" collapsed="false">
      <c r="A23" s="13"/>
      <c r="B23" s="29" t="n">
        <v>7</v>
      </c>
      <c r="C23" s="19"/>
      <c r="D23" s="22"/>
      <c r="E23" s="30"/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customFormat="false" ht="21" hidden="false" customHeight="true" outlineLevel="0" collapsed="false">
      <c r="A24" s="13"/>
      <c r="B24" s="29" t="n">
        <v>8</v>
      </c>
      <c r="C24" s="19"/>
      <c r="D24" s="22"/>
      <c r="E24" s="30"/>
      <c r="F24" s="13"/>
      <c r="G24" s="16" t="s">
        <v>110</v>
      </c>
      <c r="H24" s="16"/>
      <c r="I24" s="16"/>
      <c r="J24" s="16"/>
      <c r="K24" s="16"/>
      <c r="L24" s="13"/>
      <c r="M24" s="13"/>
      <c r="N24" s="13"/>
      <c r="O24" s="13"/>
    </row>
    <row r="25" customFormat="false" ht="21" hidden="false" customHeight="true" outlineLevel="0" collapsed="false">
      <c r="A25" s="13"/>
      <c r="B25" s="29" t="n">
        <v>9</v>
      </c>
      <c r="C25" s="19"/>
      <c r="D25" s="22"/>
      <c r="E25" s="30"/>
      <c r="F25" s="13"/>
      <c r="G25" s="4" t="s">
        <v>111</v>
      </c>
      <c r="H25" s="13"/>
      <c r="I25" s="13"/>
      <c r="J25" s="13"/>
      <c r="K25" s="13"/>
      <c r="L25" s="13"/>
      <c r="M25" s="13"/>
      <c r="N25" s="13"/>
      <c r="O25" s="13"/>
    </row>
    <row r="26" customFormat="false" ht="21" hidden="false" customHeight="true" outlineLevel="0" collapsed="false">
      <c r="A26" s="13"/>
      <c r="B26" s="29" t="n">
        <v>10</v>
      </c>
      <c r="C26" s="19"/>
      <c r="D26" s="22"/>
      <c r="E26" s="30"/>
      <c r="F26" s="13"/>
      <c r="G26" s="13"/>
      <c r="H26" s="13"/>
      <c r="I26" s="13"/>
      <c r="J26" s="13"/>
      <c r="K26" s="13"/>
      <c r="L26" s="13"/>
      <c r="M26" s="13"/>
      <c r="N26" s="13"/>
      <c r="O26" s="13"/>
    </row>
    <row r="27" customFormat="false" ht="21" hidden="false" customHeight="true" outlineLevel="0" collapsed="false">
      <c r="A27" s="13"/>
      <c r="B27" s="29" t="n">
        <v>11</v>
      </c>
      <c r="C27" s="19"/>
      <c r="D27" s="22"/>
      <c r="E27" s="30"/>
      <c r="F27" s="13"/>
      <c r="G27" s="16" t="s">
        <v>112</v>
      </c>
      <c r="H27" s="16"/>
      <c r="I27" s="16"/>
      <c r="J27" s="16"/>
      <c r="K27" s="16"/>
      <c r="L27" s="13"/>
      <c r="M27" s="13"/>
      <c r="N27" s="13"/>
      <c r="O27" s="13"/>
    </row>
    <row r="28" customFormat="false" ht="21" hidden="false" customHeight="true" outlineLevel="0" collapsed="false">
      <c r="A28" s="13"/>
      <c r="B28" s="29" t="n">
        <v>12</v>
      </c>
      <c r="C28" s="19"/>
      <c r="D28" s="22"/>
      <c r="E28" s="30"/>
      <c r="F28" s="13"/>
      <c r="G28" s="29" t="s">
        <v>113</v>
      </c>
      <c r="H28" s="13"/>
      <c r="I28" s="31" t="n">
        <v>0.8</v>
      </c>
      <c r="J28" s="13"/>
      <c r="K28" s="35" t="s">
        <v>114</v>
      </c>
      <c r="L28" s="13"/>
      <c r="M28" s="13"/>
      <c r="N28" s="13"/>
      <c r="O28" s="13"/>
    </row>
    <row r="29" customFormat="false" ht="21" hidden="false" customHeight="true" outlineLevel="0" collapsed="false">
      <c r="A29" s="13"/>
      <c r="B29" s="29" t="n">
        <v>13</v>
      </c>
      <c r="C29" s="19"/>
      <c r="D29" s="22"/>
      <c r="E29" s="30"/>
      <c r="F29" s="13"/>
      <c r="G29" s="29" t="s">
        <v>115</v>
      </c>
      <c r="H29" s="13"/>
      <c r="I29" s="31" t="n">
        <v>0.5</v>
      </c>
      <c r="J29" s="13"/>
      <c r="K29" s="35" t="s">
        <v>116</v>
      </c>
      <c r="L29" s="13"/>
      <c r="M29" s="13"/>
      <c r="N29" s="13"/>
      <c r="O29" s="13"/>
    </row>
    <row r="30" customFormat="false" ht="21" hidden="false" customHeight="true" outlineLevel="0" collapsed="false">
      <c r="A30" s="13"/>
      <c r="B30" s="29" t="n">
        <v>14</v>
      </c>
      <c r="C30" s="19"/>
      <c r="D30" s="22"/>
      <c r="E30" s="30"/>
      <c r="F30" s="13"/>
      <c r="G30" s="33" t="s">
        <v>117</v>
      </c>
      <c r="H30" s="13"/>
      <c r="I30" s="13"/>
      <c r="J30" s="13"/>
      <c r="K30" s="13"/>
      <c r="L30" s="13"/>
      <c r="M30" s="13"/>
      <c r="N30" s="13"/>
      <c r="O30" s="13"/>
    </row>
    <row r="31" customFormat="false" ht="21" hidden="false" customHeight="true" outlineLevel="0" collapsed="false">
      <c r="A31" s="13"/>
      <c r="B31" s="29" t="n">
        <v>15</v>
      </c>
      <c r="C31" s="19"/>
      <c r="D31" s="22"/>
      <c r="E31" s="30"/>
      <c r="F31" s="13"/>
      <c r="G31" s="13"/>
      <c r="H31" s="13"/>
      <c r="I31" s="13"/>
      <c r="J31" s="13"/>
      <c r="K31" s="13"/>
      <c r="L31" s="13"/>
      <c r="M31" s="13"/>
      <c r="N31" s="13"/>
      <c r="O31" s="13"/>
    </row>
    <row r="32" customFormat="false" ht="21" hidden="false" customHeight="true" outlineLevel="0" collapsed="false">
      <c r="A32" s="13"/>
      <c r="B32" s="29" t="n">
        <v>16</v>
      </c>
      <c r="C32" s="19"/>
      <c r="D32" s="22"/>
      <c r="E32" s="30"/>
      <c r="F32" s="13"/>
      <c r="G32" s="13"/>
      <c r="H32" s="13"/>
      <c r="I32" s="13"/>
      <c r="J32" s="13"/>
      <c r="K32" s="13"/>
      <c r="L32" s="13"/>
      <c r="M32" s="13"/>
      <c r="N32" s="13"/>
      <c r="O32" s="13"/>
    </row>
    <row r="33" customFormat="false" ht="21" hidden="false" customHeight="true" outlineLevel="0" collapsed="false">
      <c r="A33" s="13"/>
      <c r="B33" s="29" t="n">
        <v>17</v>
      </c>
      <c r="C33" s="19"/>
      <c r="D33" s="22"/>
      <c r="E33" s="30"/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 customFormat="false" ht="21" hidden="false" customHeight="true" outlineLevel="0" collapsed="false">
      <c r="A34" s="13"/>
      <c r="B34" s="29" t="n">
        <v>18</v>
      </c>
      <c r="C34" s="19"/>
      <c r="D34" s="22"/>
      <c r="E34" s="30"/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 customFormat="false" ht="21" hidden="false" customHeight="true" outlineLevel="0" collapsed="false">
      <c r="A35" s="13"/>
      <c r="B35" s="29" t="n">
        <v>19</v>
      </c>
      <c r="C35" s="19"/>
      <c r="D35" s="22"/>
      <c r="E35" s="30"/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 customFormat="false" ht="21" hidden="false" customHeight="true" outlineLevel="0" collapsed="false">
      <c r="A36" s="13"/>
      <c r="B36" s="29" t="n">
        <v>20</v>
      </c>
      <c r="C36" s="19"/>
      <c r="D36" s="22"/>
      <c r="E36" s="30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customFormat="false" ht="21" hidden="false" customHeight="true" outlineLevel="0" collapsed="false"/>
    <row r="38" customFormat="false" ht="21" hidden="false" customHeight="true" outlineLevel="0" collapsed="false"/>
    <row r="39" customFormat="false" ht="21" hidden="false" customHeight="true" outlineLevel="0" collapsed="false"/>
    <row r="40" customFormat="false" ht="21" hidden="false" customHeight="true" outlineLevel="0" collapsed="false"/>
    <row r="41" customFormat="false" ht="21" hidden="false" customHeight="true" outlineLevel="0" collapsed="false"/>
    <row r="42" customFormat="false" ht="21" hidden="false" customHeight="true" outlineLevel="0" collapsed="false"/>
    <row r="43" customFormat="false" ht="21" hidden="false" customHeight="true" outlineLevel="0" collapsed="false"/>
    <row r="44" customFormat="false" ht="21" hidden="false" customHeight="true" outlineLevel="0" collapsed="false"/>
    <row r="45" customFormat="false" ht="21" hidden="false" customHeight="true" outlineLevel="0" collapsed="false"/>
    <row r="46" customFormat="false" ht="21" hidden="false" customHeight="true" outlineLevel="0" collapsed="false"/>
    <row r="47" customFormat="false" ht="21" hidden="false" customHeight="true" outlineLevel="0" collapsed="false"/>
    <row r="48" customFormat="false" ht="21" hidden="false" customHeight="true" outlineLevel="0" collapsed="false"/>
    <row r="49" customFormat="false" ht="21" hidden="false" customHeight="true" outlineLevel="0" collapsed="false"/>
    <row r="50" customFormat="false" ht="21" hidden="false" customHeight="true" outlineLevel="0" collapsed="false"/>
    <row r="51" customFormat="false" ht="21" hidden="false" customHeight="true" outlineLevel="0" collapsed="false"/>
    <row r="52" customFormat="false" ht="21" hidden="false" customHeight="true" outlineLevel="0" collapsed="false"/>
    <row r="53" customFormat="false" ht="21" hidden="false" customHeight="true" outlineLevel="0" collapsed="false"/>
    <row r="54" customFormat="false" ht="21" hidden="false" customHeight="true" outlineLevel="0" collapsed="false"/>
    <row r="55" customFormat="false" ht="21" hidden="false" customHeight="true" outlineLevel="0" collapsed="false"/>
    <row r="56" customFormat="false" ht="21" hidden="false" customHeight="true" outlineLevel="0" collapsed="false"/>
    <row r="57" customFormat="false" ht="21" hidden="false" customHeight="true" outlineLevel="0" collapsed="false"/>
    <row r="58" customFormat="false" ht="21" hidden="false" customHeight="true" outlineLevel="0" collapsed="false"/>
    <row r="59" customFormat="false" ht="21" hidden="false" customHeight="true" outlineLevel="0" collapsed="false"/>
    <row r="60" customFormat="false" ht="21" hidden="false" customHeight="true" outlineLevel="0" collapsed="false"/>
  </sheetData>
  <sheetProtection sheet="true" formatColumns="false" formatRows="false"/>
  <mergeCells count="14">
    <mergeCell ref="B1:L1"/>
    <mergeCell ref="B4:C4"/>
    <mergeCell ref="I4:K4"/>
    <mergeCell ref="B5:C5"/>
    <mergeCell ref="B7:C7"/>
    <mergeCell ref="B8:C8"/>
    <mergeCell ref="B9:C9"/>
    <mergeCell ref="B10:C10"/>
    <mergeCell ref="B11:C11"/>
    <mergeCell ref="B12:C12"/>
    <mergeCell ref="G16:K16"/>
    <mergeCell ref="G21:K21"/>
    <mergeCell ref="G24:K24"/>
    <mergeCell ref="G27:K27"/>
  </mergeCells>
  <dataValidations count="5">
    <dataValidation allowBlank="false" error="一覧から選んでください。" errorStyle="stop" errorTitle="入力エラー" operator="between" showDropDown="false" showErrorMessage="true" showInputMessage="false" sqref="I4" type="list">
      <formula1>"3学期制,前期・後期"</formula1>
      <formula2>0</formula2>
    </dataValidation>
    <dataValidation allowBlank="true" errorStyle="stop" operator="between" prompt="▼から選ぶか、直接入力してください。" promptTitle="習熟コース名" showDropDown="false" showErrorMessage="false" showInputMessage="true" sqref="D8:D12" type="list">
      <formula1>"深める,広げる,広げるA,広げるB,広げるC,かためる,じっくり,のびのび,ぐんぐん,チャレンジ,ステップアップ,基本,発展"</formula1>
      <formula2>0</formula2>
    </dataValidation>
    <dataValidation allowBlank="true" error="学期を一覧から選んでください（設定の「学期制」で切り替わります）。" errorStyle="stop" errorTitle="入力エラー" operator="between" showDropDown="false" showErrorMessage="true" showInputMessage="false" sqref="C17:C36" type="list">
      <formula1>学期一覧</formula1>
      <formula2>0</formula2>
    </dataValidation>
    <dataValidation allowBlank="true" error="0%〜100%で入力してください（例：50%）。" errorStyle="stop" operator="between" showDropDown="false" showErrorMessage="true" showInputMessage="false" sqref="I17:I18 I28:I29" type="decimal">
      <formula1>0</formula1>
      <formula2>1</formula2>
    </dataValidation>
    <dataValidation allowBlank="true" error="1〜1000の整数で入力してください。" errorStyle="stop" operator="between" showDropDown="false" showErrorMessage="true" showInputMessage="false" sqref="I22" type="whole">
      <formula1>1</formula1>
      <formula2>1000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6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"/>
    <col collapsed="false" customWidth="true" hidden="false" outlineLevel="0" max="2" min="2" style="0" width="8"/>
    <col collapsed="false" customWidth="true" hidden="false" outlineLevel="0" max="3" min="3" style="0" width="7"/>
    <col collapsed="false" customWidth="true" hidden="false" outlineLevel="0" max="4" min="4" style="0" width="20"/>
    <col collapsed="false" customWidth="true" hidden="false" outlineLevel="0" max="5" min="5" style="0" width="22"/>
    <col collapsed="false" customWidth="true" hidden="false" outlineLevel="0" max="6" min="6" style="0" width="9"/>
    <col collapsed="false" customWidth="true" hidden="true" outlineLevel="0" max="7" min="7" style="0" width="10"/>
    <col collapsed="false" customWidth="true" hidden="true" outlineLevel="0" max="8" min="8" style="0" width="3"/>
    <col collapsed="false" customWidth="true" hidden="false" outlineLevel="0" max="9" min="9" style="0" width="10"/>
    <col collapsed="false" customWidth="true" hidden="false" outlineLevel="0" max="10" min="10" style="0" width="8"/>
    <col collapsed="false" customWidth="true" hidden="false" outlineLevel="0" max="11" min="11" style="0" width="3"/>
  </cols>
  <sheetData>
    <row r="1" customFormat="false" ht="33.75" hidden="false" customHeight="true" outlineLevel="0" collapsed="false">
      <c r="A1" s="14" t="s">
        <v>9</v>
      </c>
      <c r="B1" s="14"/>
      <c r="C1" s="14"/>
      <c r="D1" s="14"/>
      <c r="E1" s="14"/>
      <c r="F1" s="14"/>
      <c r="G1" s="13"/>
      <c r="H1" s="13"/>
      <c r="I1" s="13"/>
      <c r="J1" s="13"/>
    </row>
    <row r="2" customFormat="false" ht="15" hidden="false" customHeight="false" outlineLevel="0" collapsed="false">
      <c r="A2" s="36" t="s">
        <v>118</v>
      </c>
      <c r="B2" s="13"/>
      <c r="C2" s="13"/>
      <c r="D2" s="13"/>
      <c r="E2" s="13"/>
      <c r="F2" s="13"/>
      <c r="G2" s="13"/>
      <c r="H2" s="13"/>
      <c r="I2" s="13"/>
      <c r="J2" s="13"/>
    </row>
    <row r="3" customFormat="false" ht="15" hidden="false" customHeight="false" outlineLevel="0" collapsed="false">
      <c r="A3" s="15" t="s">
        <v>119</v>
      </c>
      <c r="B3" s="13"/>
      <c r="C3" s="13"/>
      <c r="D3" s="13"/>
      <c r="E3" s="13"/>
      <c r="F3" s="13"/>
      <c r="G3" s="13"/>
      <c r="H3" s="13"/>
      <c r="I3" s="13"/>
      <c r="J3" s="13"/>
    </row>
    <row r="4" customFormat="false" ht="24" hidden="false" customHeight="true" outlineLevel="0" collapsed="false">
      <c r="A4" s="16" t="s">
        <v>120</v>
      </c>
      <c r="B4" s="16" t="s">
        <v>121</v>
      </c>
      <c r="C4" s="16" t="s">
        <v>122</v>
      </c>
      <c r="D4" s="16" t="s">
        <v>123</v>
      </c>
      <c r="E4" s="16" t="s">
        <v>124</v>
      </c>
      <c r="F4" s="16" t="s">
        <v>125</v>
      </c>
      <c r="G4" s="16" t="s">
        <v>126</v>
      </c>
      <c r="H4" s="13"/>
      <c r="I4" s="16" t="s">
        <v>127</v>
      </c>
      <c r="J4" s="16" t="s">
        <v>128</v>
      </c>
    </row>
    <row r="5" customFormat="false" ht="19.5" hidden="false" customHeight="true" outlineLevel="0" collapsed="false">
      <c r="A5" s="37" t="n">
        <v>1</v>
      </c>
      <c r="B5" s="19"/>
      <c r="C5" s="19"/>
      <c r="D5" s="38"/>
      <c r="E5" s="30"/>
      <c r="F5" s="39"/>
      <c r="G5" s="40" t="str">
        <f aca="false">IF(OR($B5="",$D5=""),"",$B5&amp;"|"&amp;COUNTIFS($B$5:$B5,$B5,$D$5:$D5,"&lt;&gt;"))</f>
        <v/>
      </c>
      <c r="H5" s="41" t="str">
        <f aca="false">IF(OR($B5="",$C5="",$D5=""),"",$B5&amp;"|"&amp;$C5)</f>
        <v/>
      </c>
      <c r="I5" s="42" t="str">
        <f aca="false">IF(設定!$B$8="","",設定!$B$8)</f>
        <v>1組</v>
      </c>
      <c r="J5" s="43" t="n">
        <f aca="false">IF(I5="","",COUNTIFS($B$5:$B$164,I5,$D$5:$D$164,"&lt;&gt;",$F$5:$F$164,"&lt;&gt;転出"))</f>
        <v>0</v>
      </c>
    </row>
    <row r="6" customFormat="false" ht="19.5" hidden="false" customHeight="true" outlineLevel="0" collapsed="false">
      <c r="A6" s="37" t="n">
        <v>2</v>
      </c>
      <c r="B6" s="19"/>
      <c r="C6" s="19"/>
      <c r="D6" s="38"/>
      <c r="E6" s="30"/>
      <c r="F6" s="39"/>
      <c r="G6" s="40" t="str">
        <f aca="false">IF(OR($B6="",$D6=""),"",$B6&amp;"|"&amp;COUNTIFS($B$5:$B6,$B6,$D$5:$D6,"&lt;&gt;"))</f>
        <v/>
      </c>
      <c r="H6" s="41" t="str">
        <f aca="false">IF(OR($B6="",$C6="",$D6=""),"",$B6&amp;"|"&amp;$C6)</f>
        <v/>
      </c>
      <c r="I6" s="42" t="str">
        <f aca="false">IF(設定!$B$9="","",設定!$B$9)</f>
        <v>2組</v>
      </c>
      <c r="J6" s="43" t="n">
        <f aca="false">IF(I6="","",COUNTIFS($B$5:$B$164,I6,$D$5:$D$164,"&lt;&gt;",$F$5:$F$164,"&lt;&gt;転出"))</f>
        <v>0</v>
      </c>
    </row>
    <row r="7" customFormat="false" ht="19.5" hidden="false" customHeight="true" outlineLevel="0" collapsed="false">
      <c r="A7" s="37" t="n">
        <v>3</v>
      </c>
      <c r="B7" s="19"/>
      <c r="C7" s="19"/>
      <c r="D7" s="38"/>
      <c r="E7" s="30"/>
      <c r="F7" s="39"/>
      <c r="G7" s="40" t="str">
        <f aca="false">IF(OR($B7="",$D7=""),"",$B7&amp;"|"&amp;COUNTIFS($B$5:$B7,$B7,$D$5:$D7,"&lt;&gt;"))</f>
        <v/>
      </c>
      <c r="H7" s="41" t="str">
        <f aca="false">IF(OR($B7="",$C7="",$D7=""),"",$B7&amp;"|"&amp;$C7)</f>
        <v/>
      </c>
      <c r="I7" s="42" t="str">
        <f aca="false">IF(設定!$B$10="","",設定!$B$10)</f>
        <v>3組</v>
      </c>
      <c r="J7" s="43" t="n">
        <f aca="false">IF(I7="","",COUNTIFS($B$5:$B$164,I7,$D$5:$D$164,"&lt;&gt;",$F$5:$F$164,"&lt;&gt;転出"))</f>
        <v>0</v>
      </c>
    </row>
    <row r="8" customFormat="false" ht="19.5" hidden="false" customHeight="true" outlineLevel="0" collapsed="false">
      <c r="A8" s="37" t="n">
        <v>4</v>
      </c>
      <c r="B8" s="19"/>
      <c r="C8" s="19"/>
      <c r="D8" s="38"/>
      <c r="E8" s="30"/>
      <c r="F8" s="39"/>
      <c r="G8" s="40" t="str">
        <f aca="false">IF(OR($B8="",$D8=""),"",$B8&amp;"|"&amp;COUNTIFS($B$5:$B8,$B8,$D$5:$D8,"&lt;&gt;"))</f>
        <v/>
      </c>
      <c r="H8" s="41" t="str">
        <f aca="false">IF(OR($B8="",$C8="",$D8=""),"",$B8&amp;"|"&amp;$C8)</f>
        <v/>
      </c>
      <c r="I8" s="42" t="str">
        <f aca="false">IF(設定!$B$11="","",設定!$B$11)</f>
        <v>4組</v>
      </c>
      <c r="J8" s="43" t="n">
        <f aca="false">IF(I8="","",COUNTIFS($B$5:$B$164,I8,$D$5:$D$164,"&lt;&gt;",$F$5:$F$164,"&lt;&gt;転出"))</f>
        <v>0</v>
      </c>
    </row>
    <row r="9" customFormat="false" ht="19.5" hidden="false" customHeight="true" outlineLevel="0" collapsed="false">
      <c r="A9" s="37" t="n">
        <v>5</v>
      </c>
      <c r="B9" s="19"/>
      <c r="C9" s="19"/>
      <c r="D9" s="38"/>
      <c r="E9" s="30"/>
      <c r="F9" s="39"/>
      <c r="G9" s="40" t="str">
        <f aca="false">IF(OR($B9="",$D9=""),"",$B9&amp;"|"&amp;COUNTIFS($B$5:$B9,$B9,$D$5:$D9,"&lt;&gt;"))</f>
        <v/>
      </c>
      <c r="H9" s="41" t="str">
        <f aca="false">IF(OR($B9="",$C9="",$D9=""),"",$B9&amp;"|"&amp;$C9)</f>
        <v/>
      </c>
      <c r="I9" s="42" t="str">
        <f aca="false">IF(設定!$B$12="","",設定!$B$12)</f>
        <v/>
      </c>
      <c r="J9" s="43" t="str">
        <f aca="false">IF(I9="","",COUNTIFS($B$5:$B$164,I9,$D$5:$D$164,"&lt;&gt;",$F$5:$F$164,"&lt;&gt;転出"))</f>
        <v/>
      </c>
    </row>
    <row r="10" customFormat="false" ht="19.5" hidden="false" customHeight="true" outlineLevel="0" collapsed="false">
      <c r="A10" s="37" t="n">
        <v>6</v>
      </c>
      <c r="B10" s="19"/>
      <c r="C10" s="19"/>
      <c r="D10" s="38"/>
      <c r="E10" s="30"/>
      <c r="F10" s="39"/>
      <c r="G10" s="40" t="str">
        <f aca="false">IF(OR($B10="",$D10=""),"",$B10&amp;"|"&amp;COUNTIFS($B$5:$B10,$B10,$D$5:$D10,"&lt;&gt;"))</f>
        <v/>
      </c>
      <c r="H10" s="41" t="str">
        <f aca="false">IF(OR($B10="",$C10="",$D10=""),"",$B10&amp;"|"&amp;$C10)</f>
        <v/>
      </c>
      <c r="I10" s="44" t="s">
        <v>129</v>
      </c>
      <c r="J10" s="45" t="n">
        <f aca="false">SUM(J5:J9)</f>
        <v>0</v>
      </c>
    </row>
    <row r="11" customFormat="false" ht="19.5" hidden="false" customHeight="true" outlineLevel="0" collapsed="false">
      <c r="A11" s="37" t="n">
        <v>7</v>
      </c>
      <c r="B11" s="19"/>
      <c r="C11" s="19"/>
      <c r="D11" s="38"/>
      <c r="E11" s="30"/>
      <c r="F11" s="39"/>
      <c r="G11" s="40" t="str">
        <f aca="false">IF(OR($B11="",$D11=""),"",$B11&amp;"|"&amp;COUNTIFS($B$5:$B11,$B11,$D$5:$D11,"&lt;&gt;"))</f>
        <v/>
      </c>
      <c r="H11" s="41" t="str">
        <f aca="false">IF(OR($B11="",$C11="",$D11=""),"",$B11&amp;"|"&amp;$C11)</f>
        <v/>
      </c>
      <c r="I11" s="13"/>
      <c r="J11" s="13"/>
    </row>
    <row r="12" customFormat="false" ht="19.5" hidden="false" customHeight="true" outlineLevel="0" collapsed="false">
      <c r="A12" s="37" t="n">
        <v>8</v>
      </c>
      <c r="B12" s="19"/>
      <c r="C12" s="19"/>
      <c r="D12" s="38"/>
      <c r="E12" s="30"/>
      <c r="F12" s="39"/>
      <c r="G12" s="40" t="str">
        <f aca="false">IF(OR($B12="",$D12=""),"",$B12&amp;"|"&amp;COUNTIFS($B$5:$B12,$B12,$D$5:$D12,"&lt;&gt;"))</f>
        <v/>
      </c>
      <c r="H12" s="41" t="str">
        <f aca="false">IF(OR($B12="",$C12="",$D12=""),"",$B12&amp;"|"&amp;$C12)</f>
        <v/>
      </c>
      <c r="I12" s="13"/>
      <c r="J12" s="13"/>
    </row>
    <row r="13" customFormat="false" ht="19.5" hidden="false" customHeight="true" outlineLevel="0" collapsed="false">
      <c r="A13" s="37" t="n">
        <v>9</v>
      </c>
      <c r="B13" s="19"/>
      <c r="C13" s="19"/>
      <c r="D13" s="38"/>
      <c r="E13" s="30"/>
      <c r="F13" s="39"/>
      <c r="G13" s="40" t="str">
        <f aca="false">IF(OR($B13="",$D13=""),"",$B13&amp;"|"&amp;COUNTIFS($B$5:$B13,$B13,$D$5:$D13,"&lt;&gt;"))</f>
        <v/>
      </c>
      <c r="H13" s="41" t="str">
        <f aca="false">IF(OR($B13="",$C13="",$D13=""),"",$B13&amp;"|"&amp;$C13)</f>
        <v/>
      </c>
      <c r="I13" s="13"/>
      <c r="J13" s="13"/>
    </row>
    <row r="14" customFormat="false" ht="19.5" hidden="false" customHeight="true" outlineLevel="0" collapsed="false">
      <c r="A14" s="37" t="n">
        <v>10</v>
      </c>
      <c r="B14" s="19"/>
      <c r="C14" s="19"/>
      <c r="D14" s="38"/>
      <c r="E14" s="30"/>
      <c r="F14" s="39"/>
      <c r="G14" s="40" t="str">
        <f aca="false">IF(OR($B14="",$D14=""),"",$B14&amp;"|"&amp;COUNTIFS($B$5:$B14,$B14,$D$5:$D14,"&lt;&gt;"))</f>
        <v/>
      </c>
      <c r="H14" s="41" t="str">
        <f aca="false">IF(OR($B14="",$C14="",$D14=""),"",$B14&amp;"|"&amp;$C14)</f>
        <v/>
      </c>
      <c r="I14" s="13"/>
      <c r="J14" s="13"/>
    </row>
    <row r="15" customFormat="false" ht="19.5" hidden="false" customHeight="true" outlineLevel="0" collapsed="false">
      <c r="A15" s="37" t="n">
        <v>11</v>
      </c>
      <c r="B15" s="19"/>
      <c r="C15" s="19"/>
      <c r="D15" s="38"/>
      <c r="E15" s="30"/>
      <c r="F15" s="39"/>
      <c r="G15" s="40" t="str">
        <f aca="false">IF(OR($B15="",$D15=""),"",$B15&amp;"|"&amp;COUNTIFS($B$5:$B15,$B15,$D$5:$D15,"&lt;&gt;"))</f>
        <v/>
      </c>
      <c r="H15" s="41" t="str">
        <f aca="false">IF(OR($B15="",$C15="",$D15=""),"",$B15&amp;"|"&amp;$C15)</f>
        <v/>
      </c>
      <c r="I15" s="13"/>
      <c r="J15" s="13"/>
    </row>
    <row r="16" customFormat="false" ht="19.5" hidden="false" customHeight="true" outlineLevel="0" collapsed="false">
      <c r="A16" s="37" t="n">
        <v>12</v>
      </c>
      <c r="B16" s="19"/>
      <c r="C16" s="19"/>
      <c r="D16" s="38"/>
      <c r="E16" s="30"/>
      <c r="F16" s="39"/>
      <c r="G16" s="40" t="str">
        <f aca="false">IF(OR($B16="",$D16=""),"",$B16&amp;"|"&amp;COUNTIFS($B$5:$B16,$B16,$D$5:$D16,"&lt;&gt;"))</f>
        <v/>
      </c>
      <c r="H16" s="41" t="str">
        <f aca="false">IF(OR($B16="",$C16="",$D16=""),"",$B16&amp;"|"&amp;$C16)</f>
        <v/>
      </c>
      <c r="I16" s="13"/>
      <c r="J16" s="13"/>
    </row>
    <row r="17" customFormat="false" ht="19.5" hidden="false" customHeight="true" outlineLevel="0" collapsed="false">
      <c r="A17" s="37" t="n">
        <v>13</v>
      </c>
      <c r="B17" s="19"/>
      <c r="C17" s="19"/>
      <c r="D17" s="38"/>
      <c r="E17" s="30"/>
      <c r="F17" s="39"/>
      <c r="G17" s="40" t="str">
        <f aca="false">IF(OR($B17="",$D17=""),"",$B17&amp;"|"&amp;COUNTIFS($B$5:$B17,$B17,$D$5:$D17,"&lt;&gt;"))</f>
        <v/>
      </c>
      <c r="H17" s="41" t="str">
        <f aca="false">IF(OR($B17="",$C17="",$D17=""),"",$B17&amp;"|"&amp;$C17)</f>
        <v/>
      </c>
      <c r="I17" s="13"/>
      <c r="J17" s="13"/>
    </row>
    <row r="18" customFormat="false" ht="19.5" hidden="false" customHeight="true" outlineLevel="0" collapsed="false">
      <c r="A18" s="37" t="n">
        <v>14</v>
      </c>
      <c r="B18" s="19"/>
      <c r="C18" s="19"/>
      <c r="D18" s="38"/>
      <c r="E18" s="30"/>
      <c r="F18" s="39"/>
      <c r="G18" s="40" t="str">
        <f aca="false">IF(OR($B18="",$D18=""),"",$B18&amp;"|"&amp;COUNTIFS($B$5:$B18,$B18,$D$5:$D18,"&lt;&gt;"))</f>
        <v/>
      </c>
      <c r="H18" s="41" t="str">
        <f aca="false">IF(OR($B18="",$C18="",$D18=""),"",$B18&amp;"|"&amp;$C18)</f>
        <v/>
      </c>
      <c r="I18" s="13"/>
      <c r="J18" s="13"/>
    </row>
    <row r="19" customFormat="false" ht="19.5" hidden="false" customHeight="true" outlineLevel="0" collapsed="false">
      <c r="A19" s="37" t="n">
        <v>15</v>
      </c>
      <c r="B19" s="19"/>
      <c r="C19" s="19"/>
      <c r="D19" s="38"/>
      <c r="E19" s="30"/>
      <c r="F19" s="39"/>
      <c r="G19" s="40" t="str">
        <f aca="false">IF(OR($B19="",$D19=""),"",$B19&amp;"|"&amp;COUNTIFS($B$5:$B19,$B19,$D$5:$D19,"&lt;&gt;"))</f>
        <v/>
      </c>
      <c r="H19" s="41" t="str">
        <f aca="false">IF(OR($B19="",$C19="",$D19=""),"",$B19&amp;"|"&amp;$C19)</f>
        <v/>
      </c>
      <c r="I19" s="13"/>
      <c r="J19" s="13"/>
    </row>
    <row r="20" customFormat="false" ht="19.5" hidden="false" customHeight="true" outlineLevel="0" collapsed="false">
      <c r="A20" s="37" t="n">
        <v>16</v>
      </c>
      <c r="B20" s="19"/>
      <c r="C20" s="19"/>
      <c r="D20" s="38"/>
      <c r="E20" s="30"/>
      <c r="F20" s="39"/>
      <c r="G20" s="40" t="str">
        <f aca="false">IF(OR($B20="",$D20=""),"",$B20&amp;"|"&amp;COUNTIFS($B$5:$B20,$B20,$D$5:$D20,"&lt;&gt;"))</f>
        <v/>
      </c>
      <c r="H20" s="41" t="str">
        <f aca="false">IF(OR($B20="",$C20="",$D20=""),"",$B20&amp;"|"&amp;$C20)</f>
        <v/>
      </c>
      <c r="I20" s="13"/>
      <c r="J20" s="13"/>
    </row>
    <row r="21" customFormat="false" ht="19.5" hidden="false" customHeight="true" outlineLevel="0" collapsed="false">
      <c r="A21" s="37" t="n">
        <v>17</v>
      </c>
      <c r="B21" s="19"/>
      <c r="C21" s="19"/>
      <c r="D21" s="38"/>
      <c r="E21" s="30"/>
      <c r="F21" s="39"/>
      <c r="G21" s="40" t="str">
        <f aca="false">IF(OR($B21="",$D21=""),"",$B21&amp;"|"&amp;COUNTIFS($B$5:$B21,$B21,$D$5:$D21,"&lt;&gt;"))</f>
        <v/>
      </c>
      <c r="H21" s="41" t="str">
        <f aca="false">IF(OR($B21="",$C21="",$D21=""),"",$B21&amp;"|"&amp;$C21)</f>
        <v/>
      </c>
      <c r="I21" s="13"/>
      <c r="J21" s="13"/>
    </row>
    <row r="22" customFormat="false" ht="19.5" hidden="false" customHeight="true" outlineLevel="0" collapsed="false">
      <c r="A22" s="37" t="n">
        <v>18</v>
      </c>
      <c r="B22" s="19"/>
      <c r="C22" s="19"/>
      <c r="D22" s="38"/>
      <c r="E22" s="30"/>
      <c r="F22" s="39"/>
      <c r="G22" s="40" t="str">
        <f aca="false">IF(OR($B22="",$D22=""),"",$B22&amp;"|"&amp;COUNTIFS($B$5:$B22,$B22,$D$5:$D22,"&lt;&gt;"))</f>
        <v/>
      </c>
      <c r="H22" s="41" t="str">
        <f aca="false">IF(OR($B22="",$C22="",$D22=""),"",$B22&amp;"|"&amp;$C22)</f>
        <v/>
      </c>
      <c r="I22" s="13"/>
      <c r="J22" s="13"/>
    </row>
    <row r="23" customFormat="false" ht="19.5" hidden="false" customHeight="true" outlineLevel="0" collapsed="false">
      <c r="A23" s="37" t="n">
        <v>19</v>
      </c>
      <c r="B23" s="19"/>
      <c r="C23" s="19"/>
      <c r="D23" s="38"/>
      <c r="E23" s="30"/>
      <c r="F23" s="39"/>
      <c r="G23" s="40" t="str">
        <f aca="false">IF(OR($B23="",$D23=""),"",$B23&amp;"|"&amp;COUNTIFS($B$5:$B23,$B23,$D$5:$D23,"&lt;&gt;"))</f>
        <v/>
      </c>
      <c r="H23" s="41" t="str">
        <f aca="false">IF(OR($B23="",$C23="",$D23=""),"",$B23&amp;"|"&amp;$C23)</f>
        <v/>
      </c>
      <c r="I23" s="13"/>
      <c r="J23" s="13"/>
    </row>
    <row r="24" customFormat="false" ht="19.5" hidden="false" customHeight="true" outlineLevel="0" collapsed="false">
      <c r="A24" s="37" t="n">
        <v>20</v>
      </c>
      <c r="B24" s="19"/>
      <c r="C24" s="19"/>
      <c r="D24" s="38"/>
      <c r="E24" s="30"/>
      <c r="F24" s="39"/>
      <c r="G24" s="40" t="str">
        <f aca="false">IF(OR($B24="",$D24=""),"",$B24&amp;"|"&amp;COUNTIFS($B$5:$B24,$B24,$D$5:$D24,"&lt;&gt;"))</f>
        <v/>
      </c>
      <c r="H24" s="41" t="str">
        <f aca="false">IF(OR($B24="",$C24="",$D24=""),"",$B24&amp;"|"&amp;$C24)</f>
        <v/>
      </c>
      <c r="I24" s="13"/>
      <c r="J24" s="13"/>
    </row>
    <row r="25" customFormat="false" ht="19.5" hidden="false" customHeight="true" outlineLevel="0" collapsed="false">
      <c r="A25" s="37" t="n">
        <v>21</v>
      </c>
      <c r="B25" s="19"/>
      <c r="C25" s="19"/>
      <c r="D25" s="38"/>
      <c r="E25" s="30"/>
      <c r="F25" s="39"/>
      <c r="G25" s="40" t="str">
        <f aca="false">IF(OR($B25="",$D25=""),"",$B25&amp;"|"&amp;COUNTIFS($B$5:$B25,$B25,$D$5:$D25,"&lt;&gt;"))</f>
        <v/>
      </c>
      <c r="H25" s="41" t="str">
        <f aca="false">IF(OR($B25="",$C25="",$D25=""),"",$B25&amp;"|"&amp;$C25)</f>
        <v/>
      </c>
      <c r="I25" s="13"/>
      <c r="J25" s="13"/>
    </row>
    <row r="26" customFormat="false" ht="19.5" hidden="false" customHeight="true" outlineLevel="0" collapsed="false">
      <c r="A26" s="37" t="n">
        <v>22</v>
      </c>
      <c r="B26" s="19"/>
      <c r="C26" s="19"/>
      <c r="D26" s="38"/>
      <c r="E26" s="30"/>
      <c r="F26" s="39"/>
      <c r="G26" s="40" t="str">
        <f aca="false">IF(OR($B26="",$D26=""),"",$B26&amp;"|"&amp;COUNTIFS($B$5:$B26,$B26,$D$5:$D26,"&lt;&gt;"))</f>
        <v/>
      </c>
      <c r="H26" s="41" t="str">
        <f aca="false">IF(OR($B26="",$C26="",$D26=""),"",$B26&amp;"|"&amp;$C26)</f>
        <v/>
      </c>
      <c r="I26" s="13"/>
      <c r="J26" s="13"/>
    </row>
    <row r="27" customFormat="false" ht="19.5" hidden="false" customHeight="true" outlineLevel="0" collapsed="false">
      <c r="A27" s="37" t="n">
        <v>23</v>
      </c>
      <c r="B27" s="19"/>
      <c r="C27" s="19"/>
      <c r="D27" s="38"/>
      <c r="E27" s="30"/>
      <c r="F27" s="39"/>
      <c r="G27" s="40" t="str">
        <f aca="false">IF(OR($B27="",$D27=""),"",$B27&amp;"|"&amp;COUNTIFS($B$5:$B27,$B27,$D$5:$D27,"&lt;&gt;"))</f>
        <v/>
      </c>
      <c r="H27" s="41" t="str">
        <f aca="false">IF(OR($B27="",$C27="",$D27=""),"",$B27&amp;"|"&amp;$C27)</f>
        <v/>
      </c>
      <c r="I27" s="13"/>
      <c r="J27" s="13"/>
    </row>
    <row r="28" customFormat="false" ht="19.5" hidden="false" customHeight="true" outlineLevel="0" collapsed="false">
      <c r="A28" s="37" t="n">
        <v>24</v>
      </c>
      <c r="B28" s="19"/>
      <c r="C28" s="19"/>
      <c r="D28" s="38"/>
      <c r="E28" s="30"/>
      <c r="F28" s="39"/>
      <c r="G28" s="40" t="str">
        <f aca="false">IF(OR($B28="",$D28=""),"",$B28&amp;"|"&amp;COUNTIFS($B$5:$B28,$B28,$D$5:$D28,"&lt;&gt;"))</f>
        <v/>
      </c>
      <c r="H28" s="41" t="str">
        <f aca="false">IF(OR($B28="",$C28="",$D28=""),"",$B28&amp;"|"&amp;$C28)</f>
        <v/>
      </c>
      <c r="I28" s="13"/>
      <c r="J28" s="13"/>
    </row>
    <row r="29" customFormat="false" ht="19.5" hidden="false" customHeight="true" outlineLevel="0" collapsed="false">
      <c r="A29" s="37" t="n">
        <v>25</v>
      </c>
      <c r="B29" s="19"/>
      <c r="C29" s="19"/>
      <c r="D29" s="38"/>
      <c r="E29" s="30"/>
      <c r="F29" s="39"/>
      <c r="G29" s="40" t="str">
        <f aca="false">IF(OR($B29="",$D29=""),"",$B29&amp;"|"&amp;COUNTIFS($B$5:$B29,$B29,$D$5:$D29,"&lt;&gt;"))</f>
        <v/>
      </c>
      <c r="H29" s="41" t="str">
        <f aca="false">IF(OR($B29="",$C29="",$D29=""),"",$B29&amp;"|"&amp;$C29)</f>
        <v/>
      </c>
      <c r="I29" s="13"/>
      <c r="J29" s="13"/>
    </row>
    <row r="30" customFormat="false" ht="19.5" hidden="false" customHeight="true" outlineLevel="0" collapsed="false">
      <c r="A30" s="37" t="n">
        <v>26</v>
      </c>
      <c r="B30" s="19"/>
      <c r="C30" s="19"/>
      <c r="D30" s="38"/>
      <c r="E30" s="30"/>
      <c r="F30" s="39"/>
      <c r="G30" s="40" t="str">
        <f aca="false">IF(OR($B30="",$D30=""),"",$B30&amp;"|"&amp;COUNTIFS($B$5:$B30,$B30,$D$5:$D30,"&lt;&gt;"))</f>
        <v/>
      </c>
      <c r="H30" s="41" t="str">
        <f aca="false">IF(OR($B30="",$C30="",$D30=""),"",$B30&amp;"|"&amp;$C30)</f>
        <v/>
      </c>
      <c r="I30" s="13"/>
      <c r="J30" s="13"/>
    </row>
    <row r="31" customFormat="false" ht="19.5" hidden="false" customHeight="true" outlineLevel="0" collapsed="false">
      <c r="A31" s="37" t="n">
        <v>27</v>
      </c>
      <c r="B31" s="19"/>
      <c r="C31" s="19"/>
      <c r="D31" s="38"/>
      <c r="E31" s="30"/>
      <c r="F31" s="39"/>
      <c r="G31" s="40" t="str">
        <f aca="false">IF(OR($B31="",$D31=""),"",$B31&amp;"|"&amp;COUNTIFS($B$5:$B31,$B31,$D$5:$D31,"&lt;&gt;"))</f>
        <v/>
      </c>
      <c r="H31" s="41" t="str">
        <f aca="false">IF(OR($B31="",$C31="",$D31=""),"",$B31&amp;"|"&amp;$C31)</f>
        <v/>
      </c>
      <c r="I31" s="13"/>
      <c r="J31" s="13"/>
    </row>
    <row r="32" customFormat="false" ht="19.5" hidden="false" customHeight="true" outlineLevel="0" collapsed="false">
      <c r="A32" s="37" t="n">
        <v>28</v>
      </c>
      <c r="B32" s="19"/>
      <c r="C32" s="19"/>
      <c r="D32" s="38"/>
      <c r="E32" s="30"/>
      <c r="F32" s="39"/>
      <c r="G32" s="40" t="str">
        <f aca="false">IF(OR($B32="",$D32=""),"",$B32&amp;"|"&amp;COUNTIFS($B$5:$B32,$B32,$D$5:$D32,"&lt;&gt;"))</f>
        <v/>
      </c>
      <c r="H32" s="41" t="str">
        <f aca="false">IF(OR($B32="",$C32="",$D32=""),"",$B32&amp;"|"&amp;$C32)</f>
        <v/>
      </c>
      <c r="I32" s="13"/>
      <c r="J32" s="13"/>
    </row>
    <row r="33" customFormat="false" ht="19.5" hidden="false" customHeight="true" outlineLevel="0" collapsed="false">
      <c r="A33" s="37" t="n">
        <v>29</v>
      </c>
      <c r="B33" s="19"/>
      <c r="C33" s="19"/>
      <c r="D33" s="38"/>
      <c r="E33" s="30"/>
      <c r="F33" s="39"/>
      <c r="G33" s="40" t="str">
        <f aca="false">IF(OR($B33="",$D33=""),"",$B33&amp;"|"&amp;COUNTIFS($B$5:$B33,$B33,$D$5:$D33,"&lt;&gt;"))</f>
        <v/>
      </c>
      <c r="H33" s="41" t="str">
        <f aca="false">IF(OR($B33="",$C33="",$D33=""),"",$B33&amp;"|"&amp;$C33)</f>
        <v/>
      </c>
      <c r="I33" s="13"/>
      <c r="J33" s="13"/>
    </row>
    <row r="34" customFormat="false" ht="19.5" hidden="false" customHeight="true" outlineLevel="0" collapsed="false">
      <c r="A34" s="37" t="n">
        <v>30</v>
      </c>
      <c r="B34" s="19"/>
      <c r="C34" s="19"/>
      <c r="D34" s="38"/>
      <c r="E34" s="30"/>
      <c r="F34" s="39"/>
      <c r="G34" s="40" t="str">
        <f aca="false">IF(OR($B34="",$D34=""),"",$B34&amp;"|"&amp;COUNTIFS($B$5:$B34,$B34,$D$5:$D34,"&lt;&gt;"))</f>
        <v/>
      </c>
      <c r="H34" s="41" t="str">
        <f aca="false">IF(OR($B34="",$C34="",$D34=""),"",$B34&amp;"|"&amp;$C34)</f>
        <v/>
      </c>
      <c r="I34" s="13"/>
      <c r="J34" s="13"/>
    </row>
    <row r="35" customFormat="false" ht="19.5" hidden="false" customHeight="true" outlineLevel="0" collapsed="false">
      <c r="A35" s="37" t="n">
        <v>31</v>
      </c>
      <c r="B35" s="19"/>
      <c r="C35" s="19"/>
      <c r="D35" s="38"/>
      <c r="E35" s="30"/>
      <c r="F35" s="39"/>
      <c r="G35" s="40" t="str">
        <f aca="false">IF(OR($B35="",$D35=""),"",$B35&amp;"|"&amp;COUNTIFS($B$5:$B35,$B35,$D$5:$D35,"&lt;&gt;"))</f>
        <v/>
      </c>
      <c r="H35" s="41" t="str">
        <f aca="false">IF(OR($B35="",$C35="",$D35=""),"",$B35&amp;"|"&amp;$C35)</f>
        <v/>
      </c>
      <c r="I35" s="13"/>
      <c r="J35" s="13"/>
    </row>
    <row r="36" customFormat="false" ht="19.5" hidden="false" customHeight="true" outlineLevel="0" collapsed="false">
      <c r="A36" s="37" t="n">
        <v>32</v>
      </c>
      <c r="B36" s="19"/>
      <c r="C36" s="19"/>
      <c r="D36" s="38"/>
      <c r="E36" s="30"/>
      <c r="F36" s="39"/>
      <c r="G36" s="40" t="str">
        <f aca="false">IF(OR($B36="",$D36=""),"",$B36&amp;"|"&amp;COUNTIFS($B$5:$B36,$B36,$D$5:$D36,"&lt;&gt;"))</f>
        <v/>
      </c>
      <c r="H36" s="41" t="str">
        <f aca="false">IF(OR($B36="",$C36="",$D36=""),"",$B36&amp;"|"&amp;$C36)</f>
        <v/>
      </c>
      <c r="I36" s="13"/>
      <c r="J36" s="13"/>
    </row>
    <row r="37" customFormat="false" ht="19.5" hidden="false" customHeight="true" outlineLevel="0" collapsed="false">
      <c r="A37" s="37" t="n">
        <v>33</v>
      </c>
      <c r="B37" s="19"/>
      <c r="C37" s="19"/>
      <c r="D37" s="38"/>
      <c r="E37" s="30"/>
      <c r="F37" s="39"/>
      <c r="G37" s="40" t="str">
        <f aca="false">IF(OR($B37="",$D37=""),"",$B37&amp;"|"&amp;COUNTIFS($B$5:$B37,$B37,$D$5:$D37,"&lt;&gt;"))</f>
        <v/>
      </c>
      <c r="H37" s="41" t="str">
        <f aca="false">IF(OR($B37="",$C37="",$D37=""),"",$B37&amp;"|"&amp;$C37)</f>
        <v/>
      </c>
      <c r="I37" s="13"/>
      <c r="J37" s="13"/>
    </row>
    <row r="38" customFormat="false" ht="19.5" hidden="false" customHeight="true" outlineLevel="0" collapsed="false">
      <c r="A38" s="37" t="n">
        <v>34</v>
      </c>
      <c r="B38" s="19"/>
      <c r="C38" s="19"/>
      <c r="D38" s="38"/>
      <c r="E38" s="30"/>
      <c r="F38" s="39"/>
      <c r="G38" s="40" t="str">
        <f aca="false">IF(OR($B38="",$D38=""),"",$B38&amp;"|"&amp;COUNTIFS($B$5:$B38,$B38,$D$5:$D38,"&lt;&gt;"))</f>
        <v/>
      </c>
      <c r="H38" s="41" t="str">
        <f aca="false">IF(OR($B38="",$C38="",$D38=""),"",$B38&amp;"|"&amp;$C38)</f>
        <v/>
      </c>
      <c r="I38" s="13"/>
      <c r="J38" s="13"/>
    </row>
    <row r="39" customFormat="false" ht="19.5" hidden="false" customHeight="true" outlineLevel="0" collapsed="false">
      <c r="A39" s="37" t="n">
        <v>35</v>
      </c>
      <c r="B39" s="19"/>
      <c r="C39" s="19"/>
      <c r="D39" s="38"/>
      <c r="E39" s="30"/>
      <c r="F39" s="39"/>
      <c r="G39" s="40" t="str">
        <f aca="false">IF(OR($B39="",$D39=""),"",$B39&amp;"|"&amp;COUNTIFS($B$5:$B39,$B39,$D$5:$D39,"&lt;&gt;"))</f>
        <v/>
      </c>
      <c r="H39" s="41" t="str">
        <f aca="false">IF(OR($B39="",$C39="",$D39=""),"",$B39&amp;"|"&amp;$C39)</f>
        <v/>
      </c>
      <c r="I39" s="13"/>
      <c r="J39" s="13"/>
    </row>
    <row r="40" customFormat="false" ht="19.5" hidden="false" customHeight="true" outlineLevel="0" collapsed="false">
      <c r="A40" s="37" t="n">
        <v>36</v>
      </c>
      <c r="B40" s="19"/>
      <c r="C40" s="19"/>
      <c r="D40" s="38"/>
      <c r="E40" s="30"/>
      <c r="F40" s="39"/>
      <c r="G40" s="40" t="str">
        <f aca="false">IF(OR($B40="",$D40=""),"",$B40&amp;"|"&amp;COUNTIFS($B$5:$B40,$B40,$D$5:$D40,"&lt;&gt;"))</f>
        <v/>
      </c>
      <c r="H40" s="41" t="str">
        <f aca="false">IF(OR($B40="",$C40="",$D40=""),"",$B40&amp;"|"&amp;$C40)</f>
        <v/>
      </c>
      <c r="I40" s="13"/>
      <c r="J40" s="13"/>
    </row>
    <row r="41" customFormat="false" ht="19.5" hidden="false" customHeight="true" outlineLevel="0" collapsed="false">
      <c r="A41" s="37" t="n">
        <v>37</v>
      </c>
      <c r="B41" s="19"/>
      <c r="C41" s="19"/>
      <c r="D41" s="38"/>
      <c r="E41" s="30"/>
      <c r="F41" s="39"/>
      <c r="G41" s="40" t="str">
        <f aca="false">IF(OR($B41="",$D41=""),"",$B41&amp;"|"&amp;COUNTIFS($B$5:$B41,$B41,$D$5:$D41,"&lt;&gt;"))</f>
        <v/>
      </c>
      <c r="H41" s="41" t="str">
        <f aca="false">IF(OR($B41="",$C41="",$D41=""),"",$B41&amp;"|"&amp;$C41)</f>
        <v/>
      </c>
      <c r="I41" s="13"/>
      <c r="J41" s="13"/>
    </row>
    <row r="42" customFormat="false" ht="19.5" hidden="false" customHeight="true" outlineLevel="0" collapsed="false">
      <c r="A42" s="37" t="n">
        <v>38</v>
      </c>
      <c r="B42" s="19"/>
      <c r="C42" s="19"/>
      <c r="D42" s="38"/>
      <c r="E42" s="30"/>
      <c r="F42" s="39"/>
      <c r="G42" s="40" t="str">
        <f aca="false">IF(OR($B42="",$D42=""),"",$B42&amp;"|"&amp;COUNTIFS($B$5:$B42,$B42,$D$5:$D42,"&lt;&gt;"))</f>
        <v/>
      </c>
      <c r="H42" s="41" t="str">
        <f aca="false">IF(OR($B42="",$C42="",$D42=""),"",$B42&amp;"|"&amp;$C42)</f>
        <v/>
      </c>
      <c r="I42" s="13"/>
      <c r="J42" s="13"/>
    </row>
    <row r="43" customFormat="false" ht="19.5" hidden="false" customHeight="true" outlineLevel="0" collapsed="false">
      <c r="A43" s="37" t="n">
        <v>39</v>
      </c>
      <c r="B43" s="19"/>
      <c r="C43" s="19"/>
      <c r="D43" s="38"/>
      <c r="E43" s="30"/>
      <c r="F43" s="39"/>
      <c r="G43" s="40" t="str">
        <f aca="false">IF(OR($B43="",$D43=""),"",$B43&amp;"|"&amp;COUNTIFS($B$5:$B43,$B43,$D$5:$D43,"&lt;&gt;"))</f>
        <v/>
      </c>
      <c r="H43" s="41" t="str">
        <f aca="false">IF(OR($B43="",$C43="",$D43=""),"",$B43&amp;"|"&amp;$C43)</f>
        <v/>
      </c>
      <c r="I43" s="13"/>
      <c r="J43" s="13"/>
    </row>
    <row r="44" customFormat="false" ht="19.5" hidden="false" customHeight="true" outlineLevel="0" collapsed="false">
      <c r="A44" s="37" t="n">
        <v>40</v>
      </c>
      <c r="B44" s="19"/>
      <c r="C44" s="19"/>
      <c r="D44" s="38"/>
      <c r="E44" s="30"/>
      <c r="F44" s="39"/>
      <c r="G44" s="40" t="str">
        <f aca="false">IF(OR($B44="",$D44=""),"",$B44&amp;"|"&amp;COUNTIFS($B$5:$B44,$B44,$D$5:$D44,"&lt;&gt;"))</f>
        <v/>
      </c>
      <c r="H44" s="41" t="str">
        <f aca="false">IF(OR($B44="",$C44="",$D44=""),"",$B44&amp;"|"&amp;$C44)</f>
        <v/>
      </c>
      <c r="I44" s="13"/>
      <c r="J44" s="13"/>
    </row>
    <row r="45" customFormat="false" ht="19.5" hidden="false" customHeight="true" outlineLevel="0" collapsed="false">
      <c r="A45" s="37" t="n">
        <v>41</v>
      </c>
      <c r="B45" s="19"/>
      <c r="C45" s="19"/>
      <c r="D45" s="38"/>
      <c r="E45" s="30"/>
      <c r="F45" s="39"/>
      <c r="G45" s="40" t="str">
        <f aca="false">IF(OR($B45="",$D45=""),"",$B45&amp;"|"&amp;COUNTIFS($B$5:$B45,$B45,$D$5:$D45,"&lt;&gt;"))</f>
        <v/>
      </c>
      <c r="H45" s="41" t="str">
        <f aca="false">IF(OR($B45="",$C45="",$D45=""),"",$B45&amp;"|"&amp;$C45)</f>
        <v/>
      </c>
      <c r="I45" s="13"/>
      <c r="J45" s="13"/>
    </row>
    <row r="46" customFormat="false" ht="19.5" hidden="false" customHeight="true" outlineLevel="0" collapsed="false">
      <c r="A46" s="37" t="n">
        <v>42</v>
      </c>
      <c r="B46" s="19"/>
      <c r="C46" s="19"/>
      <c r="D46" s="38"/>
      <c r="E46" s="30"/>
      <c r="F46" s="39"/>
      <c r="G46" s="40" t="str">
        <f aca="false">IF(OR($B46="",$D46=""),"",$B46&amp;"|"&amp;COUNTIFS($B$5:$B46,$B46,$D$5:$D46,"&lt;&gt;"))</f>
        <v/>
      </c>
      <c r="H46" s="41" t="str">
        <f aca="false">IF(OR($B46="",$C46="",$D46=""),"",$B46&amp;"|"&amp;$C46)</f>
        <v/>
      </c>
      <c r="I46" s="13"/>
      <c r="J46" s="13"/>
    </row>
    <row r="47" customFormat="false" ht="19.5" hidden="false" customHeight="true" outlineLevel="0" collapsed="false">
      <c r="A47" s="37" t="n">
        <v>43</v>
      </c>
      <c r="B47" s="19"/>
      <c r="C47" s="19"/>
      <c r="D47" s="38"/>
      <c r="E47" s="30"/>
      <c r="F47" s="39"/>
      <c r="G47" s="40" t="str">
        <f aca="false">IF(OR($B47="",$D47=""),"",$B47&amp;"|"&amp;COUNTIFS($B$5:$B47,$B47,$D$5:$D47,"&lt;&gt;"))</f>
        <v/>
      </c>
      <c r="H47" s="41" t="str">
        <f aca="false">IF(OR($B47="",$C47="",$D47=""),"",$B47&amp;"|"&amp;$C47)</f>
        <v/>
      </c>
      <c r="I47" s="13"/>
      <c r="J47" s="13"/>
    </row>
    <row r="48" customFormat="false" ht="19.5" hidden="false" customHeight="true" outlineLevel="0" collapsed="false">
      <c r="A48" s="37" t="n">
        <v>44</v>
      </c>
      <c r="B48" s="19"/>
      <c r="C48" s="19"/>
      <c r="D48" s="38"/>
      <c r="E48" s="30"/>
      <c r="F48" s="39"/>
      <c r="G48" s="40" t="str">
        <f aca="false">IF(OR($B48="",$D48=""),"",$B48&amp;"|"&amp;COUNTIFS($B$5:$B48,$B48,$D$5:$D48,"&lt;&gt;"))</f>
        <v/>
      </c>
      <c r="H48" s="41" t="str">
        <f aca="false">IF(OR($B48="",$C48="",$D48=""),"",$B48&amp;"|"&amp;$C48)</f>
        <v/>
      </c>
      <c r="I48" s="13"/>
      <c r="J48" s="13"/>
    </row>
    <row r="49" customFormat="false" ht="19.5" hidden="false" customHeight="true" outlineLevel="0" collapsed="false">
      <c r="A49" s="37" t="n">
        <v>45</v>
      </c>
      <c r="B49" s="19"/>
      <c r="C49" s="19"/>
      <c r="D49" s="38"/>
      <c r="E49" s="30"/>
      <c r="F49" s="39"/>
      <c r="G49" s="40" t="str">
        <f aca="false">IF(OR($B49="",$D49=""),"",$B49&amp;"|"&amp;COUNTIFS($B$5:$B49,$B49,$D$5:$D49,"&lt;&gt;"))</f>
        <v/>
      </c>
      <c r="H49" s="41" t="str">
        <f aca="false">IF(OR($B49="",$C49="",$D49=""),"",$B49&amp;"|"&amp;$C49)</f>
        <v/>
      </c>
      <c r="I49" s="13"/>
      <c r="J49" s="13"/>
    </row>
    <row r="50" customFormat="false" ht="19.5" hidden="false" customHeight="true" outlineLevel="0" collapsed="false">
      <c r="A50" s="37" t="n">
        <v>46</v>
      </c>
      <c r="B50" s="19"/>
      <c r="C50" s="19"/>
      <c r="D50" s="38"/>
      <c r="E50" s="30"/>
      <c r="F50" s="39"/>
      <c r="G50" s="40" t="str">
        <f aca="false">IF(OR($B50="",$D50=""),"",$B50&amp;"|"&amp;COUNTIFS($B$5:$B50,$B50,$D$5:$D50,"&lt;&gt;"))</f>
        <v/>
      </c>
      <c r="H50" s="41" t="str">
        <f aca="false">IF(OR($B50="",$C50="",$D50=""),"",$B50&amp;"|"&amp;$C50)</f>
        <v/>
      </c>
      <c r="I50" s="13"/>
      <c r="J50" s="13"/>
    </row>
    <row r="51" customFormat="false" ht="19.5" hidden="false" customHeight="true" outlineLevel="0" collapsed="false">
      <c r="A51" s="37" t="n">
        <v>47</v>
      </c>
      <c r="B51" s="19"/>
      <c r="C51" s="19"/>
      <c r="D51" s="38"/>
      <c r="E51" s="30"/>
      <c r="F51" s="39"/>
      <c r="G51" s="40" t="str">
        <f aca="false">IF(OR($B51="",$D51=""),"",$B51&amp;"|"&amp;COUNTIFS($B$5:$B51,$B51,$D$5:$D51,"&lt;&gt;"))</f>
        <v/>
      </c>
      <c r="H51" s="41" t="str">
        <f aca="false">IF(OR($B51="",$C51="",$D51=""),"",$B51&amp;"|"&amp;$C51)</f>
        <v/>
      </c>
      <c r="I51" s="13"/>
      <c r="J51" s="13"/>
    </row>
    <row r="52" customFormat="false" ht="19.5" hidden="false" customHeight="true" outlineLevel="0" collapsed="false">
      <c r="A52" s="37" t="n">
        <v>48</v>
      </c>
      <c r="B52" s="19"/>
      <c r="C52" s="19"/>
      <c r="D52" s="38"/>
      <c r="E52" s="30"/>
      <c r="F52" s="39"/>
      <c r="G52" s="40" t="str">
        <f aca="false">IF(OR($B52="",$D52=""),"",$B52&amp;"|"&amp;COUNTIFS($B$5:$B52,$B52,$D$5:$D52,"&lt;&gt;"))</f>
        <v/>
      </c>
      <c r="H52" s="41" t="str">
        <f aca="false">IF(OR($B52="",$C52="",$D52=""),"",$B52&amp;"|"&amp;$C52)</f>
        <v/>
      </c>
      <c r="I52" s="13"/>
      <c r="J52" s="13"/>
    </row>
    <row r="53" customFormat="false" ht="19.5" hidden="false" customHeight="true" outlineLevel="0" collapsed="false">
      <c r="A53" s="37" t="n">
        <v>49</v>
      </c>
      <c r="B53" s="19"/>
      <c r="C53" s="19"/>
      <c r="D53" s="38"/>
      <c r="E53" s="30"/>
      <c r="F53" s="39"/>
      <c r="G53" s="40" t="str">
        <f aca="false">IF(OR($B53="",$D53=""),"",$B53&amp;"|"&amp;COUNTIFS($B$5:$B53,$B53,$D$5:$D53,"&lt;&gt;"))</f>
        <v/>
      </c>
      <c r="H53" s="41" t="str">
        <f aca="false">IF(OR($B53="",$C53="",$D53=""),"",$B53&amp;"|"&amp;$C53)</f>
        <v/>
      </c>
      <c r="I53" s="13"/>
      <c r="J53" s="13"/>
    </row>
    <row r="54" customFormat="false" ht="19.5" hidden="false" customHeight="true" outlineLevel="0" collapsed="false">
      <c r="A54" s="37" t="n">
        <v>50</v>
      </c>
      <c r="B54" s="19"/>
      <c r="C54" s="19"/>
      <c r="D54" s="38"/>
      <c r="E54" s="30"/>
      <c r="F54" s="39"/>
      <c r="G54" s="40" t="str">
        <f aca="false">IF(OR($B54="",$D54=""),"",$B54&amp;"|"&amp;COUNTIFS($B$5:$B54,$B54,$D$5:$D54,"&lt;&gt;"))</f>
        <v/>
      </c>
      <c r="H54" s="41" t="str">
        <f aca="false">IF(OR($B54="",$C54="",$D54=""),"",$B54&amp;"|"&amp;$C54)</f>
        <v/>
      </c>
      <c r="I54" s="13"/>
      <c r="J54" s="13"/>
    </row>
    <row r="55" customFormat="false" ht="19.5" hidden="false" customHeight="true" outlineLevel="0" collapsed="false">
      <c r="A55" s="37" t="n">
        <v>51</v>
      </c>
      <c r="B55" s="19"/>
      <c r="C55" s="19"/>
      <c r="D55" s="38"/>
      <c r="E55" s="30"/>
      <c r="F55" s="39"/>
      <c r="G55" s="40" t="str">
        <f aca="false">IF(OR($B55="",$D55=""),"",$B55&amp;"|"&amp;COUNTIFS($B$5:$B55,$B55,$D$5:$D55,"&lt;&gt;"))</f>
        <v/>
      </c>
      <c r="H55" s="41" t="str">
        <f aca="false">IF(OR($B55="",$C55="",$D55=""),"",$B55&amp;"|"&amp;$C55)</f>
        <v/>
      </c>
      <c r="I55" s="13"/>
      <c r="J55" s="13"/>
    </row>
    <row r="56" customFormat="false" ht="19.5" hidden="false" customHeight="true" outlineLevel="0" collapsed="false">
      <c r="A56" s="37" t="n">
        <v>52</v>
      </c>
      <c r="B56" s="19"/>
      <c r="C56" s="19"/>
      <c r="D56" s="38"/>
      <c r="E56" s="30"/>
      <c r="F56" s="39"/>
      <c r="G56" s="40" t="str">
        <f aca="false">IF(OR($B56="",$D56=""),"",$B56&amp;"|"&amp;COUNTIFS($B$5:$B56,$B56,$D$5:$D56,"&lt;&gt;"))</f>
        <v/>
      </c>
      <c r="H56" s="41" t="str">
        <f aca="false">IF(OR($B56="",$C56="",$D56=""),"",$B56&amp;"|"&amp;$C56)</f>
        <v/>
      </c>
      <c r="I56" s="13"/>
      <c r="J56" s="13"/>
    </row>
    <row r="57" customFormat="false" ht="19.5" hidden="false" customHeight="true" outlineLevel="0" collapsed="false">
      <c r="A57" s="37" t="n">
        <v>53</v>
      </c>
      <c r="B57" s="19"/>
      <c r="C57" s="19"/>
      <c r="D57" s="38"/>
      <c r="E57" s="30"/>
      <c r="F57" s="39"/>
      <c r="G57" s="40" t="str">
        <f aca="false">IF(OR($B57="",$D57=""),"",$B57&amp;"|"&amp;COUNTIFS($B$5:$B57,$B57,$D$5:$D57,"&lt;&gt;"))</f>
        <v/>
      </c>
      <c r="H57" s="41" t="str">
        <f aca="false">IF(OR($B57="",$C57="",$D57=""),"",$B57&amp;"|"&amp;$C57)</f>
        <v/>
      </c>
      <c r="I57" s="13"/>
      <c r="J57" s="13"/>
    </row>
    <row r="58" customFormat="false" ht="19.5" hidden="false" customHeight="true" outlineLevel="0" collapsed="false">
      <c r="A58" s="37" t="n">
        <v>54</v>
      </c>
      <c r="B58" s="19"/>
      <c r="C58" s="19"/>
      <c r="D58" s="38"/>
      <c r="E58" s="30"/>
      <c r="F58" s="39"/>
      <c r="G58" s="40" t="str">
        <f aca="false">IF(OR($B58="",$D58=""),"",$B58&amp;"|"&amp;COUNTIFS($B$5:$B58,$B58,$D$5:$D58,"&lt;&gt;"))</f>
        <v/>
      </c>
      <c r="H58" s="41" t="str">
        <f aca="false">IF(OR($B58="",$C58="",$D58=""),"",$B58&amp;"|"&amp;$C58)</f>
        <v/>
      </c>
      <c r="I58" s="13"/>
      <c r="J58" s="13"/>
    </row>
    <row r="59" customFormat="false" ht="19.5" hidden="false" customHeight="true" outlineLevel="0" collapsed="false">
      <c r="A59" s="37" t="n">
        <v>55</v>
      </c>
      <c r="B59" s="19"/>
      <c r="C59" s="19"/>
      <c r="D59" s="38"/>
      <c r="E59" s="30"/>
      <c r="F59" s="39"/>
      <c r="G59" s="40" t="str">
        <f aca="false">IF(OR($B59="",$D59=""),"",$B59&amp;"|"&amp;COUNTIFS($B$5:$B59,$B59,$D$5:$D59,"&lt;&gt;"))</f>
        <v/>
      </c>
      <c r="H59" s="41" t="str">
        <f aca="false">IF(OR($B59="",$C59="",$D59=""),"",$B59&amp;"|"&amp;$C59)</f>
        <v/>
      </c>
      <c r="I59" s="13"/>
      <c r="J59" s="13"/>
    </row>
    <row r="60" customFormat="false" ht="19.5" hidden="false" customHeight="true" outlineLevel="0" collapsed="false">
      <c r="A60" s="37" t="n">
        <v>56</v>
      </c>
      <c r="B60" s="19"/>
      <c r="C60" s="19"/>
      <c r="D60" s="38"/>
      <c r="E60" s="30"/>
      <c r="F60" s="39"/>
      <c r="G60" s="40" t="str">
        <f aca="false">IF(OR($B60="",$D60=""),"",$B60&amp;"|"&amp;COUNTIFS($B$5:$B60,$B60,$D$5:$D60,"&lt;&gt;"))</f>
        <v/>
      </c>
      <c r="H60" s="41" t="str">
        <f aca="false">IF(OR($B60="",$C60="",$D60=""),"",$B60&amp;"|"&amp;$C60)</f>
        <v/>
      </c>
      <c r="I60" s="13"/>
      <c r="J60" s="13"/>
    </row>
    <row r="61" customFormat="false" ht="19.5" hidden="false" customHeight="true" outlineLevel="0" collapsed="false">
      <c r="A61" s="37" t="n">
        <v>57</v>
      </c>
      <c r="B61" s="19"/>
      <c r="C61" s="19"/>
      <c r="D61" s="38"/>
      <c r="E61" s="30"/>
      <c r="F61" s="39"/>
      <c r="G61" s="40" t="str">
        <f aca="false">IF(OR($B61="",$D61=""),"",$B61&amp;"|"&amp;COUNTIFS($B$5:$B61,$B61,$D$5:$D61,"&lt;&gt;"))</f>
        <v/>
      </c>
      <c r="H61" s="41" t="str">
        <f aca="false">IF(OR($B61="",$C61="",$D61=""),"",$B61&amp;"|"&amp;$C61)</f>
        <v/>
      </c>
      <c r="I61" s="13"/>
      <c r="J61" s="13"/>
    </row>
    <row r="62" customFormat="false" ht="19.5" hidden="false" customHeight="true" outlineLevel="0" collapsed="false">
      <c r="A62" s="37" t="n">
        <v>58</v>
      </c>
      <c r="B62" s="19"/>
      <c r="C62" s="19"/>
      <c r="D62" s="38"/>
      <c r="E62" s="30"/>
      <c r="F62" s="39"/>
      <c r="G62" s="40" t="str">
        <f aca="false">IF(OR($B62="",$D62=""),"",$B62&amp;"|"&amp;COUNTIFS($B$5:$B62,$B62,$D$5:$D62,"&lt;&gt;"))</f>
        <v/>
      </c>
      <c r="H62" s="41" t="str">
        <f aca="false">IF(OR($B62="",$C62="",$D62=""),"",$B62&amp;"|"&amp;$C62)</f>
        <v/>
      </c>
      <c r="I62" s="13"/>
      <c r="J62" s="13"/>
    </row>
    <row r="63" customFormat="false" ht="19.5" hidden="false" customHeight="true" outlineLevel="0" collapsed="false">
      <c r="A63" s="37" t="n">
        <v>59</v>
      </c>
      <c r="B63" s="19"/>
      <c r="C63" s="19"/>
      <c r="D63" s="38"/>
      <c r="E63" s="30"/>
      <c r="F63" s="39"/>
      <c r="G63" s="40" t="str">
        <f aca="false">IF(OR($B63="",$D63=""),"",$B63&amp;"|"&amp;COUNTIFS($B$5:$B63,$B63,$D$5:$D63,"&lt;&gt;"))</f>
        <v/>
      </c>
      <c r="H63" s="41" t="str">
        <f aca="false">IF(OR($B63="",$C63="",$D63=""),"",$B63&amp;"|"&amp;$C63)</f>
        <v/>
      </c>
      <c r="I63" s="13"/>
      <c r="J63" s="13"/>
    </row>
    <row r="64" customFormat="false" ht="19.5" hidden="false" customHeight="true" outlineLevel="0" collapsed="false">
      <c r="A64" s="37" t="n">
        <v>60</v>
      </c>
      <c r="B64" s="19"/>
      <c r="C64" s="19"/>
      <c r="D64" s="38"/>
      <c r="E64" s="30"/>
      <c r="F64" s="39"/>
      <c r="G64" s="40" t="str">
        <f aca="false">IF(OR($B64="",$D64=""),"",$B64&amp;"|"&amp;COUNTIFS($B$5:$B64,$B64,$D$5:$D64,"&lt;&gt;"))</f>
        <v/>
      </c>
      <c r="H64" s="41" t="str">
        <f aca="false">IF(OR($B64="",$C64="",$D64=""),"",$B64&amp;"|"&amp;$C64)</f>
        <v/>
      </c>
      <c r="I64" s="13"/>
      <c r="J64" s="13"/>
    </row>
    <row r="65" customFormat="false" ht="19.5" hidden="false" customHeight="true" outlineLevel="0" collapsed="false">
      <c r="A65" s="37" t="n">
        <v>61</v>
      </c>
      <c r="B65" s="19"/>
      <c r="C65" s="19"/>
      <c r="D65" s="38"/>
      <c r="E65" s="30"/>
      <c r="F65" s="39"/>
      <c r="G65" s="40" t="str">
        <f aca="false">IF(OR($B65="",$D65=""),"",$B65&amp;"|"&amp;COUNTIFS($B$5:$B65,$B65,$D$5:$D65,"&lt;&gt;"))</f>
        <v/>
      </c>
      <c r="H65" s="41" t="str">
        <f aca="false">IF(OR($B65="",$C65="",$D65=""),"",$B65&amp;"|"&amp;$C65)</f>
        <v/>
      </c>
      <c r="I65" s="13"/>
      <c r="J65" s="13"/>
    </row>
    <row r="66" customFormat="false" ht="19.5" hidden="false" customHeight="true" outlineLevel="0" collapsed="false">
      <c r="A66" s="37" t="n">
        <v>62</v>
      </c>
      <c r="B66" s="19"/>
      <c r="C66" s="19"/>
      <c r="D66" s="38"/>
      <c r="E66" s="30"/>
      <c r="F66" s="39"/>
      <c r="G66" s="40" t="str">
        <f aca="false">IF(OR($B66="",$D66=""),"",$B66&amp;"|"&amp;COUNTIFS($B$5:$B66,$B66,$D$5:$D66,"&lt;&gt;"))</f>
        <v/>
      </c>
      <c r="H66" s="41" t="str">
        <f aca="false">IF(OR($B66="",$C66="",$D66=""),"",$B66&amp;"|"&amp;$C66)</f>
        <v/>
      </c>
      <c r="I66" s="13"/>
      <c r="J66" s="13"/>
    </row>
    <row r="67" customFormat="false" ht="19.5" hidden="false" customHeight="true" outlineLevel="0" collapsed="false">
      <c r="A67" s="37" t="n">
        <v>63</v>
      </c>
      <c r="B67" s="19"/>
      <c r="C67" s="19"/>
      <c r="D67" s="38"/>
      <c r="E67" s="30"/>
      <c r="F67" s="39"/>
      <c r="G67" s="40" t="str">
        <f aca="false">IF(OR($B67="",$D67=""),"",$B67&amp;"|"&amp;COUNTIFS($B$5:$B67,$B67,$D$5:$D67,"&lt;&gt;"))</f>
        <v/>
      </c>
      <c r="H67" s="41" t="str">
        <f aca="false">IF(OR($B67="",$C67="",$D67=""),"",$B67&amp;"|"&amp;$C67)</f>
        <v/>
      </c>
      <c r="I67" s="13"/>
      <c r="J67" s="13"/>
    </row>
    <row r="68" customFormat="false" ht="19.5" hidden="false" customHeight="true" outlineLevel="0" collapsed="false">
      <c r="A68" s="37" t="n">
        <v>64</v>
      </c>
      <c r="B68" s="19"/>
      <c r="C68" s="19"/>
      <c r="D68" s="38"/>
      <c r="E68" s="30"/>
      <c r="F68" s="39"/>
      <c r="G68" s="40" t="str">
        <f aca="false">IF(OR($B68="",$D68=""),"",$B68&amp;"|"&amp;COUNTIFS($B$5:$B68,$B68,$D$5:$D68,"&lt;&gt;"))</f>
        <v/>
      </c>
      <c r="H68" s="41" t="str">
        <f aca="false">IF(OR($B68="",$C68="",$D68=""),"",$B68&amp;"|"&amp;$C68)</f>
        <v/>
      </c>
      <c r="I68" s="13"/>
      <c r="J68" s="13"/>
    </row>
    <row r="69" customFormat="false" ht="19.5" hidden="false" customHeight="true" outlineLevel="0" collapsed="false">
      <c r="A69" s="37" t="n">
        <v>65</v>
      </c>
      <c r="B69" s="19"/>
      <c r="C69" s="19"/>
      <c r="D69" s="38"/>
      <c r="E69" s="30"/>
      <c r="F69" s="39"/>
      <c r="G69" s="40" t="str">
        <f aca="false">IF(OR($B69="",$D69=""),"",$B69&amp;"|"&amp;COUNTIFS($B$5:$B69,$B69,$D$5:$D69,"&lt;&gt;"))</f>
        <v/>
      </c>
      <c r="H69" s="41" t="str">
        <f aca="false">IF(OR($B69="",$C69="",$D69=""),"",$B69&amp;"|"&amp;$C69)</f>
        <v/>
      </c>
      <c r="I69" s="13"/>
      <c r="J69" s="13"/>
    </row>
    <row r="70" customFormat="false" ht="19.5" hidden="false" customHeight="true" outlineLevel="0" collapsed="false">
      <c r="A70" s="37" t="n">
        <v>66</v>
      </c>
      <c r="B70" s="19"/>
      <c r="C70" s="19"/>
      <c r="D70" s="38"/>
      <c r="E70" s="30"/>
      <c r="F70" s="39"/>
      <c r="G70" s="40" t="str">
        <f aca="false">IF(OR($B70="",$D70=""),"",$B70&amp;"|"&amp;COUNTIFS($B$5:$B70,$B70,$D$5:$D70,"&lt;&gt;"))</f>
        <v/>
      </c>
      <c r="H70" s="41" t="str">
        <f aca="false">IF(OR($B70="",$C70="",$D70=""),"",$B70&amp;"|"&amp;$C70)</f>
        <v/>
      </c>
      <c r="I70" s="13"/>
      <c r="J70" s="13"/>
    </row>
    <row r="71" customFormat="false" ht="19.5" hidden="false" customHeight="true" outlineLevel="0" collapsed="false">
      <c r="A71" s="37" t="n">
        <v>67</v>
      </c>
      <c r="B71" s="19"/>
      <c r="C71" s="19"/>
      <c r="D71" s="38"/>
      <c r="E71" s="30"/>
      <c r="F71" s="39"/>
      <c r="G71" s="40" t="str">
        <f aca="false">IF(OR($B71="",$D71=""),"",$B71&amp;"|"&amp;COUNTIFS($B$5:$B71,$B71,$D$5:$D71,"&lt;&gt;"))</f>
        <v/>
      </c>
      <c r="H71" s="41" t="str">
        <f aca="false">IF(OR($B71="",$C71="",$D71=""),"",$B71&amp;"|"&amp;$C71)</f>
        <v/>
      </c>
      <c r="I71" s="13"/>
      <c r="J71" s="13"/>
    </row>
    <row r="72" customFormat="false" ht="19.5" hidden="false" customHeight="true" outlineLevel="0" collapsed="false">
      <c r="A72" s="37" t="n">
        <v>68</v>
      </c>
      <c r="B72" s="19"/>
      <c r="C72" s="19"/>
      <c r="D72" s="38"/>
      <c r="E72" s="30"/>
      <c r="F72" s="39"/>
      <c r="G72" s="40" t="str">
        <f aca="false">IF(OR($B72="",$D72=""),"",$B72&amp;"|"&amp;COUNTIFS($B$5:$B72,$B72,$D$5:$D72,"&lt;&gt;"))</f>
        <v/>
      </c>
      <c r="H72" s="41" t="str">
        <f aca="false">IF(OR($B72="",$C72="",$D72=""),"",$B72&amp;"|"&amp;$C72)</f>
        <v/>
      </c>
      <c r="I72" s="13"/>
      <c r="J72" s="13"/>
    </row>
    <row r="73" customFormat="false" ht="19.5" hidden="false" customHeight="true" outlineLevel="0" collapsed="false">
      <c r="A73" s="37" t="n">
        <v>69</v>
      </c>
      <c r="B73" s="19"/>
      <c r="C73" s="19"/>
      <c r="D73" s="38"/>
      <c r="E73" s="30"/>
      <c r="F73" s="39"/>
      <c r="G73" s="40" t="str">
        <f aca="false">IF(OR($B73="",$D73=""),"",$B73&amp;"|"&amp;COUNTIFS($B$5:$B73,$B73,$D$5:$D73,"&lt;&gt;"))</f>
        <v/>
      </c>
      <c r="H73" s="41" t="str">
        <f aca="false">IF(OR($B73="",$C73="",$D73=""),"",$B73&amp;"|"&amp;$C73)</f>
        <v/>
      </c>
      <c r="I73" s="13"/>
      <c r="J73" s="13"/>
    </row>
    <row r="74" customFormat="false" ht="19.5" hidden="false" customHeight="true" outlineLevel="0" collapsed="false">
      <c r="A74" s="37" t="n">
        <v>70</v>
      </c>
      <c r="B74" s="19"/>
      <c r="C74" s="19"/>
      <c r="D74" s="38"/>
      <c r="E74" s="30"/>
      <c r="F74" s="39"/>
      <c r="G74" s="40" t="str">
        <f aca="false">IF(OR($B74="",$D74=""),"",$B74&amp;"|"&amp;COUNTIFS($B$5:$B74,$B74,$D$5:$D74,"&lt;&gt;"))</f>
        <v/>
      </c>
      <c r="H74" s="41" t="str">
        <f aca="false">IF(OR($B74="",$C74="",$D74=""),"",$B74&amp;"|"&amp;$C74)</f>
        <v/>
      </c>
      <c r="I74" s="13"/>
      <c r="J74" s="13"/>
    </row>
    <row r="75" customFormat="false" ht="19.5" hidden="false" customHeight="true" outlineLevel="0" collapsed="false">
      <c r="A75" s="37" t="n">
        <v>71</v>
      </c>
      <c r="B75" s="19"/>
      <c r="C75" s="19"/>
      <c r="D75" s="38"/>
      <c r="E75" s="30"/>
      <c r="F75" s="39"/>
      <c r="G75" s="40" t="str">
        <f aca="false">IF(OR($B75="",$D75=""),"",$B75&amp;"|"&amp;COUNTIFS($B$5:$B75,$B75,$D$5:$D75,"&lt;&gt;"))</f>
        <v/>
      </c>
      <c r="H75" s="41" t="str">
        <f aca="false">IF(OR($B75="",$C75="",$D75=""),"",$B75&amp;"|"&amp;$C75)</f>
        <v/>
      </c>
      <c r="I75" s="13"/>
      <c r="J75" s="13"/>
    </row>
    <row r="76" customFormat="false" ht="19.5" hidden="false" customHeight="true" outlineLevel="0" collapsed="false">
      <c r="A76" s="37" t="n">
        <v>72</v>
      </c>
      <c r="B76" s="19"/>
      <c r="C76" s="19"/>
      <c r="D76" s="38"/>
      <c r="E76" s="30"/>
      <c r="F76" s="39"/>
      <c r="G76" s="40" t="str">
        <f aca="false">IF(OR($B76="",$D76=""),"",$B76&amp;"|"&amp;COUNTIFS($B$5:$B76,$B76,$D$5:$D76,"&lt;&gt;"))</f>
        <v/>
      </c>
      <c r="H76" s="41" t="str">
        <f aca="false">IF(OR($B76="",$C76="",$D76=""),"",$B76&amp;"|"&amp;$C76)</f>
        <v/>
      </c>
      <c r="I76" s="13"/>
      <c r="J76" s="13"/>
    </row>
    <row r="77" customFormat="false" ht="19.5" hidden="false" customHeight="true" outlineLevel="0" collapsed="false">
      <c r="A77" s="37" t="n">
        <v>73</v>
      </c>
      <c r="B77" s="19"/>
      <c r="C77" s="19"/>
      <c r="D77" s="38"/>
      <c r="E77" s="30"/>
      <c r="F77" s="39"/>
      <c r="G77" s="40" t="str">
        <f aca="false">IF(OR($B77="",$D77=""),"",$B77&amp;"|"&amp;COUNTIFS($B$5:$B77,$B77,$D$5:$D77,"&lt;&gt;"))</f>
        <v/>
      </c>
      <c r="H77" s="41" t="str">
        <f aca="false">IF(OR($B77="",$C77="",$D77=""),"",$B77&amp;"|"&amp;$C77)</f>
        <v/>
      </c>
      <c r="I77" s="13"/>
      <c r="J77" s="13"/>
    </row>
    <row r="78" customFormat="false" ht="19.5" hidden="false" customHeight="true" outlineLevel="0" collapsed="false">
      <c r="A78" s="37" t="n">
        <v>74</v>
      </c>
      <c r="B78" s="19"/>
      <c r="C78" s="19"/>
      <c r="D78" s="38"/>
      <c r="E78" s="30"/>
      <c r="F78" s="39"/>
      <c r="G78" s="40" t="str">
        <f aca="false">IF(OR($B78="",$D78=""),"",$B78&amp;"|"&amp;COUNTIFS($B$5:$B78,$B78,$D$5:$D78,"&lt;&gt;"))</f>
        <v/>
      </c>
      <c r="H78" s="41" t="str">
        <f aca="false">IF(OR($B78="",$C78="",$D78=""),"",$B78&amp;"|"&amp;$C78)</f>
        <v/>
      </c>
      <c r="I78" s="13"/>
      <c r="J78" s="13"/>
    </row>
    <row r="79" customFormat="false" ht="19.5" hidden="false" customHeight="true" outlineLevel="0" collapsed="false">
      <c r="A79" s="37" t="n">
        <v>75</v>
      </c>
      <c r="B79" s="19"/>
      <c r="C79" s="19"/>
      <c r="D79" s="38"/>
      <c r="E79" s="30"/>
      <c r="F79" s="39"/>
      <c r="G79" s="40" t="str">
        <f aca="false">IF(OR($B79="",$D79=""),"",$B79&amp;"|"&amp;COUNTIFS($B$5:$B79,$B79,$D$5:$D79,"&lt;&gt;"))</f>
        <v/>
      </c>
      <c r="H79" s="41" t="str">
        <f aca="false">IF(OR($B79="",$C79="",$D79=""),"",$B79&amp;"|"&amp;$C79)</f>
        <v/>
      </c>
      <c r="I79" s="13"/>
      <c r="J79" s="13"/>
    </row>
    <row r="80" customFormat="false" ht="19.5" hidden="false" customHeight="true" outlineLevel="0" collapsed="false">
      <c r="A80" s="37" t="n">
        <v>76</v>
      </c>
      <c r="B80" s="19"/>
      <c r="C80" s="19"/>
      <c r="D80" s="38"/>
      <c r="E80" s="30"/>
      <c r="F80" s="39"/>
      <c r="G80" s="40" t="str">
        <f aca="false">IF(OR($B80="",$D80=""),"",$B80&amp;"|"&amp;COUNTIFS($B$5:$B80,$B80,$D$5:$D80,"&lt;&gt;"))</f>
        <v/>
      </c>
      <c r="H80" s="41" t="str">
        <f aca="false">IF(OR($B80="",$C80="",$D80=""),"",$B80&amp;"|"&amp;$C80)</f>
        <v/>
      </c>
      <c r="I80" s="13"/>
      <c r="J80" s="13"/>
    </row>
    <row r="81" customFormat="false" ht="19.5" hidden="false" customHeight="true" outlineLevel="0" collapsed="false">
      <c r="A81" s="37" t="n">
        <v>77</v>
      </c>
      <c r="B81" s="19"/>
      <c r="C81" s="19"/>
      <c r="D81" s="38"/>
      <c r="E81" s="30"/>
      <c r="F81" s="39"/>
      <c r="G81" s="40" t="str">
        <f aca="false">IF(OR($B81="",$D81=""),"",$B81&amp;"|"&amp;COUNTIFS($B$5:$B81,$B81,$D$5:$D81,"&lt;&gt;"))</f>
        <v/>
      </c>
      <c r="H81" s="41" t="str">
        <f aca="false">IF(OR($B81="",$C81="",$D81=""),"",$B81&amp;"|"&amp;$C81)</f>
        <v/>
      </c>
      <c r="I81" s="13"/>
      <c r="J81" s="13"/>
    </row>
    <row r="82" customFormat="false" ht="19.5" hidden="false" customHeight="true" outlineLevel="0" collapsed="false">
      <c r="A82" s="37" t="n">
        <v>78</v>
      </c>
      <c r="B82" s="19"/>
      <c r="C82" s="19"/>
      <c r="D82" s="38"/>
      <c r="E82" s="30"/>
      <c r="F82" s="39"/>
      <c r="G82" s="40" t="str">
        <f aca="false">IF(OR($B82="",$D82=""),"",$B82&amp;"|"&amp;COUNTIFS($B$5:$B82,$B82,$D$5:$D82,"&lt;&gt;"))</f>
        <v/>
      </c>
      <c r="H82" s="41" t="str">
        <f aca="false">IF(OR($B82="",$C82="",$D82=""),"",$B82&amp;"|"&amp;$C82)</f>
        <v/>
      </c>
      <c r="I82" s="13"/>
      <c r="J82" s="13"/>
    </row>
    <row r="83" customFormat="false" ht="19.5" hidden="false" customHeight="true" outlineLevel="0" collapsed="false">
      <c r="A83" s="37" t="n">
        <v>79</v>
      </c>
      <c r="B83" s="19"/>
      <c r="C83" s="19"/>
      <c r="D83" s="38"/>
      <c r="E83" s="30"/>
      <c r="F83" s="39"/>
      <c r="G83" s="40" t="str">
        <f aca="false">IF(OR($B83="",$D83=""),"",$B83&amp;"|"&amp;COUNTIFS($B$5:$B83,$B83,$D$5:$D83,"&lt;&gt;"))</f>
        <v/>
      </c>
      <c r="H83" s="41" t="str">
        <f aca="false">IF(OR($B83="",$C83="",$D83=""),"",$B83&amp;"|"&amp;$C83)</f>
        <v/>
      </c>
      <c r="I83" s="13"/>
      <c r="J83" s="13"/>
    </row>
    <row r="84" customFormat="false" ht="19.5" hidden="false" customHeight="true" outlineLevel="0" collapsed="false">
      <c r="A84" s="37" t="n">
        <v>80</v>
      </c>
      <c r="B84" s="19"/>
      <c r="C84" s="19"/>
      <c r="D84" s="38"/>
      <c r="E84" s="30"/>
      <c r="F84" s="39"/>
      <c r="G84" s="40" t="str">
        <f aca="false">IF(OR($B84="",$D84=""),"",$B84&amp;"|"&amp;COUNTIFS($B$5:$B84,$B84,$D$5:$D84,"&lt;&gt;"))</f>
        <v/>
      </c>
      <c r="H84" s="41" t="str">
        <f aca="false">IF(OR($B84="",$C84="",$D84=""),"",$B84&amp;"|"&amp;$C84)</f>
        <v/>
      </c>
      <c r="I84" s="13"/>
      <c r="J84" s="13"/>
    </row>
    <row r="85" customFormat="false" ht="19.5" hidden="false" customHeight="true" outlineLevel="0" collapsed="false">
      <c r="A85" s="37" t="n">
        <v>81</v>
      </c>
      <c r="B85" s="19"/>
      <c r="C85" s="19"/>
      <c r="D85" s="38"/>
      <c r="E85" s="30"/>
      <c r="F85" s="39"/>
      <c r="G85" s="40" t="str">
        <f aca="false">IF(OR($B85="",$D85=""),"",$B85&amp;"|"&amp;COUNTIFS($B$5:$B85,$B85,$D$5:$D85,"&lt;&gt;"))</f>
        <v/>
      </c>
      <c r="H85" s="41" t="str">
        <f aca="false">IF(OR($B85="",$C85="",$D85=""),"",$B85&amp;"|"&amp;$C85)</f>
        <v/>
      </c>
      <c r="I85" s="13"/>
      <c r="J85" s="13"/>
    </row>
    <row r="86" customFormat="false" ht="19.5" hidden="false" customHeight="true" outlineLevel="0" collapsed="false">
      <c r="A86" s="37" t="n">
        <v>82</v>
      </c>
      <c r="B86" s="19"/>
      <c r="C86" s="19"/>
      <c r="D86" s="38"/>
      <c r="E86" s="30"/>
      <c r="F86" s="39"/>
      <c r="G86" s="40" t="str">
        <f aca="false">IF(OR($B86="",$D86=""),"",$B86&amp;"|"&amp;COUNTIFS($B$5:$B86,$B86,$D$5:$D86,"&lt;&gt;"))</f>
        <v/>
      </c>
      <c r="H86" s="41" t="str">
        <f aca="false">IF(OR($B86="",$C86="",$D86=""),"",$B86&amp;"|"&amp;$C86)</f>
        <v/>
      </c>
      <c r="I86" s="13"/>
      <c r="J86" s="13"/>
    </row>
    <row r="87" customFormat="false" ht="19.5" hidden="false" customHeight="true" outlineLevel="0" collapsed="false">
      <c r="A87" s="37" t="n">
        <v>83</v>
      </c>
      <c r="B87" s="19"/>
      <c r="C87" s="19"/>
      <c r="D87" s="38"/>
      <c r="E87" s="30"/>
      <c r="F87" s="39"/>
      <c r="G87" s="40" t="str">
        <f aca="false">IF(OR($B87="",$D87=""),"",$B87&amp;"|"&amp;COUNTIFS($B$5:$B87,$B87,$D$5:$D87,"&lt;&gt;"))</f>
        <v/>
      </c>
      <c r="H87" s="41" t="str">
        <f aca="false">IF(OR($B87="",$C87="",$D87=""),"",$B87&amp;"|"&amp;$C87)</f>
        <v/>
      </c>
      <c r="I87" s="13"/>
      <c r="J87" s="13"/>
    </row>
    <row r="88" customFormat="false" ht="19.5" hidden="false" customHeight="true" outlineLevel="0" collapsed="false">
      <c r="A88" s="37" t="n">
        <v>84</v>
      </c>
      <c r="B88" s="19"/>
      <c r="C88" s="19"/>
      <c r="D88" s="38"/>
      <c r="E88" s="30"/>
      <c r="F88" s="39"/>
      <c r="G88" s="40" t="str">
        <f aca="false">IF(OR($B88="",$D88=""),"",$B88&amp;"|"&amp;COUNTIFS($B$5:$B88,$B88,$D$5:$D88,"&lt;&gt;"))</f>
        <v/>
      </c>
      <c r="H88" s="41" t="str">
        <f aca="false">IF(OR($B88="",$C88="",$D88=""),"",$B88&amp;"|"&amp;$C88)</f>
        <v/>
      </c>
      <c r="I88" s="13"/>
      <c r="J88" s="13"/>
    </row>
    <row r="89" customFormat="false" ht="19.5" hidden="false" customHeight="true" outlineLevel="0" collapsed="false">
      <c r="A89" s="37" t="n">
        <v>85</v>
      </c>
      <c r="B89" s="19"/>
      <c r="C89" s="19"/>
      <c r="D89" s="38"/>
      <c r="E89" s="30"/>
      <c r="F89" s="39"/>
      <c r="G89" s="40" t="str">
        <f aca="false">IF(OR($B89="",$D89=""),"",$B89&amp;"|"&amp;COUNTIFS($B$5:$B89,$B89,$D$5:$D89,"&lt;&gt;"))</f>
        <v/>
      </c>
      <c r="H89" s="41" t="str">
        <f aca="false">IF(OR($B89="",$C89="",$D89=""),"",$B89&amp;"|"&amp;$C89)</f>
        <v/>
      </c>
      <c r="I89" s="13"/>
      <c r="J89" s="13"/>
    </row>
    <row r="90" customFormat="false" ht="19.5" hidden="false" customHeight="true" outlineLevel="0" collapsed="false">
      <c r="A90" s="37" t="n">
        <v>86</v>
      </c>
      <c r="B90" s="19"/>
      <c r="C90" s="19"/>
      <c r="D90" s="38"/>
      <c r="E90" s="30"/>
      <c r="F90" s="39"/>
      <c r="G90" s="40" t="str">
        <f aca="false">IF(OR($B90="",$D90=""),"",$B90&amp;"|"&amp;COUNTIFS($B$5:$B90,$B90,$D$5:$D90,"&lt;&gt;"))</f>
        <v/>
      </c>
      <c r="H90" s="41" t="str">
        <f aca="false">IF(OR($B90="",$C90="",$D90=""),"",$B90&amp;"|"&amp;$C90)</f>
        <v/>
      </c>
      <c r="I90" s="13"/>
      <c r="J90" s="13"/>
    </row>
    <row r="91" customFormat="false" ht="19.5" hidden="false" customHeight="true" outlineLevel="0" collapsed="false">
      <c r="A91" s="37" t="n">
        <v>87</v>
      </c>
      <c r="B91" s="19"/>
      <c r="C91" s="19"/>
      <c r="D91" s="38"/>
      <c r="E91" s="30"/>
      <c r="F91" s="39"/>
      <c r="G91" s="40" t="str">
        <f aca="false">IF(OR($B91="",$D91=""),"",$B91&amp;"|"&amp;COUNTIFS($B$5:$B91,$B91,$D$5:$D91,"&lt;&gt;"))</f>
        <v/>
      </c>
      <c r="H91" s="41" t="str">
        <f aca="false">IF(OR($B91="",$C91="",$D91=""),"",$B91&amp;"|"&amp;$C91)</f>
        <v/>
      </c>
      <c r="I91" s="13"/>
      <c r="J91" s="13"/>
    </row>
    <row r="92" customFormat="false" ht="19.5" hidden="false" customHeight="true" outlineLevel="0" collapsed="false">
      <c r="A92" s="37" t="n">
        <v>88</v>
      </c>
      <c r="B92" s="19"/>
      <c r="C92" s="19"/>
      <c r="D92" s="38"/>
      <c r="E92" s="30"/>
      <c r="F92" s="39"/>
      <c r="G92" s="40" t="str">
        <f aca="false">IF(OR($B92="",$D92=""),"",$B92&amp;"|"&amp;COUNTIFS($B$5:$B92,$B92,$D$5:$D92,"&lt;&gt;"))</f>
        <v/>
      </c>
      <c r="H92" s="41" t="str">
        <f aca="false">IF(OR($B92="",$C92="",$D92=""),"",$B92&amp;"|"&amp;$C92)</f>
        <v/>
      </c>
      <c r="I92" s="13"/>
      <c r="J92" s="13"/>
    </row>
    <row r="93" customFormat="false" ht="19.5" hidden="false" customHeight="true" outlineLevel="0" collapsed="false">
      <c r="A93" s="37" t="n">
        <v>89</v>
      </c>
      <c r="B93" s="19"/>
      <c r="C93" s="19"/>
      <c r="D93" s="38"/>
      <c r="E93" s="30"/>
      <c r="F93" s="39"/>
      <c r="G93" s="40" t="str">
        <f aca="false">IF(OR($B93="",$D93=""),"",$B93&amp;"|"&amp;COUNTIFS($B$5:$B93,$B93,$D$5:$D93,"&lt;&gt;"))</f>
        <v/>
      </c>
      <c r="H93" s="41" t="str">
        <f aca="false">IF(OR($B93="",$C93="",$D93=""),"",$B93&amp;"|"&amp;$C93)</f>
        <v/>
      </c>
      <c r="I93" s="13"/>
      <c r="J93" s="13"/>
    </row>
    <row r="94" customFormat="false" ht="19.5" hidden="false" customHeight="true" outlineLevel="0" collapsed="false">
      <c r="A94" s="37" t="n">
        <v>90</v>
      </c>
      <c r="B94" s="19"/>
      <c r="C94" s="19"/>
      <c r="D94" s="38"/>
      <c r="E94" s="30"/>
      <c r="F94" s="39"/>
      <c r="G94" s="40" t="str">
        <f aca="false">IF(OR($B94="",$D94=""),"",$B94&amp;"|"&amp;COUNTIFS($B$5:$B94,$B94,$D$5:$D94,"&lt;&gt;"))</f>
        <v/>
      </c>
      <c r="H94" s="41" t="str">
        <f aca="false">IF(OR($B94="",$C94="",$D94=""),"",$B94&amp;"|"&amp;$C94)</f>
        <v/>
      </c>
      <c r="I94" s="13"/>
      <c r="J94" s="13"/>
    </row>
    <row r="95" customFormat="false" ht="19.5" hidden="false" customHeight="true" outlineLevel="0" collapsed="false">
      <c r="A95" s="37" t="n">
        <v>91</v>
      </c>
      <c r="B95" s="19"/>
      <c r="C95" s="19"/>
      <c r="D95" s="38"/>
      <c r="E95" s="30"/>
      <c r="F95" s="39"/>
      <c r="G95" s="40" t="str">
        <f aca="false">IF(OR($B95="",$D95=""),"",$B95&amp;"|"&amp;COUNTIFS($B$5:$B95,$B95,$D$5:$D95,"&lt;&gt;"))</f>
        <v/>
      </c>
      <c r="H95" s="41" t="str">
        <f aca="false">IF(OR($B95="",$C95="",$D95=""),"",$B95&amp;"|"&amp;$C95)</f>
        <v/>
      </c>
      <c r="I95" s="13"/>
      <c r="J95" s="13"/>
    </row>
    <row r="96" customFormat="false" ht="19.5" hidden="false" customHeight="true" outlineLevel="0" collapsed="false">
      <c r="A96" s="37" t="n">
        <v>92</v>
      </c>
      <c r="B96" s="19"/>
      <c r="C96" s="19"/>
      <c r="D96" s="38"/>
      <c r="E96" s="30"/>
      <c r="F96" s="39"/>
      <c r="G96" s="40" t="str">
        <f aca="false">IF(OR($B96="",$D96=""),"",$B96&amp;"|"&amp;COUNTIFS($B$5:$B96,$B96,$D$5:$D96,"&lt;&gt;"))</f>
        <v/>
      </c>
      <c r="H96" s="41" t="str">
        <f aca="false">IF(OR($B96="",$C96="",$D96=""),"",$B96&amp;"|"&amp;$C96)</f>
        <v/>
      </c>
      <c r="I96" s="13"/>
      <c r="J96" s="13"/>
    </row>
    <row r="97" customFormat="false" ht="19.5" hidden="false" customHeight="true" outlineLevel="0" collapsed="false">
      <c r="A97" s="37" t="n">
        <v>93</v>
      </c>
      <c r="B97" s="19"/>
      <c r="C97" s="19"/>
      <c r="D97" s="38"/>
      <c r="E97" s="30"/>
      <c r="F97" s="39"/>
      <c r="G97" s="40" t="str">
        <f aca="false">IF(OR($B97="",$D97=""),"",$B97&amp;"|"&amp;COUNTIFS($B$5:$B97,$B97,$D$5:$D97,"&lt;&gt;"))</f>
        <v/>
      </c>
      <c r="H97" s="41" t="str">
        <f aca="false">IF(OR($B97="",$C97="",$D97=""),"",$B97&amp;"|"&amp;$C97)</f>
        <v/>
      </c>
      <c r="I97" s="13"/>
      <c r="J97" s="13"/>
    </row>
    <row r="98" customFormat="false" ht="19.5" hidden="false" customHeight="true" outlineLevel="0" collapsed="false">
      <c r="A98" s="37" t="n">
        <v>94</v>
      </c>
      <c r="B98" s="19"/>
      <c r="C98" s="19"/>
      <c r="D98" s="38"/>
      <c r="E98" s="30"/>
      <c r="F98" s="39"/>
      <c r="G98" s="40" t="str">
        <f aca="false">IF(OR($B98="",$D98=""),"",$B98&amp;"|"&amp;COUNTIFS($B$5:$B98,$B98,$D$5:$D98,"&lt;&gt;"))</f>
        <v/>
      </c>
      <c r="H98" s="41" t="str">
        <f aca="false">IF(OR($B98="",$C98="",$D98=""),"",$B98&amp;"|"&amp;$C98)</f>
        <v/>
      </c>
      <c r="I98" s="13"/>
      <c r="J98" s="13"/>
    </row>
    <row r="99" customFormat="false" ht="19.5" hidden="false" customHeight="true" outlineLevel="0" collapsed="false">
      <c r="A99" s="37" t="n">
        <v>95</v>
      </c>
      <c r="B99" s="19"/>
      <c r="C99" s="19"/>
      <c r="D99" s="38"/>
      <c r="E99" s="30"/>
      <c r="F99" s="39"/>
      <c r="G99" s="40" t="str">
        <f aca="false">IF(OR($B99="",$D99=""),"",$B99&amp;"|"&amp;COUNTIFS($B$5:$B99,$B99,$D$5:$D99,"&lt;&gt;"))</f>
        <v/>
      </c>
      <c r="H99" s="41" t="str">
        <f aca="false">IF(OR($B99="",$C99="",$D99=""),"",$B99&amp;"|"&amp;$C99)</f>
        <v/>
      </c>
      <c r="I99" s="13"/>
      <c r="J99" s="13"/>
    </row>
    <row r="100" customFormat="false" ht="19.5" hidden="false" customHeight="true" outlineLevel="0" collapsed="false">
      <c r="A100" s="37" t="n">
        <v>96</v>
      </c>
      <c r="B100" s="19"/>
      <c r="C100" s="19"/>
      <c r="D100" s="38"/>
      <c r="E100" s="30"/>
      <c r="F100" s="39"/>
      <c r="G100" s="40" t="str">
        <f aca="false">IF(OR($B100="",$D100=""),"",$B100&amp;"|"&amp;COUNTIFS($B$5:$B100,$B100,$D$5:$D100,"&lt;&gt;"))</f>
        <v/>
      </c>
      <c r="H100" s="41" t="str">
        <f aca="false">IF(OR($B100="",$C100="",$D100=""),"",$B100&amp;"|"&amp;$C100)</f>
        <v/>
      </c>
      <c r="I100" s="13"/>
      <c r="J100" s="13"/>
    </row>
    <row r="101" customFormat="false" ht="19.5" hidden="false" customHeight="true" outlineLevel="0" collapsed="false">
      <c r="A101" s="37" t="n">
        <v>97</v>
      </c>
      <c r="B101" s="19"/>
      <c r="C101" s="19"/>
      <c r="D101" s="38"/>
      <c r="E101" s="30"/>
      <c r="F101" s="39"/>
      <c r="G101" s="40" t="str">
        <f aca="false">IF(OR($B101="",$D101=""),"",$B101&amp;"|"&amp;COUNTIFS($B$5:$B101,$B101,$D$5:$D101,"&lt;&gt;"))</f>
        <v/>
      </c>
      <c r="H101" s="41" t="str">
        <f aca="false">IF(OR($B101="",$C101="",$D101=""),"",$B101&amp;"|"&amp;$C101)</f>
        <v/>
      </c>
      <c r="I101" s="13"/>
      <c r="J101" s="13"/>
    </row>
    <row r="102" customFormat="false" ht="19.5" hidden="false" customHeight="true" outlineLevel="0" collapsed="false">
      <c r="A102" s="37" t="n">
        <v>98</v>
      </c>
      <c r="B102" s="19"/>
      <c r="C102" s="19"/>
      <c r="D102" s="38"/>
      <c r="E102" s="30"/>
      <c r="F102" s="39"/>
      <c r="G102" s="40" t="str">
        <f aca="false">IF(OR($B102="",$D102=""),"",$B102&amp;"|"&amp;COUNTIFS($B$5:$B102,$B102,$D$5:$D102,"&lt;&gt;"))</f>
        <v/>
      </c>
      <c r="H102" s="41" t="str">
        <f aca="false">IF(OR($B102="",$C102="",$D102=""),"",$B102&amp;"|"&amp;$C102)</f>
        <v/>
      </c>
      <c r="I102" s="13"/>
      <c r="J102" s="13"/>
    </row>
    <row r="103" customFormat="false" ht="19.5" hidden="false" customHeight="true" outlineLevel="0" collapsed="false">
      <c r="A103" s="37" t="n">
        <v>99</v>
      </c>
      <c r="B103" s="19"/>
      <c r="C103" s="19"/>
      <c r="D103" s="38"/>
      <c r="E103" s="30"/>
      <c r="F103" s="39"/>
      <c r="G103" s="40" t="str">
        <f aca="false">IF(OR($B103="",$D103=""),"",$B103&amp;"|"&amp;COUNTIFS($B$5:$B103,$B103,$D$5:$D103,"&lt;&gt;"))</f>
        <v/>
      </c>
      <c r="H103" s="41" t="str">
        <f aca="false">IF(OR($B103="",$C103="",$D103=""),"",$B103&amp;"|"&amp;$C103)</f>
        <v/>
      </c>
      <c r="I103" s="13"/>
      <c r="J103" s="13"/>
    </row>
    <row r="104" customFormat="false" ht="19.5" hidden="false" customHeight="true" outlineLevel="0" collapsed="false">
      <c r="A104" s="37" t="n">
        <v>100</v>
      </c>
      <c r="B104" s="19"/>
      <c r="C104" s="19"/>
      <c r="D104" s="38"/>
      <c r="E104" s="30"/>
      <c r="F104" s="39"/>
      <c r="G104" s="40" t="str">
        <f aca="false">IF(OR($B104="",$D104=""),"",$B104&amp;"|"&amp;COUNTIFS($B$5:$B104,$B104,$D$5:$D104,"&lt;&gt;"))</f>
        <v/>
      </c>
      <c r="H104" s="41" t="str">
        <f aca="false">IF(OR($B104="",$C104="",$D104=""),"",$B104&amp;"|"&amp;$C104)</f>
        <v/>
      </c>
      <c r="I104" s="13"/>
      <c r="J104" s="13"/>
    </row>
    <row r="105" customFormat="false" ht="19.5" hidden="false" customHeight="true" outlineLevel="0" collapsed="false">
      <c r="A105" s="37" t="n">
        <v>101</v>
      </c>
      <c r="B105" s="19"/>
      <c r="C105" s="19"/>
      <c r="D105" s="38"/>
      <c r="E105" s="30"/>
      <c r="F105" s="39"/>
      <c r="G105" s="40" t="str">
        <f aca="false">IF(OR($B105="",$D105=""),"",$B105&amp;"|"&amp;COUNTIFS($B$5:$B105,$B105,$D$5:$D105,"&lt;&gt;"))</f>
        <v/>
      </c>
      <c r="H105" s="41" t="str">
        <f aca="false">IF(OR($B105="",$C105="",$D105=""),"",$B105&amp;"|"&amp;$C105)</f>
        <v/>
      </c>
      <c r="I105" s="13"/>
      <c r="J105" s="13"/>
    </row>
    <row r="106" customFormat="false" ht="19.5" hidden="false" customHeight="true" outlineLevel="0" collapsed="false">
      <c r="A106" s="37" t="n">
        <v>102</v>
      </c>
      <c r="B106" s="19"/>
      <c r="C106" s="19"/>
      <c r="D106" s="38"/>
      <c r="E106" s="30"/>
      <c r="F106" s="39"/>
      <c r="G106" s="40" t="str">
        <f aca="false">IF(OR($B106="",$D106=""),"",$B106&amp;"|"&amp;COUNTIFS($B$5:$B106,$B106,$D$5:$D106,"&lt;&gt;"))</f>
        <v/>
      </c>
      <c r="H106" s="41" t="str">
        <f aca="false">IF(OR($B106="",$C106="",$D106=""),"",$B106&amp;"|"&amp;$C106)</f>
        <v/>
      </c>
      <c r="I106" s="13"/>
      <c r="J106" s="13"/>
    </row>
    <row r="107" customFormat="false" ht="19.5" hidden="false" customHeight="true" outlineLevel="0" collapsed="false">
      <c r="A107" s="37" t="n">
        <v>103</v>
      </c>
      <c r="B107" s="19"/>
      <c r="C107" s="19"/>
      <c r="D107" s="38"/>
      <c r="E107" s="30"/>
      <c r="F107" s="39"/>
      <c r="G107" s="40" t="str">
        <f aca="false">IF(OR($B107="",$D107=""),"",$B107&amp;"|"&amp;COUNTIFS($B$5:$B107,$B107,$D$5:$D107,"&lt;&gt;"))</f>
        <v/>
      </c>
      <c r="H107" s="41" t="str">
        <f aca="false">IF(OR($B107="",$C107="",$D107=""),"",$B107&amp;"|"&amp;$C107)</f>
        <v/>
      </c>
      <c r="I107" s="13"/>
      <c r="J107" s="13"/>
    </row>
    <row r="108" customFormat="false" ht="19.5" hidden="false" customHeight="true" outlineLevel="0" collapsed="false">
      <c r="A108" s="37" t="n">
        <v>104</v>
      </c>
      <c r="B108" s="19"/>
      <c r="C108" s="19"/>
      <c r="D108" s="38"/>
      <c r="E108" s="30"/>
      <c r="F108" s="39"/>
      <c r="G108" s="40" t="str">
        <f aca="false">IF(OR($B108="",$D108=""),"",$B108&amp;"|"&amp;COUNTIFS($B$5:$B108,$B108,$D$5:$D108,"&lt;&gt;"))</f>
        <v/>
      </c>
      <c r="H108" s="41" t="str">
        <f aca="false">IF(OR($B108="",$C108="",$D108=""),"",$B108&amp;"|"&amp;$C108)</f>
        <v/>
      </c>
      <c r="I108" s="13"/>
      <c r="J108" s="13"/>
    </row>
    <row r="109" customFormat="false" ht="19.5" hidden="false" customHeight="true" outlineLevel="0" collapsed="false">
      <c r="A109" s="37" t="n">
        <v>105</v>
      </c>
      <c r="B109" s="19"/>
      <c r="C109" s="19"/>
      <c r="D109" s="38"/>
      <c r="E109" s="30"/>
      <c r="F109" s="39"/>
      <c r="G109" s="40" t="str">
        <f aca="false">IF(OR($B109="",$D109=""),"",$B109&amp;"|"&amp;COUNTIFS($B$5:$B109,$B109,$D$5:$D109,"&lt;&gt;"))</f>
        <v/>
      </c>
      <c r="H109" s="41" t="str">
        <f aca="false">IF(OR($B109="",$C109="",$D109=""),"",$B109&amp;"|"&amp;$C109)</f>
        <v/>
      </c>
      <c r="I109" s="13"/>
      <c r="J109" s="13"/>
    </row>
    <row r="110" customFormat="false" ht="19.5" hidden="false" customHeight="true" outlineLevel="0" collapsed="false">
      <c r="A110" s="37" t="n">
        <v>106</v>
      </c>
      <c r="B110" s="19"/>
      <c r="C110" s="19"/>
      <c r="D110" s="38"/>
      <c r="E110" s="30"/>
      <c r="F110" s="39"/>
      <c r="G110" s="40" t="str">
        <f aca="false">IF(OR($B110="",$D110=""),"",$B110&amp;"|"&amp;COUNTIFS($B$5:$B110,$B110,$D$5:$D110,"&lt;&gt;"))</f>
        <v/>
      </c>
      <c r="H110" s="41" t="str">
        <f aca="false">IF(OR($B110="",$C110="",$D110=""),"",$B110&amp;"|"&amp;$C110)</f>
        <v/>
      </c>
      <c r="I110" s="13"/>
      <c r="J110" s="13"/>
    </row>
    <row r="111" customFormat="false" ht="19.5" hidden="false" customHeight="true" outlineLevel="0" collapsed="false">
      <c r="A111" s="37" t="n">
        <v>107</v>
      </c>
      <c r="B111" s="19"/>
      <c r="C111" s="19"/>
      <c r="D111" s="38"/>
      <c r="E111" s="30"/>
      <c r="F111" s="39"/>
      <c r="G111" s="40" t="str">
        <f aca="false">IF(OR($B111="",$D111=""),"",$B111&amp;"|"&amp;COUNTIFS($B$5:$B111,$B111,$D$5:$D111,"&lt;&gt;"))</f>
        <v/>
      </c>
      <c r="H111" s="41" t="str">
        <f aca="false">IF(OR($B111="",$C111="",$D111=""),"",$B111&amp;"|"&amp;$C111)</f>
        <v/>
      </c>
      <c r="I111" s="13"/>
      <c r="J111" s="13"/>
    </row>
    <row r="112" customFormat="false" ht="19.5" hidden="false" customHeight="true" outlineLevel="0" collapsed="false">
      <c r="A112" s="37" t="n">
        <v>108</v>
      </c>
      <c r="B112" s="19"/>
      <c r="C112" s="19"/>
      <c r="D112" s="38"/>
      <c r="E112" s="30"/>
      <c r="F112" s="39"/>
      <c r="G112" s="40" t="str">
        <f aca="false">IF(OR($B112="",$D112=""),"",$B112&amp;"|"&amp;COUNTIFS($B$5:$B112,$B112,$D$5:$D112,"&lt;&gt;"))</f>
        <v/>
      </c>
      <c r="H112" s="41" t="str">
        <f aca="false">IF(OR($B112="",$C112="",$D112=""),"",$B112&amp;"|"&amp;$C112)</f>
        <v/>
      </c>
      <c r="I112" s="13"/>
      <c r="J112" s="13"/>
    </row>
    <row r="113" customFormat="false" ht="19.5" hidden="false" customHeight="true" outlineLevel="0" collapsed="false">
      <c r="A113" s="37" t="n">
        <v>109</v>
      </c>
      <c r="B113" s="19"/>
      <c r="C113" s="19"/>
      <c r="D113" s="38"/>
      <c r="E113" s="30"/>
      <c r="F113" s="39"/>
      <c r="G113" s="40" t="str">
        <f aca="false">IF(OR($B113="",$D113=""),"",$B113&amp;"|"&amp;COUNTIFS($B$5:$B113,$B113,$D$5:$D113,"&lt;&gt;"))</f>
        <v/>
      </c>
      <c r="H113" s="41" t="str">
        <f aca="false">IF(OR($B113="",$C113="",$D113=""),"",$B113&amp;"|"&amp;$C113)</f>
        <v/>
      </c>
      <c r="I113" s="13"/>
      <c r="J113" s="13"/>
    </row>
    <row r="114" customFormat="false" ht="19.5" hidden="false" customHeight="true" outlineLevel="0" collapsed="false">
      <c r="A114" s="37" t="n">
        <v>110</v>
      </c>
      <c r="B114" s="19"/>
      <c r="C114" s="19"/>
      <c r="D114" s="38"/>
      <c r="E114" s="30"/>
      <c r="F114" s="39"/>
      <c r="G114" s="40" t="str">
        <f aca="false">IF(OR($B114="",$D114=""),"",$B114&amp;"|"&amp;COUNTIFS($B$5:$B114,$B114,$D$5:$D114,"&lt;&gt;"))</f>
        <v/>
      </c>
      <c r="H114" s="41" t="str">
        <f aca="false">IF(OR($B114="",$C114="",$D114=""),"",$B114&amp;"|"&amp;$C114)</f>
        <v/>
      </c>
      <c r="I114" s="13"/>
      <c r="J114" s="13"/>
    </row>
    <row r="115" customFormat="false" ht="19.5" hidden="false" customHeight="true" outlineLevel="0" collapsed="false">
      <c r="A115" s="37" t="n">
        <v>111</v>
      </c>
      <c r="B115" s="19"/>
      <c r="C115" s="19"/>
      <c r="D115" s="38"/>
      <c r="E115" s="30"/>
      <c r="F115" s="39"/>
      <c r="G115" s="40" t="str">
        <f aca="false">IF(OR($B115="",$D115=""),"",$B115&amp;"|"&amp;COUNTIFS($B$5:$B115,$B115,$D$5:$D115,"&lt;&gt;"))</f>
        <v/>
      </c>
      <c r="H115" s="41" t="str">
        <f aca="false">IF(OR($B115="",$C115="",$D115=""),"",$B115&amp;"|"&amp;$C115)</f>
        <v/>
      </c>
      <c r="I115" s="13"/>
      <c r="J115" s="13"/>
    </row>
    <row r="116" customFormat="false" ht="19.5" hidden="false" customHeight="true" outlineLevel="0" collapsed="false">
      <c r="A116" s="37" t="n">
        <v>112</v>
      </c>
      <c r="B116" s="19"/>
      <c r="C116" s="19"/>
      <c r="D116" s="38"/>
      <c r="E116" s="30"/>
      <c r="F116" s="39"/>
      <c r="G116" s="40" t="str">
        <f aca="false">IF(OR($B116="",$D116=""),"",$B116&amp;"|"&amp;COUNTIFS($B$5:$B116,$B116,$D$5:$D116,"&lt;&gt;"))</f>
        <v/>
      </c>
      <c r="H116" s="41" t="str">
        <f aca="false">IF(OR($B116="",$C116="",$D116=""),"",$B116&amp;"|"&amp;$C116)</f>
        <v/>
      </c>
      <c r="I116" s="13"/>
      <c r="J116" s="13"/>
    </row>
    <row r="117" customFormat="false" ht="19.5" hidden="false" customHeight="true" outlineLevel="0" collapsed="false">
      <c r="A117" s="37" t="n">
        <v>113</v>
      </c>
      <c r="B117" s="19"/>
      <c r="C117" s="19"/>
      <c r="D117" s="38"/>
      <c r="E117" s="30"/>
      <c r="F117" s="39"/>
      <c r="G117" s="40" t="str">
        <f aca="false">IF(OR($B117="",$D117=""),"",$B117&amp;"|"&amp;COUNTIFS($B$5:$B117,$B117,$D$5:$D117,"&lt;&gt;"))</f>
        <v/>
      </c>
      <c r="H117" s="41" t="str">
        <f aca="false">IF(OR($B117="",$C117="",$D117=""),"",$B117&amp;"|"&amp;$C117)</f>
        <v/>
      </c>
      <c r="I117" s="13"/>
      <c r="J117" s="13"/>
    </row>
    <row r="118" customFormat="false" ht="19.5" hidden="false" customHeight="true" outlineLevel="0" collapsed="false">
      <c r="A118" s="37" t="n">
        <v>114</v>
      </c>
      <c r="B118" s="19"/>
      <c r="C118" s="19"/>
      <c r="D118" s="38"/>
      <c r="E118" s="30"/>
      <c r="F118" s="39"/>
      <c r="G118" s="40" t="str">
        <f aca="false">IF(OR($B118="",$D118=""),"",$B118&amp;"|"&amp;COUNTIFS($B$5:$B118,$B118,$D$5:$D118,"&lt;&gt;"))</f>
        <v/>
      </c>
      <c r="H118" s="41" t="str">
        <f aca="false">IF(OR($B118="",$C118="",$D118=""),"",$B118&amp;"|"&amp;$C118)</f>
        <v/>
      </c>
      <c r="I118" s="13"/>
      <c r="J118" s="13"/>
    </row>
    <row r="119" customFormat="false" ht="19.5" hidden="false" customHeight="true" outlineLevel="0" collapsed="false">
      <c r="A119" s="37" t="n">
        <v>115</v>
      </c>
      <c r="B119" s="19"/>
      <c r="C119" s="19"/>
      <c r="D119" s="38"/>
      <c r="E119" s="30"/>
      <c r="F119" s="39"/>
      <c r="G119" s="40" t="str">
        <f aca="false">IF(OR($B119="",$D119=""),"",$B119&amp;"|"&amp;COUNTIFS($B$5:$B119,$B119,$D$5:$D119,"&lt;&gt;"))</f>
        <v/>
      </c>
      <c r="H119" s="41" t="str">
        <f aca="false">IF(OR($B119="",$C119="",$D119=""),"",$B119&amp;"|"&amp;$C119)</f>
        <v/>
      </c>
      <c r="I119" s="13"/>
      <c r="J119" s="13"/>
    </row>
    <row r="120" customFormat="false" ht="19.5" hidden="false" customHeight="true" outlineLevel="0" collapsed="false">
      <c r="A120" s="37" t="n">
        <v>116</v>
      </c>
      <c r="B120" s="19"/>
      <c r="C120" s="19"/>
      <c r="D120" s="38"/>
      <c r="E120" s="30"/>
      <c r="F120" s="39"/>
      <c r="G120" s="40" t="str">
        <f aca="false">IF(OR($B120="",$D120=""),"",$B120&amp;"|"&amp;COUNTIFS($B$5:$B120,$B120,$D$5:$D120,"&lt;&gt;"))</f>
        <v/>
      </c>
      <c r="H120" s="41" t="str">
        <f aca="false">IF(OR($B120="",$C120="",$D120=""),"",$B120&amp;"|"&amp;$C120)</f>
        <v/>
      </c>
      <c r="I120" s="13"/>
      <c r="J120" s="13"/>
    </row>
    <row r="121" customFormat="false" ht="19.5" hidden="false" customHeight="true" outlineLevel="0" collapsed="false">
      <c r="A121" s="37" t="n">
        <v>117</v>
      </c>
      <c r="B121" s="19"/>
      <c r="C121" s="19"/>
      <c r="D121" s="38"/>
      <c r="E121" s="30"/>
      <c r="F121" s="39"/>
      <c r="G121" s="40" t="str">
        <f aca="false">IF(OR($B121="",$D121=""),"",$B121&amp;"|"&amp;COUNTIFS($B$5:$B121,$B121,$D$5:$D121,"&lt;&gt;"))</f>
        <v/>
      </c>
      <c r="H121" s="41" t="str">
        <f aca="false">IF(OR($B121="",$C121="",$D121=""),"",$B121&amp;"|"&amp;$C121)</f>
        <v/>
      </c>
      <c r="I121" s="13"/>
      <c r="J121" s="13"/>
    </row>
    <row r="122" customFormat="false" ht="19.5" hidden="false" customHeight="true" outlineLevel="0" collapsed="false">
      <c r="A122" s="37" t="n">
        <v>118</v>
      </c>
      <c r="B122" s="19"/>
      <c r="C122" s="19"/>
      <c r="D122" s="38"/>
      <c r="E122" s="30"/>
      <c r="F122" s="39"/>
      <c r="G122" s="40" t="str">
        <f aca="false">IF(OR($B122="",$D122=""),"",$B122&amp;"|"&amp;COUNTIFS($B$5:$B122,$B122,$D$5:$D122,"&lt;&gt;"))</f>
        <v/>
      </c>
      <c r="H122" s="41" t="str">
        <f aca="false">IF(OR($B122="",$C122="",$D122=""),"",$B122&amp;"|"&amp;$C122)</f>
        <v/>
      </c>
      <c r="I122" s="13"/>
      <c r="J122" s="13"/>
    </row>
    <row r="123" customFormat="false" ht="19.5" hidden="false" customHeight="true" outlineLevel="0" collapsed="false">
      <c r="A123" s="37" t="n">
        <v>119</v>
      </c>
      <c r="B123" s="19"/>
      <c r="C123" s="19"/>
      <c r="D123" s="38"/>
      <c r="E123" s="30"/>
      <c r="F123" s="39"/>
      <c r="G123" s="40" t="str">
        <f aca="false">IF(OR($B123="",$D123=""),"",$B123&amp;"|"&amp;COUNTIFS($B$5:$B123,$B123,$D$5:$D123,"&lt;&gt;"))</f>
        <v/>
      </c>
      <c r="H123" s="41" t="str">
        <f aca="false">IF(OR($B123="",$C123="",$D123=""),"",$B123&amp;"|"&amp;$C123)</f>
        <v/>
      </c>
      <c r="I123" s="13"/>
      <c r="J123" s="13"/>
    </row>
    <row r="124" customFormat="false" ht="19.5" hidden="false" customHeight="true" outlineLevel="0" collapsed="false">
      <c r="A124" s="37" t="n">
        <v>120</v>
      </c>
      <c r="B124" s="19"/>
      <c r="C124" s="19"/>
      <c r="D124" s="38"/>
      <c r="E124" s="30"/>
      <c r="F124" s="39"/>
      <c r="G124" s="40" t="str">
        <f aca="false">IF(OR($B124="",$D124=""),"",$B124&amp;"|"&amp;COUNTIFS($B$5:$B124,$B124,$D$5:$D124,"&lt;&gt;"))</f>
        <v/>
      </c>
      <c r="H124" s="41" t="str">
        <f aca="false">IF(OR($B124="",$C124="",$D124=""),"",$B124&amp;"|"&amp;$C124)</f>
        <v/>
      </c>
      <c r="I124" s="13"/>
      <c r="J124" s="13"/>
    </row>
    <row r="125" customFormat="false" ht="19.5" hidden="false" customHeight="true" outlineLevel="0" collapsed="false">
      <c r="A125" s="37" t="n">
        <v>121</v>
      </c>
      <c r="B125" s="19"/>
      <c r="C125" s="19"/>
      <c r="D125" s="38"/>
      <c r="E125" s="30"/>
      <c r="F125" s="39"/>
      <c r="G125" s="40" t="str">
        <f aca="false">IF(OR($B125="",$D125=""),"",$B125&amp;"|"&amp;COUNTIFS($B$5:$B125,$B125,$D$5:$D125,"&lt;&gt;"))</f>
        <v/>
      </c>
      <c r="H125" s="41" t="str">
        <f aca="false">IF(OR($B125="",$C125="",$D125=""),"",$B125&amp;"|"&amp;$C125)</f>
        <v/>
      </c>
      <c r="I125" s="13"/>
      <c r="J125" s="13"/>
    </row>
    <row r="126" customFormat="false" ht="19.5" hidden="false" customHeight="true" outlineLevel="0" collapsed="false">
      <c r="A126" s="37" t="n">
        <v>122</v>
      </c>
      <c r="B126" s="19"/>
      <c r="C126" s="19"/>
      <c r="D126" s="38"/>
      <c r="E126" s="30"/>
      <c r="F126" s="39"/>
      <c r="G126" s="40" t="str">
        <f aca="false">IF(OR($B126="",$D126=""),"",$B126&amp;"|"&amp;COUNTIFS($B$5:$B126,$B126,$D$5:$D126,"&lt;&gt;"))</f>
        <v/>
      </c>
      <c r="H126" s="41" t="str">
        <f aca="false">IF(OR($B126="",$C126="",$D126=""),"",$B126&amp;"|"&amp;$C126)</f>
        <v/>
      </c>
      <c r="I126" s="13"/>
      <c r="J126" s="13"/>
    </row>
    <row r="127" customFormat="false" ht="19.5" hidden="false" customHeight="true" outlineLevel="0" collapsed="false">
      <c r="A127" s="37" t="n">
        <v>123</v>
      </c>
      <c r="B127" s="19"/>
      <c r="C127" s="19"/>
      <c r="D127" s="38"/>
      <c r="E127" s="30"/>
      <c r="F127" s="39"/>
      <c r="G127" s="40" t="str">
        <f aca="false">IF(OR($B127="",$D127=""),"",$B127&amp;"|"&amp;COUNTIFS($B$5:$B127,$B127,$D$5:$D127,"&lt;&gt;"))</f>
        <v/>
      </c>
      <c r="H127" s="41" t="str">
        <f aca="false">IF(OR($B127="",$C127="",$D127=""),"",$B127&amp;"|"&amp;$C127)</f>
        <v/>
      </c>
      <c r="I127" s="13"/>
      <c r="J127" s="13"/>
    </row>
    <row r="128" customFormat="false" ht="19.5" hidden="false" customHeight="true" outlineLevel="0" collapsed="false">
      <c r="A128" s="37" t="n">
        <v>124</v>
      </c>
      <c r="B128" s="19"/>
      <c r="C128" s="19"/>
      <c r="D128" s="38"/>
      <c r="E128" s="30"/>
      <c r="F128" s="39"/>
      <c r="G128" s="40" t="str">
        <f aca="false">IF(OR($B128="",$D128=""),"",$B128&amp;"|"&amp;COUNTIFS($B$5:$B128,$B128,$D$5:$D128,"&lt;&gt;"))</f>
        <v/>
      </c>
      <c r="H128" s="41" t="str">
        <f aca="false">IF(OR($B128="",$C128="",$D128=""),"",$B128&amp;"|"&amp;$C128)</f>
        <v/>
      </c>
      <c r="I128" s="13"/>
      <c r="J128" s="13"/>
    </row>
    <row r="129" customFormat="false" ht="19.5" hidden="false" customHeight="true" outlineLevel="0" collapsed="false">
      <c r="A129" s="37" t="n">
        <v>125</v>
      </c>
      <c r="B129" s="19"/>
      <c r="C129" s="19"/>
      <c r="D129" s="38"/>
      <c r="E129" s="30"/>
      <c r="F129" s="39"/>
      <c r="G129" s="40" t="str">
        <f aca="false">IF(OR($B129="",$D129=""),"",$B129&amp;"|"&amp;COUNTIFS($B$5:$B129,$B129,$D$5:$D129,"&lt;&gt;"))</f>
        <v/>
      </c>
      <c r="H129" s="41" t="str">
        <f aca="false">IF(OR($B129="",$C129="",$D129=""),"",$B129&amp;"|"&amp;$C129)</f>
        <v/>
      </c>
      <c r="I129" s="13"/>
      <c r="J129" s="13"/>
    </row>
    <row r="130" customFormat="false" ht="19.5" hidden="false" customHeight="true" outlineLevel="0" collapsed="false">
      <c r="A130" s="37" t="n">
        <v>126</v>
      </c>
      <c r="B130" s="19"/>
      <c r="C130" s="19"/>
      <c r="D130" s="38"/>
      <c r="E130" s="30"/>
      <c r="F130" s="39"/>
      <c r="G130" s="40" t="str">
        <f aca="false">IF(OR($B130="",$D130=""),"",$B130&amp;"|"&amp;COUNTIFS($B$5:$B130,$B130,$D$5:$D130,"&lt;&gt;"))</f>
        <v/>
      </c>
      <c r="H130" s="41" t="str">
        <f aca="false">IF(OR($B130="",$C130="",$D130=""),"",$B130&amp;"|"&amp;$C130)</f>
        <v/>
      </c>
      <c r="I130" s="13"/>
      <c r="J130" s="13"/>
    </row>
    <row r="131" customFormat="false" ht="19.5" hidden="false" customHeight="true" outlineLevel="0" collapsed="false">
      <c r="A131" s="37" t="n">
        <v>127</v>
      </c>
      <c r="B131" s="19"/>
      <c r="C131" s="19"/>
      <c r="D131" s="38"/>
      <c r="E131" s="30"/>
      <c r="F131" s="39"/>
      <c r="G131" s="40" t="str">
        <f aca="false">IF(OR($B131="",$D131=""),"",$B131&amp;"|"&amp;COUNTIFS($B$5:$B131,$B131,$D$5:$D131,"&lt;&gt;"))</f>
        <v/>
      </c>
      <c r="H131" s="41" t="str">
        <f aca="false">IF(OR($B131="",$C131="",$D131=""),"",$B131&amp;"|"&amp;$C131)</f>
        <v/>
      </c>
      <c r="I131" s="13"/>
      <c r="J131" s="13"/>
    </row>
    <row r="132" customFormat="false" ht="19.5" hidden="false" customHeight="true" outlineLevel="0" collapsed="false">
      <c r="A132" s="37" t="n">
        <v>128</v>
      </c>
      <c r="B132" s="19"/>
      <c r="C132" s="19"/>
      <c r="D132" s="38"/>
      <c r="E132" s="30"/>
      <c r="F132" s="39"/>
      <c r="G132" s="40" t="str">
        <f aca="false">IF(OR($B132="",$D132=""),"",$B132&amp;"|"&amp;COUNTIFS($B$5:$B132,$B132,$D$5:$D132,"&lt;&gt;"))</f>
        <v/>
      </c>
      <c r="H132" s="41" t="str">
        <f aca="false">IF(OR($B132="",$C132="",$D132=""),"",$B132&amp;"|"&amp;$C132)</f>
        <v/>
      </c>
      <c r="I132" s="13"/>
      <c r="J132" s="13"/>
    </row>
    <row r="133" customFormat="false" ht="19.5" hidden="false" customHeight="true" outlineLevel="0" collapsed="false">
      <c r="A133" s="37" t="n">
        <v>129</v>
      </c>
      <c r="B133" s="19"/>
      <c r="C133" s="19"/>
      <c r="D133" s="38"/>
      <c r="E133" s="30"/>
      <c r="F133" s="39"/>
      <c r="G133" s="40" t="str">
        <f aca="false">IF(OR($B133="",$D133=""),"",$B133&amp;"|"&amp;COUNTIFS($B$5:$B133,$B133,$D$5:$D133,"&lt;&gt;"))</f>
        <v/>
      </c>
      <c r="H133" s="41" t="str">
        <f aca="false">IF(OR($B133="",$C133="",$D133=""),"",$B133&amp;"|"&amp;$C133)</f>
        <v/>
      </c>
      <c r="I133" s="13"/>
      <c r="J133" s="13"/>
    </row>
    <row r="134" customFormat="false" ht="19.5" hidden="false" customHeight="true" outlineLevel="0" collapsed="false">
      <c r="A134" s="37" t="n">
        <v>130</v>
      </c>
      <c r="B134" s="19"/>
      <c r="C134" s="19"/>
      <c r="D134" s="38"/>
      <c r="E134" s="30"/>
      <c r="F134" s="39"/>
      <c r="G134" s="40" t="str">
        <f aca="false">IF(OR($B134="",$D134=""),"",$B134&amp;"|"&amp;COUNTIFS($B$5:$B134,$B134,$D$5:$D134,"&lt;&gt;"))</f>
        <v/>
      </c>
      <c r="H134" s="41" t="str">
        <f aca="false">IF(OR($B134="",$C134="",$D134=""),"",$B134&amp;"|"&amp;$C134)</f>
        <v/>
      </c>
      <c r="I134" s="13"/>
      <c r="J134" s="13"/>
    </row>
    <row r="135" customFormat="false" ht="19.5" hidden="false" customHeight="true" outlineLevel="0" collapsed="false">
      <c r="A135" s="37" t="n">
        <v>131</v>
      </c>
      <c r="B135" s="19"/>
      <c r="C135" s="19"/>
      <c r="D135" s="38"/>
      <c r="E135" s="30"/>
      <c r="F135" s="39"/>
      <c r="G135" s="40" t="str">
        <f aca="false">IF(OR($B135="",$D135=""),"",$B135&amp;"|"&amp;COUNTIFS($B$5:$B135,$B135,$D$5:$D135,"&lt;&gt;"))</f>
        <v/>
      </c>
      <c r="H135" s="41" t="str">
        <f aca="false">IF(OR($B135="",$C135="",$D135=""),"",$B135&amp;"|"&amp;$C135)</f>
        <v/>
      </c>
      <c r="I135" s="13"/>
      <c r="J135" s="13"/>
    </row>
    <row r="136" customFormat="false" ht="19.5" hidden="false" customHeight="true" outlineLevel="0" collapsed="false">
      <c r="A136" s="37" t="n">
        <v>132</v>
      </c>
      <c r="B136" s="19"/>
      <c r="C136" s="19"/>
      <c r="D136" s="38"/>
      <c r="E136" s="30"/>
      <c r="F136" s="39"/>
      <c r="G136" s="40" t="str">
        <f aca="false">IF(OR($B136="",$D136=""),"",$B136&amp;"|"&amp;COUNTIFS($B$5:$B136,$B136,$D$5:$D136,"&lt;&gt;"))</f>
        <v/>
      </c>
      <c r="H136" s="41" t="str">
        <f aca="false">IF(OR($B136="",$C136="",$D136=""),"",$B136&amp;"|"&amp;$C136)</f>
        <v/>
      </c>
      <c r="I136" s="13"/>
      <c r="J136" s="13"/>
    </row>
    <row r="137" customFormat="false" ht="19.5" hidden="false" customHeight="true" outlineLevel="0" collapsed="false">
      <c r="A137" s="37" t="n">
        <v>133</v>
      </c>
      <c r="B137" s="19"/>
      <c r="C137" s="19"/>
      <c r="D137" s="38"/>
      <c r="E137" s="30"/>
      <c r="F137" s="39"/>
      <c r="G137" s="40" t="str">
        <f aca="false">IF(OR($B137="",$D137=""),"",$B137&amp;"|"&amp;COUNTIFS($B$5:$B137,$B137,$D$5:$D137,"&lt;&gt;"))</f>
        <v/>
      </c>
      <c r="H137" s="41" t="str">
        <f aca="false">IF(OR($B137="",$C137="",$D137=""),"",$B137&amp;"|"&amp;$C137)</f>
        <v/>
      </c>
      <c r="I137" s="13"/>
      <c r="J137" s="13"/>
    </row>
    <row r="138" customFormat="false" ht="19.5" hidden="false" customHeight="true" outlineLevel="0" collapsed="false">
      <c r="A138" s="37" t="n">
        <v>134</v>
      </c>
      <c r="B138" s="19"/>
      <c r="C138" s="19"/>
      <c r="D138" s="38"/>
      <c r="E138" s="30"/>
      <c r="F138" s="39"/>
      <c r="G138" s="40" t="str">
        <f aca="false">IF(OR($B138="",$D138=""),"",$B138&amp;"|"&amp;COUNTIFS($B$5:$B138,$B138,$D$5:$D138,"&lt;&gt;"))</f>
        <v/>
      </c>
      <c r="H138" s="41" t="str">
        <f aca="false">IF(OR($B138="",$C138="",$D138=""),"",$B138&amp;"|"&amp;$C138)</f>
        <v/>
      </c>
      <c r="I138" s="13"/>
      <c r="J138" s="13"/>
    </row>
    <row r="139" customFormat="false" ht="19.5" hidden="false" customHeight="true" outlineLevel="0" collapsed="false">
      <c r="A139" s="37" t="n">
        <v>135</v>
      </c>
      <c r="B139" s="19"/>
      <c r="C139" s="19"/>
      <c r="D139" s="38"/>
      <c r="E139" s="30"/>
      <c r="F139" s="39"/>
      <c r="G139" s="40" t="str">
        <f aca="false">IF(OR($B139="",$D139=""),"",$B139&amp;"|"&amp;COUNTIFS($B$5:$B139,$B139,$D$5:$D139,"&lt;&gt;"))</f>
        <v/>
      </c>
      <c r="H139" s="41" t="str">
        <f aca="false">IF(OR($B139="",$C139="",$D139=""),"",$B139&amp;"|"&amp;$C139)</f>
        <v/>
      </c>
      <c r="I139" s="13"/>
      <c r="J139" s="13"/>
    </row>
    <row r="140" customFormat="false" ht="19.5" hidden="false" customHeight="true" outlineLevel="0" collapsed="false">
      <c r="A140" s="37" t="n">
        <v>136</v>
      </c>
      <c r="B140" s="19"/>
      <c r="C140" s="19"/>
      <c r="D140" s="38"/>
      <c r="E140" s="30"/>
      <c r="F140" s="39"/>
      <c r="G140" s="40" t="str">
        <f aca="false">IF(OR($B140="",$D140=""),"",$B140&amp;"|"&amp;COUNTIFS($B$5:$B140,$B140,$D$5:$D140,"&lt;&gt;"))</f>
        <v/>
      </c>
      <c r="H140" s="41" t="str">
        <f aca="false">IF(OR($B140="",$C140="",$D140=""),"",$B140&amp;"|"&amp;$C140)</f>
        <v/>
      </c>
      <c r="I140" s="13"/>
      <c r="J140" s="13"/>
    </row>
    <row r="141" customFormat="false" ht="19.5" hidden="false" customHeight="true" outlineLevel="0" collapsed="false">
      <c r="A141" s="37" t="n">
        <v>137</v>
      </c>
      <c r="B141" s="19"/>
      <c r="C141" s="19"/>
      <c r="D141" s="38"/>
      <c r="E141" s="30"/>
      <c r="F141" s="39"/>
      <c r="G141" s="40" t="str">
        <f aca="false">IF(OR($B141="",$D141=""),"",$B141&amp;"|"&amp;COUNTIFS($B$5:$B141,$B141,$D$5:$D141,"&lt;&gt;"))</f>
        <v/>
      </c>
      <c r="H141" s="41" t="str">
        <f aca="false">IF(OR($B141="",$C141="",$D141=""),"",$B141&amp;"|"&amp;$C141)</f>
        <v/>
      </c>
      <c r="I141" s="13"/>
      <c r="J141" s="13"/>
    </row>
    <row r="142" customFormat="false" ht="19.5" hidden="false" customHeight="true" outlineLevel="0" collapsed="false">
      <c r="A142" s="37" t="n">
        <v>138</v>
      </c>
      <c r="B142" s="19"/>
      <c r="C142" s="19"/>
      <c r="D142" s="38"/>
      <c r="E142" s="30"/>
      <c r="F142" s="39"/>
      <c r="G142" s="40" t="str">
        <f aca="false">IF(OR($B142="",$D142=""),"",$B142&amp;"|"&amp;COUNTIFS($B$5:$B142,$B142,$D$5:$D142,"&lt;&gt;"))</f>
        <v/>
      </c>
      <c r="H142" s="41" t="str">
        <f aca="false">IF(OR($B142="",$C142="",$D142=""),"",$B142&amp;"|"&amp;$C142)</f>
        <v/>
      </c>
      <c r="I142" s="13"/>
      <c r="J142" s="13"/>
    </row>
    <row r="143" customFormat="false" ht="19.5" hidden="false" customHeight="true" outlineLevel="0" collapsed="false">
      <c r="A143" s="37" t="n">
        <v>139</v>
      </c>
      <c r="B143" s="19"/>
      <c r="C143" s="19"/>
      <c r="D143" s="38"/>
      <c r="E143" s="30"/>
      <c r="F143" s="39"/>
      <c r="G143" s="40" t="str">
        <f aca="false">IF(OR($B143="",$D143=""),"",$B143&amp;"|"&amp;COUNTIFS($B$5:$B143,$B143,$D$5:$D143,"&lt;&gt;"))</f>
        <v/>
      </c>
      <c r="H143" s="41" t="str">
        <f aca="false">IF(OR($B143="",$C143="",$D143=""),"",$B143&amp;"|"&amp;$C143)</f>
        <v/>
      </c>
      <c r="I143" s="13"/>
      <c r="J143" s="13"/>
    </row>
    <row r="144" customFormat="false" ht="19.5" hidden="false" customHeight="true" outlineLevel="0" collapsed="false">
      <c r="A144" s="37" t="n">
        <v>140</v>
      </c>
      <c r="B144" s="19"/>
      <c r="C144" s="19"/>
      <c r="D144" s="38"/>
      <c r="E144" s="30"/>
      <c r="F144" s="39"/>
      <c r="G144" s="40" t="str">
        <f aca="false">IF(OR($B144="",$D144=""),"",$B144&amp;"|"&amp;COUNTIFS($B$5:$B144,$B144,$D$5:$D144,"&lt;&gt;"))</f>
        <v/>
      </c>
      <c r="H144" s="41" t="str">
        <f aca="false">IF(OR($B144="",$C144="",$D144=""),"",$B144&amp;"|"&amp;$C144)</f>
        <v/>
      </c>
      <c r="I144" s="13"/>
      <c r="J144" s="13"/>
    </row>
    <row r="145" customFormat="false" ht="19.5" hidden="false" customHeight="true" outlineLevel="0" collapsed="false">
      <c r="A145" s="37" t="n">
        <v>141</v>
      </c>
      <c r="B145" s="19"/>
      <c r="C145" s="19"/>
      <c r="D145" s="38"/>
      <c r="E145" s="30"/>
      <c r="F145" s="39"/>
      <c r="G145" s="40" t="str">
        <f aca="false">IF(OR($B145="",$D145=""),"",$B145&amp;"|"&amp;COUNTIFS($B$5:$B145,$B145,$D$5:$D145,"&lt;&gt;"))</f>
        <v/>
      </c>
      <c r="H145" s="41" t="str">
        <f aca="false">IF(OR($B145="",$C145="",$D145=""),"",$B145&amp;"|"&amp;$C145)</f>
        <v/>
      </c>
      <c r="I145" s="13"/>
      <c r="J145" s="13"/>
    </row>
    <row r="146" customFormat="false" ht="19.5" hidden="false" customHeight="true" outlineLevel="0" collapsed="false">
      <c r="A146" s="37" t="n">
        <v>142</v>
      </c>
      <c r="B146" s="19"/>
      <c r="C146" s="19"/>
      <c r="D146" s="38"/>
      <c r="E146" s="30"/>
      <c r="F146" s="39"/>
      <c r="G146" s="40" t="str">
        <f aca="false">IF(OR($B146="",$D146=""),"",$B146&amp;"|"&amp;COUNTIFS($B$5:$B146,$B146,$D$5:$D146,"&lt;&gt;"))</f>
        <v/>
      </c>
      <c r="H146" s="41" t="str">
        <f aca="false">IF(OR($B146="",$C146="",$D146=""),"",$B146&amp;"|"&amp;$C146)</f>
        <v/>
      </c>
      <c r="I146" s="13"/>
      <c r="J146" s="13"/>
    </row>
    <row r="147" customFormat="false" ht="19.5" hidden="false" customHeight="true" outlineLevel="0" collapsed="false">
      <c r="A147" s="37" t="n">
        <v>143</v>
      </c>
      <c r="B147" s="19"/>
      <c r="C147" s="19"/>
      <c r="D147" s="38"/>
      <c r="E147" s="30"/>
      <c r="F147" s="39"/>
      <c r="G147" s="40" t="str">
        <f aca="false">IF(OR($B147="",$D147=""),"",$B147&amp;"|"&amp;COUNTIFS($B$5:$B147,$B147,$D$5:$D147,"&lt;&gt;"))</f>
        <v/>
      </c>
      <c r="H147" s="41" t="str">
        <f aca="false">IF(OR($B147="",$C147="",$D147=""),"",$B147&amp;"|"&amp;$C147)</f>
        <v/>
      </c>
      <c r="I147" s="13"/>
      <c r="J147" s="13"/>
    </row>
    <row r="148" customFormat="false" ht="19.5" hidden="false" customHeight="true" outlineLevel="0" collapsed="false">
      <c r="A148" s="37" t="n">
        <v>144</v>
      </c>
      <c r="B148" s="19"/>
      <c r="C148" s="19"/>
      <c r="D148" s="38"/>
      <c r="E148" s="30"/>
      <c r="F148" s="39"/>
      <c r="G148" s="40" t="str">
        <f aca="false">IF(OR($B148="",$D148=""),"",$B148&amp;"|"&amp;COUNTIFS($B$5:$B148,$B148,$D$5:$D148,"&lt;&gt;"))</f>
        <v/>
      </c>
      <c r="H148" s="41" t="str">
        <f aca="false">IF(OR($B148="",$C148="",$D148=""),"",$B148&amp;"|"&amp;$C148)</f>
        <v/>
      </c>
      <c r="I148" s="13"/>
      <c r="J148" s="13"/>
    </row>
    <row r="149" customFormat="false" ht="19.5" hidden="false" customHeight="true" outlineLevel="0" collapsed="false">
      <c r="A149" s="37" t="n">
        <v>145</v>
      </c>
      <c r="B149" s="19"/>
      <c r="C149" s="19"/>
      <c r="D149" s="38"/>
      <c r="E149" s="30"/>
      <c r="F149" s="39"/>
      <c r="G149" s="40" t="str">
        <f aca="false">IF(OR($B149="",$D149=""),"",$B149&amp;"|"&amp;COUNTIFS($B$5:$B149,$B149,$D$5:$D149,"&lt;&gt;"))</f>
        <v/>
      </c>
      <c r="H149" s="41" t="str">
        <f aca="false">IF(OR($B149="",$C149="",$D149=""),"",$B149&amp;"|"&amp;$C149)</f>
        <v/>
      </c>
      <c r="I149" s="13"/>
      <c r="J149" s="13"/>
    </row>
    <row r="150" customFormat="false" ht="19.5" hidden="false" customHeight="true" outlineLevel="0" collapsed="false">
      <c r="A150" s="37" t="n">
        <v>146</v>
      </c>
      <c r="B150" s="19"/>
      <c r="C150" s="19"/>
      <c r="D150" s="38"/>
      <c r="E150" s="30"/>
      <c r="F150" s="39"/>
      <c r="G150" s="40" t="str">
        <f aca="false">IF(OR($B150="",$D150=""),"",$B150&amp;"|"&amp;COUNTIFS($B$5:$B150,$B150,$D$5:$D150,"&lt;&gt;"))</f>
        <v/>
      </c>
      <c r="H150" s="41" t="str">
        <f aca="false">IF(OR($B150="",$C150="",$D150=""),"",$B150&amp;"|"&amp;$C150)</f>
        <v/>
      </c>
      <c r="I150" s="13"/>
      <c r="J150" s="13"/>
    </row>
    <row r="151" customFormat="false" ht="19.5" hidden="false" customHeight="true" outlineLevel="0" collapsed="false">
      <c r="A151" s="37" t="n">
        <v>147</v>
      </c>
      <c r="B151" s="19"/>
      <c r="C151" s="19"/>
      <c r="D151" s="38"/>
      <c r="E151" s="30"/>
      <c r="F151" s="39"/>
      <c r="G151" s="40" t="str">
        <f aca="false">IF(OR($B151="",$D151=""),"",$B151&amp;"|"&amp;COUNTIFS($B$5:$B151,$B151,$D$5:$D151,"&lt;&gt;"))</f>
        <v/>
      </c>
      <c r="H151" s="41" t="str">
        <f aca="false">IF(OR($B151="",$C151="",$D151=""),"",$B151&amp;"|"&amp;$C151)</f>
        <v/>
      </c>
      <c r="I151" s="13"/>
      <c r="J151" s="13"/>
    </row>
    <row r="152" customFormat="false" ht="19.5" hidden="false" customHeight="true" outlineLevel="0" collapsed="false">
      <c r="A152" s="37" t="n">
        <v>148</v>
      </c>
      <c r="B152" s="19"/>
      <c r="C152" s="19"/>
      <c r="D152" s="38"/>
      <c r="E152" s="30"/>
      <c r="F152" s="39"/>
      <c r="G152" s="40" t="str">
        <f aca="false">IF(OR($B152="",$D152=""),"",$B152&amp;"|"&amp;COUNTIFS($B$5:$B152,$B152,$D$5:$D152,"&lt;&gt;"))</f>
        <v/>
      </c>
      <c r="H152" s="41" t="str">
        <f aca="false">IF(OR($B152="",$C152="",$D152=""),"",$B152&amp;"|"&amp;$C152)</f>
        <v/>
      </c>
      <c r="I152" s="13"/>
      <c r="J152" s="13"/>
    </row>
    <row r="153" customFormat="false" ht="19.5" hidden="false" customHeight="true" outlineLevel="0" collapsed="false">
      <c r="A153" s="37" t="n">
        <v>149</v>
      </c>
      <c r="B153" s="19"/>
      <c r="C153" s="19"/>
      <c r="D153" s="38"/>
      <c r="E153" s="30"/>
      <c r="F153" s="39"/>
      <c r="G153" s="40" t="str">
        <f aca="false">IF(OR($B153="",$D153=""),"",$B153&amp;"|"&amp;COUNTIFS($B$5:$B153,$B153,$D$5:$D153,"&lt;&gt;"))</f>
        <v/>
      </c>
      <c r="H153" s="41" t="str">
        <f aca="false">IF(OR($B153="",$C153="",$D153=""),"",$B153&amp;"|"&amp;$C153)</f>
        <v/>
      </c>
      <c r="I153" s="13"/>
      <c r="J153" s="13"/>
    </row>
    <row r="154" customFormat="false" ht="19.5" hidden="false" customHeight="true" outlineLevel="0" collapsed="false">
      <c r="A154" s="37" t="n">
        <v>150</v>
      </c>
      <c r="B154" s="19"/>
      <c r="C154" s="19"/>
      <c r="D154" s="38"/>
      <c r="E154" s="30"/>
      <c r="F154" s="39"/>
      <c r="G154" s="40" t="str">
        <f aca="false">IF(OR($B154="",$D154=""),"",$B154&amp;"|"&amp;COUNTIFS($B$5:$B154,$B154,$D$5:$D154,"&lt;&gt;"))</f>
        <v/>
      </c>
      <c r="H154" s="41" t="str">
        <f aca="false">IF(OR($B154="",$C154="",$D154=""),"",$B154&amp;"|"&amp;$C154)</f>
        <v/>
      </c>
      <c r="I154" s="13"/>
      <c r="J154" s="13"/>
    </row>
    <row r="155" customFormat="false" ht="19.5" hidden="false" customHeight="true" outlineLevel="0" collapsed="false">
      <c r="A155" s="37" t="n">
        <v>151</v>
      </c>
      <c r="B155" s="19"/>
      <c r="C155" s="19"/>
      <c r="D155" s="38"/>
      <c r="E155" s="30"/>
      <c r="F155" s="39"/>
      <c r="G155" s="40" t="str">
        <f aca="false">IF(OR($B155="",$D155=""),"",$B155&amp;"|"&amp;COUNTIFS($B$5:$B155,$B155,$D$5:$D155,"&lt;&gt;"))</f>
        <v/>
      </c>
      <c r="H155" s="41" t="str">
        <f aca="false">IF(OR($B155="",$C155="",$D155=""),"",$B155&amp;"|"&amp;$C155)</f>
        <v/>
      </c>
      <c r="I155" s="13"/>
      <c r="J155" s="13"/>
    </row>
    <row r="156" customFormat="false" ht="19.5" hidden="false" customHeight="true" outlineLevel="0" collapsed="false">
      <c r="A156" s="37" t="n">
        <v>152</v>
      </c>
      <c r="B156" s="19"/>
      <c r="C156" s="19"/>
      <c r="D156" s="38"/>
      <c r="E156" s="30"/>
      <c r="F156" s="39"/>
      <c r="G156" s="40" t="str">
        <f aca="false">IF(OR($B156="",$D156=""),"",$B156&amp;"|"&amp;COUNTIFS($B$5:$B156,$B156,$D$5:$D156,"&lt;&gt;"))</f>
        <v/>
      </c>
      <c r="H156" s="41" t="str">
        <f aca="false">IF(OR($B156="",$C156="",$D156=""),"",$B156&amp;"|"&amp;$C156)</f>
        <v/>
      </c>
      <c r="I156" s="13"/>
      <c r="J156" s="13"/>
    </row>
    <row r="157" customFormat="false" ht="19.5" hidden="false" customHeight="true" outlineLevel="0" collapsed="false">
      <c r="A157" s="37" t="n">
        <v>153</v>
      </c>
      <c r="B157" s="19"/>
      <c r="C157" s="19"/>
      <c r="D157" s="38"/>
      <c r="E157" s="30"/>
      <c r="F157" s="39"/>
      <c r="G157" s="40" t="str">
        <f aca="false">IF(OR($B157="",$D157=""),"",$B157&amp;"|"&amp;COUNTIFS($B$5:$B157,$B157,$D$5:$D157,"&lt;&gt;"))</f>
        <v/>
      </c>
      <c r="H157" s="41" t="str">
        <f aca="false">IF(OR($B157="",$C157="",$D157=""),"",$B157&amp;"|"&amp;$C157)</f>
        <v/>
      </c>
      <c r="I157" s="13"/>
      <c r="J157" s="13"/>
    </row>
    <row r="158" customFormat="false" ht="19.5" hidden="false" customHeight="true" outlineLevel="0" collapsed="false">
      <c r="A158" s="37" t="n">
        <v>154</v>
      </c>
      <c r="B158" s="19"/>
      <c r="C158" s="19"/>
      <c r="D158" s="38"/>
      <c r="E158" s="30"/>
      <c r="F158" s="39"/>
      <c r="G158" s="40" t="str">
        <f aca="false">IF(OR($B158="",$D158=""),"",$B158&amp;"|"&amp;COUNTIFS($B$5:$B158,$B158,$D$5:$D158,"&lt;&gt;"))</f>
        <v/>
      </c>
      <c r="H158" s="41" t="str">
        <f aca="false">IF(OR($B158="",$C158="",$D158=""),"",$B158&amp;"|"&amp;$C158)</f>
        <v/>
      </c>
      <c r="I158" s="13"/>
      <c r="J158" s="13"/>
    </row>
    <row r="159" customFormat="false" ht="19.5" hidden="false" customHeight="true" outlineLevel="0" collapsed="false">
      <c r="A159" s="37" t="n">
        <v>155</v>
      </c>
      <c r="B159" s="19"/>
      <c r="C159" s="19"/>
      <c r="D159" s="38"/>
      <c r="E159" s="30"/>
      <c r="F159" s="39"/>
      <c r="G159" s="40" t="str">
        <f aca="false">IF(OR($B159="",$D159=""),"",$B159&amp;"|"&amp;COUNTIFS($B$5:$B159,$B159,$D$5:$D159,"&lt;&gt;"))</f>
        <v/>
      </c>
      <c r="H159" s="41" t="str">
        <f aca="false">IF(OR($B159="",$C159="",$D159=""),"",$B159&amp;"|"&amp;$C159)</f>
        <v/>
      </c>
      <c r="I159" s="13"/>
      <c r="J159" s="13"/>
    </row>
    <row r="160" customFormat="false" ht="19.5" hidden="false" customHeight="true" outlineLevel="0" collapsed="false">
      <c r="A160" s="37" t="n">
        <v>156</v>
      </c>
      <c r="B160" s="19"/>
      <c r="C160" s="19"/>
      <c r="D160" s="38"/>
      <c r="E160" s="30"/>
      <c r="F160" s="39"/>
      <c r="G160" s="40" t="str">
        <f aca="false">IF(OR($B160="",$D160=""),"",$B160&amp;"|"&amp;COUNTIFS($B$5:$B160,$B160,$D$5:$D160,"&lt;&gt;"))</f>
        <v/>
      </c>
      <c r="H160" s="41" t="str">
        <f aca="false">IF(OR($B160="",$C160="",$D160=""),"",$B160&amp;"|"&amp;$C160)</f>
        <v/>
      </c>
      <c r="I160" s="13"/>
      <c r="J160" s="13"/>
    </row>
    <row r="161" customFormat="false" ht="19.5" hidden="false" customHeight="true" outlineLevel="0" collapsed="false">
      <c r="A161" s="37" t="n">
        <v>157</v>
      </c>
      <c r="B161" s="19"/>
      <c r="C161" s="19"/>
      <c r="D161" s="38"/>
      <c r="E161" s="30"/>
      <c r="F161" s="39"/>
      <c r="G161" s="40" t="str">
        <f aca="false">IF(OR($B161="",$D161=""),"",$B161&amp;"|"&amp;COUNTIFS($B$5:$B161,$B161,$D$5:$D161,"&lt;&gt;"))</f>
        <v/>
      </c>
      <c r="H161" s="41" t="str">
        <f aca="false">IF(OR($B161="",$C161="",$D161=""),"",$B161&amp;"|"&amp;$C161)</f>
        <v/>
      </c>
      <c r="I161" s="13"/>
      <c r="J161" s="13"/>
    </row>
    <row r="162" customFormat="false" ht="19.5" hidden="false" customHeight="true" outlineLevel="0" collapsed="false">
      <c r="A162" s="37" t="n">
        <v>158</v>
      </c>
      <c r="B162" s="19"/>
      <c r="C162" s="19"/>
      <c r="D162" s="38"/>
      <c r="E162" s="30"/>
      <c r="F162" s="39"/>
      <c r="G162" s="40" t="str">
        <f aca="false">IF(OR($B162="",$D162=""),"",$B162&amp;"|"&amp;COUNTIFS($B$5:$B162,$B162,$D$5:$D162,"&lt;&gt;"))</f>
        <v/>
      </c>
      <c r="H162" s="41" t="str">
        <f aca="false">IF(OR($B162="",$C162="",$D162=""),"",$B162&amp;"|"&amp;$C162)</f>
        <v/>
      </c>
      <c r="I162" s="13"/>
      <c r="J162" s="13"/>
    </row>
    <row r="163" customFormat="false" ht="19.5" hidden="false" customHeight="true" outlineLevel="0" collapsed="false">
      <c r="A163" s="37" t="n">
        <v>159</v>
      </c>
      <c r="B163" s="19"/>
      <c r="C163" s="19"/>
      <c r="D163" s="38"/>
      <c r="E163" s="30"/>
      <c r="F163" s="39"/>
      <c r="G163" s="40" t="str">
        <f aca="false">IF(OR($B163="",$D163=""),"",$B163&amp;"|"&amp;COUNTIFS($B$5:$B163,$B163,$D$5:$D163,"&lt;&gt;"))</f>
        <v/>
      </c>
      <c r="H163" s="41" t="str">
        <f aca="false">IF(OR($B163="",$C163="",$D163=""),"",$B163&amp;"|"&amp;$C163)</f>
        <v/>
      </c>
      <c r="I163" s="13"/>
      <c r="J163" s="13"/>
    </row>
    <row r="164" customFormat="false" ht="19.5" hidden="false" customHeight="true" outlineLevel="0" collapsed="false">
      <c r="A164" s="37" t="n">
        <v>160</v>
      </c>
      <c r="B164" s="19"/>
      <c r="C164" s="19"/>
      <c r="D164" s="38"/>
      <c r="E164" s="30"/>
      <c r="F164" s="39"/>
      <c r="G164" s="40" t="str">
        <f aca="false">IF(OR($B164="",$D164=""),"",$B164&amp;"|"&amp;COUNTIFS($B$5:$B164,$B164,$D$5:$D164,"&lt;&gt;"))</f>
        <v/>
      </c>
      <c r="H164" s="41" t="str">
        <f aca="false">IF(OR($B164="",$C164="",$D164=""),"",$B164&amp;"|"&amp;$C164)</f>
        <v/>
      </c>
      <c r="I164" s="13"/>
      <c r="J164" s="13"/>
    </row>
  </sheetData>
  <sheetProtection sheet="true" formatColumns="false" formatRows="false" autoFilter="false"/>
  <autoFilter ref="A4:F164"/>
  <mergeCells count="1">
    <mergeCell ref="A1:F1"/>
  </mergeCells>
  <conditionalFormatting sqref="B5:F164">
    <cfRule type="expression" priority="2" aboveAverage="0" equalAverage="0" bottom="0" percent="0" rank="0" text="" dxfId="6">
      <formula>$F5="転出"</formula>
    </cfRule>
    <cfRule type="expression" priority="3" aboveAverage="0" equalAverage="0" bottom="0" percent="0" rank="0" text="" dxfId="7">
      <formula>AND($B5&lt;&gt;"",$B5&lt;&gt;$B6)</formula>
    </cfRule>
  </conditionalFormatting>
  <dataValidations count="2">
    <dataValidation allowBlank="true" error="一覧から選んでください。" errorStyle="stop" errorTitle="入力エラー" operator="between" showDropDown="false" showErrorMessage="true" showInputMessage="false" sqref="B5:B164" type="list">
      <formula1>学級一覧</formula1>
      <formula2>0</formula2>
    </dataValidation>
    <dataValidation allowBlank="true" error="「転出」または「転入」を選んでください。" errorStyle="stop" errorTitle="入力エラー" operator="between" showDropDown="false" showErrorMessage="true" showInputMessage="false" sqref="F5:F164" type="list">
      <formula1>"転出,転入"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V25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pane xSplit="2" ySplit="5" topLeftCell="C6" activePane="bottomRight" state="frozen"/>
      <selection pane="topLeft" activeCell="A1" activeCellId="0" sqref="A1"/>
      <selection pane="topRight" activeCell="C1" activeCellId="0" sqref="C1"/>
      <selection pane="bottomLeft" activeCell="A6" activeCellId="0" sqref="A6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"/>
    <col collapsed="false" customWidth="true" hidden="false" outlineLevel="0" max="2" min="2" style="0" width="22"/>
    <col collapsed="false" customWidth="true" hidden="false" outlineLevel="0" max="3" min="3" style="0" width="8"/>
    <col collapsed="false" customWidth="true" hidden="false" outlineLevel="0" max="4" min="4" style="0" width="13"/>
    <col collapsed="false" customWidth="true" hidden="false" outlineLevel="0" max="5" min="5" style="0" width="9"/>
    <col collapsed="false" customWidth="true" hidden="false" outlineLevel="0" max="6" min="6" style="0" width="7"/>
    <col collapsed="false" customWidth="true" hidden="false" outlineLevel="0" max="7" min="7" style="0" width="9"/>
    <col collapsed="false" customWidth="true" hidden="false" outlineLevel="0" max="8" min="8" style="0" width="16"/>
    <col collapsed="false" customWidth="true" hidden="false" outlineLevel="0" max="9" min="9" style="0" width="6"/>
    <col collapsed="false" customWidth="true" hidden="false" outlineLevel="0" max="10" min="10" style="0" width="7"/>
    <col collapsed="false" customWidth="true" hidden="false" outlineLevel="0" max="11" min="11" style="0" width="16"/>
    <col collapsed="false" customWidth="true" hidden="false" outlineLevel="0" max="12" min="12" style="0" width="6"/>
    <col collapsed="false" customWidth="true" hidden="false" outlineLevel="0" max="13" min="13" style="0" width="7"/>
    <col collapsed="false" customWidth="true" hidden="false" outlineLevel="0" max="14" min="14" style="0" width="16"/>
    <col collapsed="false" customWidth="true" hidden="false" outlineLevel="0" max="15" min="15" style="0" width="6"/>
    <col collapsed="false" customWidth="true" hidden="false" outlineLevel="0" max="16" min="16" style="0" width="7"/>
    <col collapsed="false" customWidth="true" hidden="false" outlineLevel="0" max="17" min="17" style="0" width="16"/>
    <col collapsed="false" customWidth="true" hidden="false" outlineLevel="0" max="18" min="18" style="0" width="6"/>
    <col collapsed="false" customWidth="true" hidden="false" outlineLevel="0" max="19" min="19" style="0" width="7"/>
    <col collapsed="false" customWidth="true" hidden="false" outlineLevel="0" max="20" min="20" style="0" width="16"/>
    <col collapsed="false" customWidth="true" hidden="false" outlineLevel="0" max="21" min="21" style="0" width="6"/>
    <col collapsed="false" customWidth="true" hidden="false" outlineLevel="0" max="22" min="22" style="0" width="7"/>
  </cols>
  <sheetData>
    <row r="1" customFormat="false" ht="33.75" hidden="false" customHeight="true" outlineLevel="0" collapsed="false">
      <c r="A1" s="14" t="str">
        <f aca="false">"入力状況"&amp;IF(設定!$D$4="","","　"&amp;設定!$D$4&amp;"年度")&amp;IF(設定!$D$5="","","　"&amp;設定!$D$5)</f>
        <v>入力状況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</row>
    <row r="2" customFormat="false" ht="15" hidden="false" customHeight="false" outlineLevel="0" collapsed="false">
      <c r="A2" s="15" t="s">
        <v>130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</row>
    <row r="3" customFormat="false" ht="15" hidden="false" customHeight="false" outlineLevel="0" collapsed="false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</row>
    <row r="4" customFormat="false" ht="21.75" hidden="false" customHeight="true" outlineLevel="0" collapsed="false">
      <c r="A4" s="46" t="s">
        <v>98</v>
      </c>
      <c r="B4" s="47" t="s">
        <v>99</v>
      </c>
      <c r="C4" s="47" t="s">
        <v>72</v>
      </c>
      <c r="D4" s="47" t="s">
        <v>131</v>
      </c>
      <c r="E4" s="47" t="s">
        <v>132</v>
      </c>
      <c r="F4" s="47" t="s">
        <v>133</v>
      </c>
      <c r="G4" s="47" t="s">
        <v>134</v>
      </c>
      <c r="H4" s="48" t="s">
        <v>135</v>
      </c>
      <c r="I4" s="48"/>
      <c r="J4" s="48"/>
      <c r="K4" s="49" t="s">
        <v>136</v>
      </c>
      <c r="L4" s="49"/>
      <c r="M4" s="49"/>
      <c r="N4" s="50" t="s">
        <v>137</v>
      </c>
      <c r="O4" s="50"/>
      <c r="P4" s="50"/>
      <c r="Q4" s="51" t="s">
        <v>138</v>
      </c>
      <c r="R4" s="51"/>
      <c r="S4" s="51"/>
      <c r="T4" s="52" t="s">
        <v>139</v>
      </c>
      <c r="U4" s="52"/>
      <c r="V4" s="52"/>
    </row>
    <row r="5" customFormat="false" ht="21.75" hidden="false" customHeight="true" outlineLevel="0" collapsed="false">
      <c r="A5" s="46"/>
      <c r="B5" s="46"/>
      <c r="C5" s="46"/>
      <c r="D5" s="46"/>
      <c r="E5" s="46"/>
      <c r="F5" s="46"/>
      <c r="G5" s="46"/>
      <c r="H5" s="53" t="s">
        <v>140</v>
      </c>
      <c r="I5" s="53" t="s">
        <v>128</v>
      </c>
      <c r="J5" s="53" t="s">
        <v>141</v>
      </c>
      <c r="K5" s="54" t="s">
        <v>140</v>
      </c>
      <c r="L5" s="54" t="s">
        <v>128</v>
      </c>
      <c r="M5" s="54" t="s">
        <v>141</v>
      </c>
      <c r="N5" s="55" t="s">
        <v>140</v>
      </c>
      <c r="O5" s="55" t="s">
        <v>128</v>
      </c>
      <c r="P5" s="55" t="s">
        <v>141</v>
      </c>
      <c r="Q5" s="56" t="s">
        <v>140</v>
      </c>
      <c r="R5" s="56" t="s">
        <v>128</v>
      </c>
      <c r="S5" s="56" t="s">
        <v>141</v>
      </c>
      <c r="T5" s="57" t="s">
        <v>140</v>
      </c>
      <c r="U5" s="57" t="s">
        <v>128</v>
      </c>
      <c r="V5" s="57" t="s">
        <v>141</v>
      </c>
    </row>
    <row r="6" customFormat="false" ht="24" hidden="false" customHeight="true" outlineLevel="0" collapsed="false">
      <c r="A6" s="58" t="n">
        <v>1</v>
      </c>
      <c r="B6" s="59" t="str">
        <f aca="false">IF(設定!$D$17&lt;&gt;"",設定!$D$17,"")</f>
        <v/>
      </c>
      <c r="C6" s="60" t="str">
        <f aca="false">IF(OR(NOT(設定!$D$17&lt;&gt;""),設定!$C$17=""),"",設定!$C$17&amp;IF(ISNUMBER(設定!$C$17),"学期",""))</f>
        <v/>
      </c>
      <c r="D6" s="60" t="str">
        <f aca="false">IF(設定!$D$17&lt;&gt;"",単元01!$C$2,"")</f>
        <v/>
      </c>
      <c r="E6" s="61" t="str">
        <f aca="false">IF(NOT(設定!$D$17&lt;&gt;""),"",IF(COUNTIF(単元01!$E$5:$E$164,"?*")=0,"未着手",IF(AND(F6=0,G6=0),"完了",IF(G6=COUNTIF(単元01!$E$5:$E$164,"?*"),"評価前","入力中"))))</f>
        <v/>
      </c>
      <c r="F6" s="62" t="str">
        <f aca="false">IF(設定!$D$17&lt;&gt;"",単元01!$N$7,"")</f>
        <v/>
      </c>
      <c r="G6" s="62" t="str">
        <f aca="false">IF(設定!$D$17&lt;&gt;"",単元01!$N$8,"")</f>
        <v/>
      </c>
      <c r="H6" s="63" t="str">
        <f aca="false">IF(OR(NOT(設定!$D$17&lt;&gt;""),単元01!$L$2=""),"",単元01!$L$2&amp;IF(単元01!$M$2="","","（"&amp;単元01!$M$2&amp;"）"))</f>
        <v/>
      </c>
      <c r="I6" s="60" t="str">
        <f aca="false">IF(H6="","",単元01!$N$2)</f>
        <v/>
      </c>
      <c r="J6" s="62" t="str">
        <f aca="false">IF(H6="","",SUMPRODUCT((単元01!$E$5:$E$164=単元01!$L$2)*(((単元01!$F$5:$F$164="")+(単元01!$G$5:$G$164="")+(単元01!$H$5:$H$164=""))&gt;0)))</f>
        <v/>
      </c>
      <c r="K6" s="64" t="str">
        <f aca="false">IF(OR(NOT(設定!$D$17&lt;&gt;""),単元01!$L$3=""),"",単元01!$L$3&amp;IF(単元01!$M$3="","","（"&amp;単元01!$M$3&amp;"）"))</f>
        <v/>
      </c>
      <c r="L6" s="60" t="str">
        <f aca="false">IF(K6="","",単元01!$N$3)</f>
        <v/>
      </c>
      <c r="M6" s="62" t="str">
        <f aca="false">IF(K6="","",SUMPRODUCT((単元01!$E$5:$E$164=単元01!$L$3)*(((単元01!$F$5:$F$164="")+(単元01!$G$5:$G$164="")+(単元01!$H$5:$H$164=""))&gt;0)))</f>
        <v/>
      </c>
      <c r="N6" s="65" t="str">
        <f aca="false">IF(OR(NOT(設定!$D$17&lt;&gt;""),単元01!$L$4=""),"",単元01!$L$4&amp;IF(単元01!$M$4="","","（"&amp;単元01!$M$4&amp;"）"))</f>
        <v/>
      </c>
      <c r="O6" s="60" t="str">
        <f aca="false">IF(N6="","",単元01!$N$4)</f>
        <v/>
      </c>
      <c r="P6" s="62" t="str">
        <f aca="false">IF(N6="","",SUMPRODUCT((単元01!$E$5:$E$164=単元01!$L$4)*(((単元01!$F$5:$F$164="")+(単元01!$G$5:$G$164="")+(単元01!$H$5:$H$164=""))&gt;0)))</f>
        <v/>
      </c>
      <c r="Q6" s="66" t="str">
        <f aca="false">IF(OR(NOT(設定!$D$17&lt;&gt;""),単元01!$L$5=""),"",単元01!$L$5&amp;IF(単元01!$M$5="","","（"&amp;単元01!$M$5&amp;"）"))</f>
        <v/>
      </c>
      <c r="R6" s="60" t="str">
        <f aca="false">IF(Q6="","",単元01!$N$5)</f>
        <v/>
      </c>
      <c r="S6" s="62" t="str">
        <f aca="false">IF(Q6="","",SUMPRODUCT((単元01!$E$5:$E$164=単元01!$L$5)*(((単元01!$F$5:$F$164="")+(単元01!$G$5:$G$164="")+(単元01!$H$5:$H$164=""))&gt;0)))</f>
        <v/>
      </c>
      <c r="T6" s="67" t="str">
        <f aca="false">IF(OR(NOT(設定!$D$17&lt;&gt;""),単元01!$L$6=""),"",単元01!$L$6&amp;IF(単元01!$M$6="","","（"&amp;単元01!$M$6&amp;"）"))</f>
        <v/>
      </c>
      <c r="U6" s="60" t="str">
        <f aca="false">IF(T6="","",単元01!$N$6)</f>
        <v/>
      </c>
      <c r="V6" s="62" t="str">
        <f aca="false">IF(T6="","",SUMPRODUCT((単元01!$E$5:$E$164=単元01!$L$6)*(((単元01!$F$5:$F$164="")+(単元01!$G$5:$G$164="")+(単元01!$H$5:$H$164=""))&gt;0)))</f>
        <v/>
      </c>
    </row>
    <row r="7" customFormat="false" ht="24" hidden="false" customHeight="true" outlineLevel="0" collapsed="false">
      <c r="A7" s="58" t="n">
        <v>2</v>
      </c>
      <c r="B7" s="59" t="str">
        <f aca="false">IF(設定!$D$18&lt;&gt;"",設定!$D$18,"")</f>
        <v/>
      </c>
      <c r="C7" s="60" t="str">
        <f aca="false">IF(OR(NOT(設定!$D$18&lt;&gt;""),設定!$C$18=""),"",設定!$C$18&amp;IF(ISNUMBER(設定!$C$18),"学期",""))</f>
        <v/>
      </c>
      <c r="D7" s="60" t="str">
        <f aca="false">IF(設定!$D$18&lt;&gt;"",単元02!$C$2,"")</f>
        <v/>
      </c>
      <c r="E7" s="61" t="str">
        <f aca="false">IF(NOT(設定!$D$18&lt;&gt;""),"",IF(COUNTIF(単元02!$E$5:$E$164,"?*")=0,"未着手",IF(AND(F7=0,G7=0),"完了",IF(G7=COUNTIF(単元02!$E$5:$E$164,"?*"),"評価前","入力中"))))</f>
        <v/>
      </c>
      <c r="F7" s="62" t="str">
        <f aca="false">IF(設定!$D$18&lt;&gt;"",単元02!$N$7,"")</f>
        <v/>
      </c>
      <c r="G7" s="62" t="str">
        <f aca="false">IF(設定!$D$18&lt;&gt;"",単元02!$N$8,"")</f>
        <v/>
      </c>
      <c r="H7" s="63" t="str">
        <f aca="false">IF(OR(NOT(設定!$D$18&lt;&gt;""),単元02!$L$2=""),"",単元02!$L$2&amp;IF(単元02!$M$2="","","（"&amp;単元02!$M$2&amp;"）"))</f>
        <v/>
      </c>
      <c r="I7" s="60" t="str">
        <f aca="false">IF(H7="","",単元02!$N$2)</f>
        <v/>
      </c>
      <c r="J7" s="62" t="str">
        <f aca="false">IF(H7="","",SUMPRODUCT((単元02!$E$5:$E$164=単元02!$L$2)*(((単元02!$F$5:$F$164="")+(単元02!$G$5:$G$164="")+(単元02!$H$5:$H$164=""))&gt;0)))</f>
        <v/>
      </c>
      <c r="K7" s="64" t="str">
        <f aca="false">IF(OR(NOT(設定!$D$18&lt;&gt;""),単元02!$L$3=""),"",単元02!$L$3&amp;IF(単元02!$M$3="","","（"&amp;単元02!$M$3&amp;"）"))</f>
        <v/>
      </c>
      <c r="L7" s="60" t="str">
        <f aca="false">IF(K7="","",単元02!$N$3)</f>
        <v/>
      </c>
      <c r="M7" s="62" t="str">
        <f aca="false">IF(K7="","",SUMPRODUCT((単元02!$E$5:$E$164=単元02!$L$3)*(((単元02!$F$5:$F$164="")+(単元02!$G$5:$G$164="")+(単元02!$H$5:$H$164=""))&gt;0)))</f>
        <v/>
      </c>
      <c r="N7" s="65" t="str">
        <f aca="false">IF(OR(NOT(設定!$D$18&lt;&gt;""),単元02!$L$4=""),"",単元02!$L$4&amp;IF(単元02!$M$4="","","（"&amp;単元02!$M$4&amp;"）"))</f>
        <v/>
      </c>
      <c r="O7" s="60" t="str">
        <f aca="false">IF(N7="","",単元02!$N$4)</f>
        <v/>
      </c>
      <c r="P7" s="62" t="str">
        <f aca="false">IF(N7="","",SUMPRODUCT((単元02!$E$5:$E$164=単元02!$L$4)*(((単元02!$F$5:$F$164="")+(単元02!$G$5:$G$164="")+(単元02!$H$5:$H$164=""))&gt;0)))</f>
        <v/>
      </c>
      <c r="Q7" s="66" t="str">
        <f aca="false">IF(OR(NOT(設定!$D$18&lt;&gt;""),単元02!$L$5=""),"",単元02!$L$5&amp;IF(単元02!$M$5="","","（"&amp;単元02!$M$5&amp;"）"))</f>
        <v/>
      </c>
      <c r="R7" s="60" t="str">
        <f aca="false">IF(Q7="","",単元02!$N$5)</f>
        <v/>
      </c>
      <c r="S7" s="62" t="str">
        <f aca="false">IF(Q7="","",SUMPRODUCT((単元02!$E$5:$E$164=単元02!$L$5)*(((単元02!$F$5:$F$164="")+(単元02!$G$5:$G$164="")+(単元02!$H$5:$H$164=""))&gt;0)))</f>
        <v/>
      </c>
      <c r="T7" s="67" t="str">
        <f aca="false">IF(OR(NOT(設定!$D$18&lt;&gt;""),単元02!$L$6=""),"",単元02!$L$6&amp;IF(単元02!$M$6="","","（"&amp;単元02!$M$6&amp;"）"))</f>
        <v/>
      </c>
      <c r="U7" s="60" t="str">
        <f aca="false">IF(T7="","",単元02!$N$6)</f>
        <v/>
      </c>
      <c r="V7" s="62" t="str">
        <f aca="false">IF(T7="","",SUMPRODUCT((単元02!$E$5:$E$164=単元02!$L$6)*(((単元02!$F$5:$F$164="")+(単元02!$G$5:$G$164="")+(単元02!$H$5:$H$164=""))&gt;0)))</f>
        <v/>
      </c>
    </row>
    <row r="8" customFormat="false" ht="24" hidden="false" customHeight="true" outlineLevel="0" collapsed="false">
      <c r="A8" s="58" t="n">
        <v>3</v>
      </c>
      <c r="B8" s="59" t="str">
        <f aca="false">IF(設定!$D$19&lt;&gt;"",設定!$D$19,"")</f>
        <v/>
      </c>
      <c r="C8" s="60" t="str">
        <f aca="false">IF(OR(NOT(設定!$D$19&lt;&gt;""),設定!$C$19=""),"",設定!$C$19&amp;IF(ISNUMBER(設定!$C$19),"学期",""))</f>
        <v/>
      </c>
      <c r="D8" s="60" t="str">
        <f aca="false">IF(設定!$D$19&lt;&gt;"",単元03!$C$2,"")</f>
        <v/>
      </c>
      <c r="E8" s="61" t="str">
        <f aca="false">IF(NOT(設定!$D$19&lt;&gt;""),"",IF(COUNTIF(単元03!$E$5:$E$164,"?*")=0,"未着手",IF(AND(F8=0,G8=0),"完了",IF(G8=COUNTIF(単元03!$E$5:$E$164,"?*"),"評価前","入力中"))))</f>
        <v/>
      </c>
      <c r="F8" s="62" t="str">
        <f aca="false">IF(設定!$D$19&lt;&gt;"",単元03!$N$7,"")</f>
        <v/>
      </c>
      <c r="G8" s="62" t="str">
        <f aca="false">IF(設定!$D$19&lt;&gt;"",単元03!$N$8,"")</f>
        <v/>
      </c>
      <c r="H8" s="63" t="str">
        <f aca="false">IF(OR(NOT(設定!$D$19&lt;&gt;""),単元03!$L$2=""),"",単元03!$L$2&amp;IF(単元03!$M$2="","","（"&amp;単元03!$M$2&amp;"）"))</f>
        <v/>
      </c>
      <c r="I8" s="60" t="str">
        <f aca="false">IF(H8="","",単元03!$N$2)</f>
        <v/>
      </c>
      <c r="J8" s="62" t="str">
        <f aca="false">IF(H8="","",SUMPRODUCT((単元03!$E$5:$E$164=単元03!$L$2)*(((単元03!$F$5:$F$164="")+(単元03!$G$5:$G$164="")+(単元03!$H$5:$H$164=""))&gt;0)))</f>
        <v/>
      </c>
      <c r="K8" s="64" t="str">
        <f aca="false">IF(OR(NOT(設定!$D$19&lt;&gt;""),単元03!$L$3=""),"",単元03!$L$3&amp;IF(単元03!$M$3="","","（"&amp;単元03!$M$3&amp;"）"))</f>
        <v/>
      </c>
      <c r="L8" s="60" t="str">
        <f aca="false">IF(K8="","",単元03!$N$3)</f>
        <v/>
      </c>
      <c r="M8" s="62" t="str">
        <f aca="false">IF(K8="","",SUMPRODUCT((単元03!$E$5:$E$164=単元03!$L$3)*(((単元03!$F$5:$F$164="")+(単元03!$G$5:$G$164="")+(単元03!$H$5:$H$164=""))&gt;0)))</f>
        <v/>
      </c>
      <c r="N8" s="65" t="str">
        <f aca="false">IF(OR(NOT(設定!$D$19&lt;&gt;""),単元03!$L$4=""),"",単元03!$L$4&amp;IF(単元03!$M$4="","","（"&amp;単元03!$M$4&amp;"）"))</f>
        <v/>
      </c>
      <c r="O8" s="60" t="str">
        <f aca="false">IF(N8="","",単元03!$N$4)</f>
        <v/>
      </c>
      <c r="P8" s="62" t="str">
        <f aca="false">IF(N8="","",SUMPRODUCT((単元03!$E$5:$E$164=単元03!$L$4)*(((単元03!$F$5:$F$164="")+(単元03!$G$5:$G$164="")+(単元03!$H$5:$H$164=""))&gt;0)))</f>
        <v/>
      </c>
      <c r="Q8" s="66" t="str">
        <f aca="false">IF(OR(NOT(設定!$D$19&lt;&gt;""),単元03!$L$5=""),"",単元03!$L$5&amp;IF(単元03!$M$5="","","（"&amp;単元03!$M$5&amp;"）"))</f>
        <v/>
      </c>
      <c r="R8" s="60" t="str">
        <f aca="false">IF(Q8="","",単元03!$N$5)</f>
        <v/>
      </c>
      <c r="S8" s="62" t="str">
        <f aca="false">IF(Q8="","",SUMPRODUCT((単元03!$E$5:$E$164=単元03!$L$5)*(((単元03!$F$5:$F$164="")+(単元03!$G$5:$G$164="")+(単元03!$H$5:$H$164=""))&gt;0)))</f>
        <v/>
      </c>
      <c r="T8" s="67" t="str">
        <f aca="false">IF(OR(NOT(設定!$D$19&lt;&gt;""),単元03!$L$6=""),"",単元03!$L$6&amp;IF(単元03!$M$6="","","（"&amp;単元03!$M$6&amp;"）"))</f>
        <v/>
      </c>
      <c r="U8" s="60" t="str">
        <f aca="false">IF(T8="","",単元03!$N$6)</f>
        <v/>
      </c>
      <c r="V8" s="62" t="str">
        <f aca="false">IF(T8="","",SUMPRODUCT((単元03!$E$5:$E$164=単元03!$L$6)*(((単元03!$F$5:$F$164="")+(単元03!$G$5:$G$164="")+(単元03!$H$5:$H$164=""))&gt;0)))</f>
        <v/>
      </c>
    </row>
    <row r="9" customFormat="false" ht="24" hidden="false" customHeight="true" outlineLevel="0" collapsed="false">
      <c r="A9" s="58" t="n">
        <v>4</v>
      </c>
      <c r="B9" s="59" t="str">
        <f aca="false">IF(設定!$D$20&lt;&gt;"",設定!$D$20,"")</f>
        <v/>
      </c>
      <c r="C9" s="60" t="str">
        <f aca="false">IF(OR(NOT(設定!$D$20&lt;&gt;""),設定!$C$20=""),"",設定!$C$20&amp;IF(ISNUMBER(設定!$C$20),"学期",""))</f>
        <v/>
      </c>
      <c r="D9" s="60" t="str">
        <f aca="false">IF(設定!$D$20&lt;&gt;"",単元04!$C$2,"")</f>
        <v/>
      </c>
      <c r="E9" s="61" t="str">
        <f aca="false">IF(NOT(設定!$D$20&lt;&gt;""),"",IF(COUNTIF(単元04!$E$5:$E$164,"?*")=0,"未着手",IF(AND(F9=0,G9=0),"完了",IF(G9=COUNTIF(単元04!$E$5:$E$164,"?*"),"評価前","入力中"))))</f>
        <v/>
      </c>
      <c r="F9" s="62" t="str">
        <f aca="false">IF(設定!$D$20&lt;&gt;"",単元04!$N$7,"")</f>
        <v/>
      </c>
      <c r="G9" s="62" t="str">
        <f aca="false">IF(設定!$D$20&lt;&gt;"",単元04!$N$8,"")</f>
        <v/>
      </c>
      <c r="H9" s="63" t="str">
        <f aca="false">IF(OR(NOT(設定!$D$20&lt;&gt;""),単元04!$L$2=""),"",単元04!$L$2&amp;IF(単元04!$M$2="","","（"&amp;単元04!$M$2&amp;"）"))</f>
        <v/>
      </c>
      <c r="I9" s="60" t="str">
        <f aca="false">IF(H9="","",単元04!$N$2)</f>
        <v/>
      </c>
      <c r="J9" s="62" t="str">
        <f aca="false">IF(H9="","",SUMPRODUCT((単元04!$E$5:$E$164=単元04!$L$2)*(((単元04!$F$5:$F$164="")+(単元04!$G$5:$G$164="")+(単元04!$H$5:$H$164=""))&gt;0)))</f>
        <v/>
      </c>
      <c r="K9" s="64" t="str">
        <f aca="false">IF(OR(NOT(設定!$D$20&lt;&gt;""),単元04!$L$3=""),"",単元04!$L$3&amp;IF(単元04!$M$3="","","（"&amp;単元04!$M$3&amp;"）"))</f>
        <v/>
      </c>
      <c r="L9" s="60" t="str">
        <f aca="false">IF(K9="","",単元04!$N$3)</f>
        <v/>
      </c>
      <c r="M9" s="62" t="str">
        <f aca="false">IF(K9="","",SUMPRODUCT((単元04!$E$5:$E$164=単元04!$L$3)*(((単元04!$F$5:$F$164="")+(単元04!$G$5:$G$164="")+(単元04!$H$5:$H$164=""))&gt;0)))</f>
        <v/>
      </c>
      <c r="N9" s="65" t="str">
        <f aca="false">IF(OR(NOT(設定!$D$20&lt;&gt;""),単元04!$L$4=""),"",単元04!$L$4&amp;IF(単元04!$M$4="","","（"&amp;単元04!$M$4&amp;"）"))</f>
        <v/>
      </c>
      <c r="O9" s="60" t="str">
        <f aca="false">IF(N9="","",単元04!$N$4)</f>
        <v/>
      </c>
      <c r="P9" s="62" t="str">
        <f aca="false">IF(N9="","",SUMPRODUCT((単元04!$E$5:$E$164=単元04!$L$4)*(((単元04!$F$5:$F$164="")+(単元04!$G$5:$G$164="")+(単元04!$H$5:$H$164=""))&gt;0)))</f>
        <v/>
      </c>
      <c r="Q9" s="66" t="str">
        <f aca="false">IF(OR(NOT(設定!$D$20&lt;&gt;""),単元04!$L$5=""),"",単元04!$L$5&amp;IF(単元04!$M$5="","","（"&amp;単元04!$M$5&amp;"）"))</f>
        <v/>
      </c>
      <c r="R9" s="60" t="str">
        <f aca="false">IF(Q9="","",単元04!$N$5)</f>
        <v/>
      </c>
      <c r="S9" s="62" t="str">
        <f aca="false">IF(Q9="","",SUMPRODUCT((単元04!$E$5:$E$164=単元04!$L$5)*(((単元04!$F$5:$F$164="")+(単元04!$G$5:$G$164="")+(単元04!$H$5:$H$164=""))&gt;0)))</f>
        <v/>
      </c>
      <c r="T9" s="67" t="str">
        <f aca="false">IF(OR(NOT(設定!$D$20&lt;&gt;""),単元04!$L$6=""),"",単元04!$L$6&amp;IF(単元04!$M$6="","","（"&amp;単元04!$M$6&amp;"）"))</f>
        <v/>
      </c>
      <c r="U9" s="60" t="str">
        <f aca="false">IF(T9="","",単元04!$N$6)</f>
        <v/>
      </c>
      <c r="V9" s="62" t="str">
        <f aca="false">IF(T9="","",SUMPRODUCT((単元04!$E$5:$E$164=単元04!$L$6)*(((単元04!$F$5:$F$164="")+(単元04!$G$5:$G$164="")+(単元04!$H$5:$H$164=""))&gt;0)))</f>
        <v/>
      </c>
    </row>
    <row r="10" customFormat="false" ht="24" hidden="false" customHeight="true" outlineLevel="0" collapsed="false">
      <c r="A10" s="58" t="n">
        <v>5</v>
      </c>
      <c r="B10" s="59" t="str">
        <f aca="false">IF(設定!$D$21&lt;&gt;"",設定!$D$21,"")</f>
        <v/>
      </c>
      <c r="C10" s="60" t="str">
        <f aca="false">IF(OR(NOT(設定!$D$21&lt;&gt;""),設定!$C$21=""),"",設定!$C$21&amp;IF(ISNUMBER(設定!$C$21),"学期",""))</f>
        <v/>
      </c>
      <c r="D10" s="60" t="str">
        <f aca="false">IF(設定!$D$21&lt;&gt;"",単元05!$C$2,"")</f>
        <v/>
      </c>
      <c r="E10" s="61" t="str">
        <f aca="false">IF(NOT(設定!$D$21&lt;&gt;""),"",IF(COUNTIF(単元05!$E$5:$E$164,"?*")=0,"未着手",IF(AND(F10=0,G10=0),"完了",IF(G10=COUNTIF(単元05!$E$5:$E$164,"?*"),"評価前","入力中"))))</f>
        <v/>
      </c>
      <c r="F10" s="62" t="str">
        <f aca="false">IF(設定!$D$21&lt;&gt;"",単元05!$N$7,"")</f>
        <v/>
      </c>
      <c r="G10" s="62" t="str">
        <f aca="false">IF(設定!$D$21&lt;&gt;"",単元05!$N$8,"")</f>
        <v/>
      </c>
      <c r="H10" s="63" t="str">
        <f aca="false">IF(OR(NOT(設定!$D$21&lt;&gt;""),単元05!$L$2=""),"",単元05!$L$2&amp;IF(単元05!$M$2="","","（"&amp;単元05!$M$2&amp;"）"))</f>
        <v/>
      </c>
      <c r="I10" s="60" t="str">
        <f aca="false">IF(H10="","",単元05!$N$2)</f>
        <v/>
      </c>
      <c r="J10" s="62" t="str">
        <f aca="false">IF(H10="","",SUMPRODUCT((単元05!$E$5:$E$164=単元05!$L$2)*(((単元05!$F$5:$F$164="")+(単元05!$G$5:$G$164="")+(単元05!$H$5:$H$164=""))&gt;0)))</f>
        <v/>
      </c>
      <c r="K10" s="64" t="str">
        <f aca="false">IF(OR(NOT(設定!$D$21&lt;&gt;""),単元05!$L$3=""),"",単元05!$L$3&amp;IF(単元05!$M$3="","","（"&amp;単元05!$M$3&amp;"）"))</f>
        <v/>
      </c>
      <c r="L10" s="60" t="str">
        <f aca="false">IF(K10="","",単元05!$N$3)</f>
        <v/>
      </c>
      <c r="M10" s="62" t="str">
        <f aca="false">IF(K10="","",SUMPRODUCT((単元05!$E$5:$E$164=単元05!$L$3)*(((単元05!$F$5:$F$164="")+(単元05!$G$5:$G$164="")+(単元05!$H$5:$H$164=""))&gt;0)))</f>
        <v/>
      </c>
      <c r="N10" s="65" t="str">
        <f aca="false">IF(OR(NOT(設定!$D$21&lt;&gt;""),単元05!$L$4=""),"",単元05!$L$4&amp;IF(単元05!$M$4="","","（"&amp;単元05!$M$4&amp;"）"))</f>
        <v/>
      </c>
      <c r="O10" s="60" t="str">
        <f aca="false">IF(N10="","",単元05!$N$4)</f>
        <v/>
      </c>
      <c r="P10" s="62" t="str">
        <f aca="false">IF(N10="","",SUMPRODUCT((単元05!$E$5:$E$164=単元05!$L$4)*(((単元05!$F$5:$F$164="")+(単元05!$G$5:$G$164="")+(単元05!$H$5:$H$164=""))&gt;0)))</f>
        <v/>
      </c>
      <c r="Q10" s="66" t="str">
        <f aca="false">IF(OR(NOT(設定!$D$21&lt;&gt;""),単元05!$L$5=""),"",単元05!$L$5&amp;IF(単元05!$M$5="","","（"&amp;単元05!$M$5&amp;"）"))</f>
        <v/>
      </c>
      <c r="R10" s="60" t="str">
        <f aca="false">IF(Q10="","",単元05!$N$5)</f>
        <v/>
      </c>
      <c r="S10" s="62" t="str">
        <f aca="false">IF(Q10="","",SUMPRODUCT((単元05!$E$5:$E$164=単元05!$L$5)*(((単元05!$F$5:$F$164="")+(単元05!$G$5:$G$164="")+(単元05!$H$5:$H$164=""))&gt;0)))</f>
        <v/>
      </c>
      <c r="T10" s="67" t="str">
        <f aca="false">IF(OR(NOT(設定!$D$21&lt;&gt;""),単元05!$L$6=""),"",単元05!$L$6&amp;IF(単元05!$M$6="","","（"&amp;単元05!$M$6&amp;"）"))</f>
        <v/>
      </c>
      <c r="U10" s="60" t="str">
        <f aca="false">IF(T10="","",単元05!$N$6)</f>
        <v/>
      </c>
      <c r="V10" s="62" t="str">
        <f aca="false">IF(T10="","",SUMPRODUCT((単元05!$E$5:$E$164=単元05!$L$6)*(((単元05!$F$5:$F$164="")+(単元05!$G$5:$G$164="")+(単元05!$H$5:$H$164=""))&gt;0)))</f>
        <v/>
      </c>
    </row>
    <row r="11" customFormat="false" ht="24" hidden="false" customHeight="true" outlineLevel="0" collapsed="false">
      <c r="A11" s="58" t="n">
        <v>6</v>
      </c>
      <c r="B11" s="59" t="str">
        <f aca="false">IF(設定!$D$22&lt;&gt;"",設定!$D$22,"")</f>
        <v/>
      </c>
      <c r="C11" s="60" t="str">
        <f aca="false">IF(OR(NOT(設定!$D$22&lt;&gt;""),設定!$C$22=""),"",設定!$C$22&amp;IF(ISNUMBER(設定!$C$22),"学期",""))</f>
        <v/>
      </c>
      <c r="D11" s="60" t="str">
        <f aca="false">IF(設定!$D$22&lt;&gt;"",単元06!$C$2,"")</f>
        <v/>
      </c>
      <c r="E11" s="61" t="str">
        <f aca="false">IF(NOT(設定!$D$22&lt;&gt;""),"",IF(COUNTIF(単元06!$E$5:$E$164,"?*")=0,"未着手",IF(AND(F11=0,G11=0),"完了",IF(G11=COUNTIF(単元06!$E$5:$E$164,"?*"),"評価前","入力中"))))</f>
        <v/>
      </c>
      <c r="F11" s="62" t="str">
        <f aca="false">IF(設定!$D$22&lt;&gt;"",単元06!$N$7,"")</f>
        <v/>
      </c>
      <c r="G11" s="62" t="str">
        <f aca="false">IF(設定!$D$22&lt;&gt;"",単元06!$N$8,"")</f>
        <v/>
      </c>
      <c r="H11" s="63" t="str">
        <f aca="false">IF(OR(NOT(設定!$D$22&lt;&gt;""),単元06!$L$2=""),"",単元06!$L$2&amp;IF(単元06!$M$2="","","（"&amp;単元06!$M$2&amp;"）"))</f>
        <v/>
      </c>
      <c r="I11" s="60" t="str">
        <f aca="false">IF(H11="","",単元06!$N$2)</f>
        <v/>
      </c>
      <c r="J11" s="62" t="str">
        <f aca="false">IF(H11="","",SUMPRODUCT((単元06!$E$5:$E$164=単元06!$L$2)*(((単元06!$F$5:$F$164="")+(単元06!$G$5:$G$164="")+(単元06!$H$5:$H$164=""))&gt;0)))</f>
        <v/>
      </c>
      <c r="K11" s="64" t="str">
        <f aca="false">IF(OR(NOT(設定!$D$22&lt;&gt;""),単元06!$L$3=""),"",単元06!$L$3&amp;IF(単元06!$M$3="","","（"&amp;単元06!$M$3&amp;"）"))</f>
        <v/>
      </c>
      <c r="L11" s="60" t="str">
        <f aca="false">IF(K11="","",単元06!$N$3)</f>
        <v/>
      </c>
      <c r="M11" s="62" t="str">
        <f aca="false">IF(K11="","",SUMPRODUCT((単元06!$E$5:$E$164=単元06!$L$3)*(((単元06!$F$5:$F$164="")+(単元06!$G$5:$G$164="")+(単元06!$H$5:$H$164=""))&gt;0)))</f>
        <v/>
      </c>
      <c r="N11" s="65" t="str">
        <f aca="false">IF(OR(NOT(設定!$D$22&lt;&gt;""),単元06!$L$4=""),"",単元06!$L$4&amp;IF(単元06!$M$4="","","（"&amp;単元06!$M$4&amp;"）"))</f>
        <v/>
      </c>
      <c r="O11" s="60" t="str">
        <f aca="false">IF(N11="","",単元06!$N$4)</f>
        <v/>
      </c>
      <c r="P11" s="62" t="str">
        <f aca="false">IF(N11="","",SUMPRODUCT((単元06!$E$5:$E$164=単元06!$L$4)*(((単元06!$F$5:$F$164="")+(単元06!$G$5:$G$164="")+(単元06!$H$5:$H$164=""))&gt;0)))</f>
        <v/>
      </c>
      <c r="Q11" s="66" t="str">
        <f aca="false">IF(OR(NOT(設定!$D$22&lt;&gt;""),単元06!$L$5=""),"",単元06!$L$5&amp;IF(単元06!$M$5="","","（"&amp;単元06!$M$5&amp;"）"))</f>
        <v/>
      </c>
      <c r="R11" s="60" t="str">
        <f aca="false">IF(Q11="","",単元06!$N$5)</f>
        <v/>
      </c>
      <c r="S11" s="62" t="str">
        <f aca="false">IF(Q11="","",SUMPRODUCT((単元06!$E$5:$E$164=単元06!$L$5)*(((単元06!$F$5:$F$164="")+(単元06!$G$5:$G$164="")+(単元06!$H$5:$H$164=""))&gt;0)))</f>
        <v/>
      </c>
      <c r="T11" s="67" t="str">
        <f aca="false">IF(OR(NOT(設定!$D$22&lt;&gt;""),単元06!$L$6=""),"",単元06!$L$6&amp;IF(単元06!$M$6="","","（"&amp;単元06!$M$6&amp;"）"))</f>
        <v/>
      </c>
      <c r="U11" s="60" t="str">
        <f aca="false">IF(T11="","",単元06!$N$6)</f>
        <v/>
      </c>
      <c r="V11" s="62" t="str">
        <f aca="false">IF(T11="","",SUMPRODUCT((単元06!$E$5:$E$164=単元06!$L$6)*(((単元06!$F$5:$F$164="")+(単元06!$G$5:$G$164="")+(単元06!$H$5:$H$164=""))&gt;0)))</f>
        <v/>
      </c>
    </row>
    <row r="12" customFormat="false" ht="24" hidden="false" customHeight="true" outlineLevel="0" collapsed="false">
      <c r="A12" s="58" t="n">
        <v>7</v>
      </c>
      <c r="B12" s="59" t="str">
        <f aca="false">IF(設定!$D$23&lt;&gt;"",設定!$D$23,"")</f>
        <v/>
      </c>
      <c r="C12" s="60" t="str">
        <f aca="false">IF(OR(NOT(設定!$D$23&lt;&gt;""),設定!$C$23=""),"",設定!$C$23&amp;IF(ISNUMBER(設定!$C$23),"学期",""))</f>
        <v/>
      </c>
      <c r="D12" s="60" t="str">
        <f aca="false">IF(設定!$D$23&lt;&gt;"",単元07!$C$2,"")</f>
        <v/>
      </c>
      <c r="E12" s="61" t="str">
        <f aca="false">IF(NOT(設定!$D$23&lt;&gt;""),"",IF(COUNTIF(単元07!$E$5:$E$164,"?*")=0,"未着手",IF(AND(F12=0,G12=0),"完了",IF(G12=COUNTIF(単元07!$E$5:$E$164,"?*"),"評価前","入力中"))))</f>
        <v/>
      </c>
      <c r="F12" s="62" t="str">
        <f aca="false">IF(設定!$D$23&lt;&gt;"",単元07!$N$7,"")</f>
        <v/>
      </c>
      <c r="G12" s="62" t="str">
        <f aca="false">IF(設定!$D$23&lt;&gt;"",単元07!$N$8,"")</f>
        <v/>
      </c>
      <c r="H12" s="63" t="str">
        <f aca="false">IF(OR(NOT(設定!$D$23&lt;&gt;""),単元07!$L$2=""),"",単元07!$L$2&amp;IF(単元07!$M$2="","","（"&amp;単元07!$M$2&amp;"）"))</f>
        <v/>
      </c>
      <c r="I12" s="60" t="str">
        <f aca="false">IF(H12="","",単元07!$N$2)</f>
        <v/>
      </c>
      <c r="J12" s="62" t="str">
        <f aca="false">IF(H12="","",SUMPRODUCT((単元07!$E$5:$E$164=単元07!$L$2)*(((単元07!$F$5:$F$164="")+(単元07!$G$5:$G$164="")+(単元07!$H$5:$H$164=""))&gt;0)))</f>
        <v/>
      </c>
      <c r="K12" s="64" t="str">
        <f aca="false">IF(OR(NOT(設定!$D$23&lt;&gt;""),単元07!$L$3=""),"",単元07!$L$3&amp;IF(単元07!$M$3="","","（"&amp;単元07!$M$3&amp;"）"))</f>
        <v/>
      </c>
      <c r="L12" s="60" t="str">
        <f aca="false">IF(K12="","",単元07!$N$3)</f>
        <v/>
      </c>
      <c r="M12" s="62" t="str">
        <f aca="false">IF(K12="","",SUMPRODUCT((単元07!$E$5:$E$164=単元07!$L$3)*(((単元07!$F$5:$F$164="")+(単元07!$G$5:$G$164="")+(単元07!$H$5:$H$164=""))&gt;0)))</f>
        <v/>
      </c>
      <c r="N12" s="65" t="str">
        <f aca="false">IF(OR(NOT(設定!$D$23&lt;&gt;""),単元07!$L$4=""),"",単元07!$L$4&amp;IF(単元07!$M$4="","","（"&amp;単元07!$M$4&amp;"）"))</f>
        <v/>
      </c>
      <c r="O12" s="60" t="str">
        <f aca="false">IF(N12="","",単元07!$N$4)</f>
        <v/>
      </c>
      <c r="P12" s="62" t="str">
        <f aca="false">IF(N12="","",SUMPRODUCT((単元07!$E$5:$E$164=単元07!$L$4)*(((単元07!$F$5:$F$164="")+(単元07!$G$5:$G$164="")+(単元07!$H$5:$H$164=""))&gt;0)))</f>
        <v/>
      </c>
      <c r="Q12" s="66" t="str">
        <f aca="false">IF(OR(NOT(設定!$D$23&lt;&gt;""),単元07!$L$5=""),"",単元07!$L$5&amp;IF(単元07!$M$5="","","（"&amp;単元07!$M$5&amp;"）"))</f>
        <v/>
      </c>
      <c r="R12" s="60" t="str">
        <f aca="false">IF(Q12="","",単元07!$N$5)</f>
        <v/>
      </c>
      <c r="S12" s="62" t="str">
        <f aca="false">IF(Q12="","",SUMPRODUCT((単元07!$E$5:$E$164=単元07!$L$5)*(((単元07!$F$5:$F$164="")+(単元07!$G$5:$G$164="")+(単元07!$H$5:$H$164=""))&gt;0)))</f>
        <v/>
      </c>
      <c r="T12" s="67" t="str">
        <f aca="false">IF(OR(NOT(設定!$D$23&lt;&gt;""),単元07!$L$6=""),"",単元07!$L$6&amp;IF(単元07!$M$6="","","（"&amp;単元07!$M$6&amp;"）"))</f>
        <v/>
      </c>
      <c r="U12" s="60" t="str">
        <f aca="false">IF(T12="","",単元07!$N$6)</f>
        <v/>
      </c>
      <c r="V12" s="62" t="str">
        <f aca="false">IF(T12="","",SUMPRODUCT((単元07!$E$5:$E$164=単元07!$L$6)*(((単元07!$F$5:$F$164="")+(単元07!$G$5:$G$164="")+(単元07!$H$5:$H$164=""))&gt;0)))</f>
        <v/>
      </c>
    </row>
    <row r="13" customFormat="false" ht="24" hidden="false" customHeight="true" outlineLevel="0" collapsed="false">
      <c r="A13" s="58" t="n">
        <v>8</v>
      </c>
      <c r="B13" s="59" t="str">
        <f aca="false">IF(設定!$D$24&lt;&gt;"",設定!$D$24,"")</f>
        <v/>
      </c>
      <c r="C13" s="60" t="str">
        <f aca="false">IF(OR(NOT(設定!$D$24&lt;&gt;""),設定!$C$24=""),"",設定!$C$24&amp;IF(ISNUMBER(設定!$C$24),"学期",""))</f>
        <v/>
      </c>
      <c r="D13" s="60" t="str">
        <f aca="false">IF(設定!$D$24&lt;&gt;"",単元08!$C$2,"")</f>
        <v/>
      </c>
      <c r="E13" s="61" t="str">
        <f aca="false">IF(NOT(設定!$D$24&lt;&gt;""),"",IF(COUNTIF(単元08!$E$5:$E$164,"?*")=0,"未着手",IF(AND(F13=0,G13=0),"完了",IF(G13=COUNTIF(単元08!$E$5:$E$164,"?*"),"評価前","入力中"))))</f>
        <v/>
      </c>
      <c r="F13" s="62" t="str">
        <f aca="false">IF(設定!$D$24&lt;&gt;"",単元08!$N$7,"")</f>
        <v/>
      </c>
      <c r="G13" s="62" t="str">
        <f aca="false">IF(設定!$D$24&lt;&gt;"",単元08!$N$8,"")</f>
        <v/>
      </c>
      <c r="H13" s="63" t="str">
        <f aca="false">IF(OR(NOT(設定!$D$24&lt;&gt;""),単元08!$L$2=""),"",単元08!$L$2&amp;IF(単元08!$M$2="","","（"&amp;単元08!$M$2&amp;"）"))</f>
        <v/>
      </c>
      <c r="I13" s="60" t="str">
        <f aca="false">IF(H13="","",単元08!$N$2)</f>
        <v/>
      </c>
      <c r="J13" s="62" t="str">
        <f aca="false">IF(H13="","",SUMPRODUCT((単元08!$E$5:$E$164=単元08!$L$2)*(((単元08!$F$5:$F$164="")+(単元08!$G$5:$G$164="")+(単元08!$H$5:$H$164=""))&gt;0)))</f>
        <v/>
      </c>
      <c r="K13" s="64" t="str">
        <f aca="false">IF(OR(NOT(設定!$D$24&lt;&gt;""),単元08!$L$3=""),"",単元08!$L$3&amp;IF(単元08!$M$3="","","（"&amp;単元08!$M$3&amp;"）"))</f>
        <v/>
      </c>
      <c r="L13" s="60" t="str">
        <f aca="false">IF(K13="","",単元08!$N$3)</f>
        <v/>
      </c>
      <c r="M13" s="62" t="str">
        <f aca="false">IF(K13="","",SUMPRODUCT((単元08!$E$5:$E$164=単元08!$L$3)*(((単元08!$F$5:$F$164="")+(単元08!$G$5:$G$164="")+(単元08!$H$5:$H$164=""))&gt;0)))</f>
        <v/>
      </c>
      <c r="N13" s="65" t="str">
        <f aca="false">IF(OR(NOT(設定!$D$24&lt;&gt;""),単元08!$L$4=""),"",単元08!$L$4&amp;IF(単元08!$M$4="","","（"&amp;単元08!$M$4&amp;"）"))</f>
        <v/>
      </c>
      <c r="O13" s="60" t="str">
        <f aca="false">IF(N13="","",単元08!$N$4)</f>
        <v/>
      </c>
      <c r="P13" s="62" t="str">
        <f aca="false">IF(N13="","",SUMPRODUCT((単元08!$E$5:$E$164=単元08!$L$4)*(((単元08!$F$5:$F$164="")+(単元08!$G$5:$G$164="")+(単元08!$H$5:$H$164=""))&gt;0)))</f>
        <v/>
      </c>
      <c r="Q13" s="66" t="str">
        <f aca="false">IF(OR(NOT(設定!$D$24&lt;&gt;""),単元08!$L$5=""),"",単元08!$L$5&amp;IF(単元08!$M$5="","","（"&amp;単元08!$M$5&amp;"）"))</f>
        <v/>
      </c>
      <c r="R13" s="60" t="str">
        <f aca="false">IF(Q13="","",単元08!$N$5)</f>
        <v/>
      </c>
      <c r="S13" s="62" t="str">
        <f aca="false">IF(Q13="","",SUMPRODUCT((単元08!$E$5:$E$164=単元08!$L$5)*(((単元08!$F$5:$F$164="")+(単元08!$G$5:$G$164="")+(単元08!$H$5:$H$164=""))&gt;0)))</f>
        <v/>
      </c>
      <c r="T13" s="67" t="str">
        <f aca="false">IF(OR(NOT(設定!$D$24&lt;&gt;""),単元08!$L$6=""),"",単元08!$L$6&amp;IF(単元08!$M$6="","","（"&amp;単元08!$M$6&amp;"）"))</f>
        <v/>
      </c>
      <c r="U13" s="60" t="str">
        <f aca="false">IF(T13="","",単元08!$N$6)</f>
        <v/>
      </c>
      <c r="V13" s="62" t="str">
        <f aca="false">IF(T13="","",SUMPRODUCT((単元08!$E$5:$E$164=単元08!$L$6)*(((単元08!$F$5:$F$164="")+(単元08!$G$5:$G$164="")+(単元08!$H$5:$H$164=""))&gt;0)))</f>
        <v/>
      </c>
    </row>
    <row r="14" customFormat="false" ht="24" hidden="false" customHeight="true" outlineLevel="0" collapsed="false">
      <c r="A14" s="58" t="n">
        <v>9</v>
      </c>
      <c r="B14" s="59" t="str">
        <f aca="false">IF(設定!$D$25&lt;&gt;"",設定!$D$25,"")</f>
        <v/>
      </c>
      <c r="C14" s="60" t="str">
        <f aca="false">IF(OR(NOT(設定!$D$25&lt;&gt;""),設定!$C$25=""),"",設定!$C$25&amp;IF(ISNUMBER(設定!$C$25),"学期",""))</f>
        <v/>
      </c>
      <c r="D14" s="60" t="str">
        <f aca="false">IF(設定!$D$25&lt;&gt;"",単元09!$C$2,"")</f>
        <v/>
      </c>
      <c r="E14" s="61" t="str">
        <f aca="false">IF(NOT(設定!$D$25&lt;&gt;""),"",IF(COUNTIF(単元09!$E$5:$E$164,"?*")=0,"未着手",IF(AND(F14=0,G14=0),"完了",IF(G14=COUNTIF(単元09!$E$5:$E$164,"?*"),"評価前","入力中"))))</f>
        <v/>
      </c>
      <c r="F14" s="62" t="str">
        <f aca="false">IF(設定!$D$25&lt;&gt;"",単元09!$N$7,"")</f>
        <v/>
      </c>
      <c r="G14" s="62" t="str">
        <f aca="false">IF(設定!$D$25&lt;&gt;"",単元09!$N$8,"")</f>
        <v/>
      </c>
      <c r="H14" s="63" t="str">
        <f aca="false">IF(OR(NOT(設定!$D$25&lt;&gt;""),単元09!$L$2=""),"",単元09!$L$2&amp;IF(単元09!$M$2="","","（"&amp;単元09!$M$2&amp;"）"))</f>
        <v/>
      </c>
      <c r="I14" s="60" t="str">
        <f aca="false">IF(H14="","",単元09!$N$2)</f>
        <v/>
      </c>
      <c r="J14" s="62" t="str">
        <f aca="false">IF(H14="","",SUMPRODUCT((単元09!$E$5:$E$164=単元09!$L$2)*(((単元09!$F$5:$F$164="")+(単元09!$G$5:$G$164="")+(単元09!$H$5:$H$164=""))&gt;0)))</f>
        <v/>
      </c>
      <c r="K14" s="64" t="str">
        <f aca="false">IF(OR(NOT(設定!$D$25&lt;&gt;""),単元09!$L$3=""),"",単元09!$L$3&amp;IF(単元09!$M$3="","","（"&amp;単元09!$M$3&amp;"）"))</f>
        <v/>
      </c>
      <c r="L14" s="60" t="str">
        <f aca="false">IF(K14="","",単元09!$N$3)</f>
        <v/>
      </c>
      <c r="M14" s="62" t="str">
        <f aca="false">IF(K14="","",SUMPRODUCT((単元09!$E$5:$E$164=単元09!$L$3)*(((単元09!$F$5:$F$164="")+(単元09!$G$5:$G$164="")+(単元09!$H$5:$H$164=""))&gt;0)))</f>
        <v/>
      </c>
      <c r="N14" s="65" t="str">
        <f aca="false">IF(OR(NOT(設定!$D$25&lt;&gt;""),単元09!$L$4=""),"",単元09!$L$4&amp;IF(単元09!$M$4="","","（"&amp;単元09!$M$4&amp;"）"))</f>
        <v/>
      </c>
      <c r="O14" s="60" t="str">
        <f aca="false">IF(N14="","",単元09!$N$4)</f>
        <v/>
      </c>
      <c r="P14" s="62" t="str">
        <f aca="false">IF(N14="","",SUMPRODUCT((単元09!$E$5:$E$164=単元09!$L$4)*(((単元09!$F$5:$F$164="")+(単元09!$G$5:$G$164="")+(単元09!$H$5:$H$164=""))&gt;0)))</f>
        <v/>
      </c>
      <c r="Q14" s="66" t="str">
        <f aca="false">IF(OR(NOT(設定!$D$25&lt;&gt;""),単元09!$L$5=""),"",単元09!$L$5&amp;IF(単元09!$M$5="","","（"&amp;単元09!$M$5&amp;"）"))</f>
        <v/>
      </c>
      <c r="R14" s="60" t="str">
        <f aca="false">IF(Q14="","",単元09!$N$5)</f>
        <v/>
      </c>
      <c r="S14" s="62" t="str">
        <f aca="false">IF(Q14="","",SUMPRODUCT((単元09!$E$5:$E$164=単元09!$L$5)*(((単元09!$F$5:$F$164="")+(単元09!$G$5:$G$164="")+(単元09!$H$5:$H$164=""))&gt;0)))</f>
        <v/>
      </c>
      <c r="T14" s="67" t="str">
        <f aca="false">IF(OR(NOT(設定!$D$25&lt;&gt;""),単元09!$L$6=""),"",単元09!$L$6&amp;IF(単元09!$M$6="","","（"&amp;単元09!$M$6&amp;"）"))</f>
        <v/>
      </c>
      <c r="U14" s="60" t="str">
        <f aca="false">IF(T14="","",単元09!$N$6)</f>
        <v/>
      </c>
      <c r="V14" s="62" t="str">
        <f aca="false">IF(T14="","",SUMPRODUCT((単元09!$E$5:$E$164=単元09!$L$6)*(((単元09!$F$5:$F$164="")+(単元09!$G$5:$G$164="")+(単元09!$H$5:$H$164=""))&gt;0)))</f>
        <v/>
      </c>
    </row>
    <row r="15" customFormat="false" ht="24" hidden="false" customHeight="true" outlineLevel="0" collapsed="false">
      <c r="A15" s="58" t="n">
        <v>10</v>
      </c>
      <c r="B15" s="59" t="str">
        <f aca="false">IF(設定!$D$26&lt;&gt;"",設定!$D$26,"")</f>
        <v/>
      </c>
      <c r="C15" s="60" t="str">
        <f aca="false">IF(OR(NOT(設定!$D$26&lt;&gt;""),設定!$C$26=""),"",設定!$C$26&amp;IF(ISNUMBER(設定!$C$26),"学期",""))</f>
        <v/>
      </c>
      <c r="D15" s="60" t="str">
        <f aca="false">IF(設定!$D$26&lt;&gt;"",単元10!$C$2,"")</f>
        <v/>
      </c>
      <c r="E15" s="61" t="str">
        <f aca="false">IF(NOT(設定!$D$26&lt;&gt;""),"",IF(COUNTIF(単元10!$E$5:$E$164,"?*")=0,"未着手",IF(AND(F15=0,G15=0),"完了",IF(G15=COUNTIF(単元10!$E$5:$E$164,"?*"),"評価前","入力中"))))</f>
        <v/>
      </c>
      <c r="F15" s="62" t="str">
        <f aca="false">IF(設定!$D$26&lt;&gt;"",単元10!$N$7,"")</f>
        <v/>
      </c>
      <c r="G15" s="62" t="str">
        <f aca="false">IF(設定!$D$26&lt;&gt;"",単元10!$N$8,"")</f>
        <v/>
      </c>
      <c r="H15" s="63" t="str">
        <f aca="false">IF(OR(NOT(設定!$D$26&lt;&gt;""),単元10!$L$2=""),"",単元10!$L$2&amp;IF(単元10!$M$2="","","（"&amp;単元10!$M$2&amp;"）"))</f>
        <v/>
      </c>
      <c r="I15" s="60" t="str">
        <f aca="false">IF(H15="","",単元10!$N$2)</f>
        <v/>
      </c>
      <c r="J15" s="62" t="str">
        <f aca="false">IF(H15="","",SUMPRODUCT((単元10!$E$5:$E$164=単元10!$L$2)*(((単元10!$F$5:$F$164="")+(単元10!$G$5:$G$164="")+(単元10!$H$5:$H$164=""))&gt;0)))</f>
        <v/>
      </c>
      <c r="K15" s="64" t="str">
        <f aca="false">IF(OR(NOT(設定!$D$26&lt;&gt;""),単元10!$L$3=""),"",単元10!$L$3&amp;IF(単元10!$M$3="","","（"&amp;単元10!$M$3&amp;"）"))</f>
        <v/>
      </c>
      <c r="L15" s="60" t="str">
        <f aca="false">IF(K15="","",単元10!$N$3)</f>
        <v/>
      </c>
      <c r="M15" s="62" t="str">
        <f aca="false">IF(K15="","",SUMPRODUCT((単元10!$E$5:$E$164=単元10!$L$3)*(((単元10!$F$5:$F$164="")+(単元10!$G$5:$G$164="")+(単元10!$H$5:$H$164=""))&gt;0)))</f>
        <v/>
      </c>
      <c r="N15" s="65" t="str">
        <f aca="false">IF(OR(NOT(設定!$D$26&lt;&gt;""),単元10!$L$4=""),"",単元10!$L$4&amp;IF(単元10!$M$4="","","（"&amp;単元10!$M$4&amp;"）"))</f>
        <v/>
      </c>
      <c r="O15" s="60" t="str">
        <f aca="false">IF(N15="","",単元10!$N$4)</f>
        <v/>
      </c>
      <c r="P15" s="62" t="str">
        <f aca="false">IF(N15="","",SUMPRODUCT((単元10!$E$5:$E$164=単元10!$L$4)*(((単元10!$F$5:$F$164="")+(単元10!$G$5:$G$164="")+(単元10!$H$5:$H$164=""))&gt;0)))</f>
        <v/>
      </c>
      <c r="Q15" s="66" t="str">
        <f aca="false">IF(OR(NOT(設定!$D$26&lt;&gt;""),単元10!$L$5=""),"",単元10!$L$5&amp;IF(単元10!$M$5="","","（"&amp;単元10!$M$5&amp;"）"))</f>
        <v/>
      </c>
      <c r="R15" s="60" t="str">
        <f aca="false">IF(Q15="","",単元10!$N$5)</f>
        <v/>
      </c>
      <c r="S15" s="62" t="str">
        <f aca="false">IF(Q15="","",SUMPRODUCT((単元10!$E$5:$E$164=単元10!$L$5)*(((単元10!$F$5:$F$164="")+(単元10!$G$5:$G$164="")+(単元10!$H$5:$H$164=""))&gt;0)))</f>
        <v/>
      </c>
      <c r="T15" s="67" t="str">
        <f aca="false">IF(OR(NOT(設定!$D$26&lt;&gt;""),単元10!$L$6=""),"",単元10!$L$6&amp;IF(単元10!$M$6="","","（"&amp;単元10!$M$6&amp;"）"))</f>
        <v/>
      </c>
      <c r="U15" s="60" t="str">
        <f aca="false">IF(T15="","",単元10!$N$6)</f>
        <v/>
      </c>
      <c r="V15" s="62" t="str">
        <f aca="false">IF(T15="","",SUMPRODUCT((単元10!$E$5:$E$164=単元10!$L$6)*(((単元10!$F$5:$F$164="")+(単元10!$G$5:$G$164="")+(単元10!$H$5:$H$164=""))&gt;0)))</f>
        <v/>
      </c>
    </row>
    <row r="16" customFormat="false" ht="24" hidden="false" customHeight="true" outlineLevel="0" collapsed="false">
      <c r="A16" s="58" t="n">
        <v>11</v>
      </c>
      <c r="B16" s="59" t="str">
        <f aca="false">IF(設定!$D$27&lt;&gt;"",設定!$D$27,"")</f>
        <v/>
      </c>
      <c r="C16" s="60" t="str">
        <f aca="false">IF(OR(NOT(設定!$D$27&lt;&gt;""),設定!$C$27=""),"",設定!$C$27&amp;IF(ISNUMBER(設定!$C$27),"学期",""))</f>
        <v/>
      </c>
      <c r="D16" s="60" t="str">
        <f aca="false">IF(設定!$D$27&lt;&gt;"",単元11!$C$2,"")</f>
        <v/>
      </c>
      <c r="E16" s="61" t="str">
        <f aca="false">IF(NOT(設定!$D$27&lt;&gt;""),"",IF(COUNTIF(単元11!$E$5:$E$164,"?*")=0,"未着手",IF(AND(F16=0,G16=0),"完了",IF(G16=COUNTIF(単元11!$E$5:$E$164,"?*"),"評価前","入力中"))))</f>
        <v/>
      </c>
      <c r="F16" s="62" t="str">
        <f aca="false">IF(設定!$D$27&lt;&gt;"",単元11!$N$7,"")</f>
        <v/>
      </c>
      <c r="G16" s="62" t="str">
        <f aca="false">IF(設定!$D$27&lt;&gt;"",単元11!$N$8,"")</f>
        <v/>
      </c>
      <c r="H16" s="63" t="str">
        <f aca="false">IF(OR(NOT(設定!$D$27&lt;&gt;""),単元11!$L$2=""),"",単元11!$L$2&amp;IF(単元11!$M$2="","","（"&amp;単元11!$M$2&amp;"）"))</f>
        <v/>
      </c>
      <c r="I16" s="60" t="str">
        <f aca="false">IF(H16="","",単元11!$N$2)</f>
        <v/>
      </c>
      <c r="J16" s="62" t="str">
        <f aca="false">IF(H16="","",SUMPRODUCT((単元11!$E$5:$E$164=単元11!$L$2)*(((単元11!$F$5:$F$164="")+(単元11!$G$5:$G$164="")+(単元11!$H$5:$H$164=""))&gt;0)))</f>
        <v/>
      </c>
      <c r="K16" s="64" t="str">
        <f aca="false">IF(OR(NOT(設定!$D$27&lt;&gt;""),単元11!$L$3=""),"",単元11!$L$3&amp;IF(単元11!$M$3="","","（"&amp;単元11!$M$3&amp;"）"))</f>
        <v/>
      </c>
      <c r="L16" s="60" t="str">
        <f aca="false">IF(K16="","",単元11!$N$3)</f>
        <v/>
      </c>
      <c r="M16" s="62" t="str">
        <f aca="false">IF(K16="","",SUMPRODUCT((単元11!$E$5:$E$164=単元11!$L$3)*(((単元11!$F$5:$F$164="")+(単元11!$G$5:$G$164="")+(単元11!$H$5:$H$164=""))&gt;0)))</f>
        <v/>
      </c>
      <c r="N16" s="65" t="str">
        <f aca="false">IF(OR(NOT(設定!$D$27&lt;&gt;""),単元11!$L$4=""),"",単元11!$L$4&amp;IF(単元11!$M$4="","","（"&amp;単元11!$M$4&amp;"）"))</f>
        <v/>
      </c>
      <c r="O16" s="60" t="str">
        <f aca="false">IF(N16="","",単元11!$N$4)</f>
        <v/>
      </c>
      <c r="P16" s="62" t="str">
        <f aca="false">IF(N16="","",SUMPRODUCT((単元11!$E$5:$E$164=単元11!$L$4)*(((単元11!$F$5:$F$164="")+(単元11!$G$5:$G$164="")+(単元11!$H$5:$H$164=""))&gt;0)))</f>
        <v/>
      </c>
      <c r="Q16" s="66" t="str">
        <f aca="false">IF(OR(NOT(設定!$D$27&lt;&gt;""),単元11!$L$5=""),"",単元11!$L$5&amp;IF(単元11!$M$5="","","（"&amp;単元11!$M$5&amp;"）"))</f>
        <v/>
      </c>
      <c r="R16" s="60" t="str">
        <f aca="false">IF(Q16="","",単元11!$N$5)</f>
        <v/>
      </c>
      <c r="S16" s="62" t="str">
        <f aca="false">IF(Q16="","",SUMPRODUCT((単元11!$E$5:$E$164=単元11!$L$5)*(((単元11!$F$5:$F$164="")+(単元11!$G$5:$G$164="")+(単元11!$H$5:$H$164=""))&gt;0)))</f>
        <v/>
      </c>
      <c r="T16" s="67" t="str">
        <f aca="false">IF(OR(NOT(設定!$D$27&lt;&gt;""),単元11!$L$6=""),"",単元11!$L$6&amp;IF(単元11!$M$6="","","（"&amp;単元11!$M$6&amp;"）"))</f>
        <v/>
      </c>
      <c r="U16" s="60" t="str">
        <f aca="false">IF(T16="","",単元11!$N$6)</f>
        <v/>
      </c>
      <c r="V16" s="62" t="str">
        <f aca="false">IF(T16="","",SUMPRODUCT((単元11!$E$5:$E$164=単元11!$L$6)*(((単元11!$F$5:$F$164="")+(単元11!$G$5:$G$164="")+(単元11!$H$5:$H$164=""))&gt;0)))</f>
        <v/>
      </c>
    </row>
    <row r="17" customFormat="false" ht="24" hidden="false" customHeight="true" outlineLevel="0" collapsed="false">
      <c r="A17" s="58" t="n">
        <v>12</v>
      </c>
      <c r="B17" s="59" t="str">
        <f aca="false">IF(設定!$D$28&lt;&gt;"",設定!$D$28,"")</f>
        <v/>
      </c>
      <c r="C17" s="60" t="str">
        <f aca="false">IF(OR(NOT(設定!$D$28&lt;&gt;""),設定!$C$28=""),"",設定!$C$28&amp;IF(ISNUMBER(設定!$C$28),"学期",""))</f>
        <v/>
      </c>
      <c r="D17" s="60" t="str">
        <f aca="false">IF(設定!$D$28&lt;&gt;"",単元12!$C$2,"")</f>
        <v/>
      </c>
      <c r="E17" s="61" t="str">
        <f aca="false">IF(NOT(設定!$D$28&lt;&gt;""),"",IF(COUNTIF(単元12!$E$5:$E$164,"?*")=0,"未着手",IF(AND(F17=0,G17=0),"完了",IF(G17=COUNTIF(単元12!$E$5:$E$164,"?*"),"評価前","入力中"))))</f>
        <v/>
      </c>
      <c r="F17" s="62" t="str">
        <f aca="false">IF(設定!$D$28&lt;&gt;"",単元12!$N$7,"")</f>
        <v/>
      </c>
      <c r="G17" s="62" t="str">
        <f aca="false">IF(設定!$D$28&lt;&gt;"",単元12!$N$8,"")</f>
        <v/>
      </c>
      <c r="H17" s="63" t="str">
        <f aca="false">IF(OR(NOT(設定!$D$28&lt;&gt;""),単元12!$L$2=""),"",単元12!$L$2&amp;IF(単元12!$M$2="","","（"&amp;単元12!$M$2&amp;"）"))</f>
        <v/>
      </c>
      <c r="I17" s="60" t="str">
        <f aca="false">IF(H17="","",単元12!$N$2)</f>
        <v/>
      </c>
      <c r="J17" s="62" t="str">
        <f aca="false">IF(H17="","",SUMPRODUCT((単元12!$E$5:$E$164=単元12!$L$2)*(((単元12!$F$5:$F$164="")+(単元12!$G$5:$G$164="")+(単元12!$H$5:$H$164=""))&gt;0)))</f>
        <v/>
      </c>
      <c r="K17" s="64" t="str">
        <f aca="false">IF(OR(NOT(設定!$D$28&lt;&gt;""),単元12!$L$3=""),"",単元12!$L$3&amp;IF(単元12!$M$3="","","（"&amp;単元12!$M$3&amp;"）"))</f>
        <v/>
      </c>
      <c r="L17" s="60" t="str">
        <f aca="false">IF(K17="","",単元12!$N$3)</f>
        <v/>
      </c>
      <c r="M17" s="62" t="str">
        <f aca="false">IF(K17="","",SUMPRODUCT((単元12!$E$5:$E$164=単元12!$L$3)*(((単元12!$F$5:$F$164="")+(単元12!$G$5:$G$164="")+(単元12!$H$5:$H$164=""))&gt;0)))</f>
        <v/>
      </c>
      <c r="N17" s="65" t="str">
        <f aca="false">IF(OR(NOT(設定!$D$28&lt;&gt;""),単元12!$L$4=""),"",単元12!$L$4&amp;IF(単元12!$M$4="","","（"&amp;単元12!$M$4&amp;"）"))</f>
        <v/>
      </c>
      <c r="O17" s="60" t="str">
        <f aca="false">IF(N17="","",単元12!$N$4)</f>
        <v/>
      </c>
      <c r="P17" s="62" t="str">
        <f aca="false">IF(N17="","",SUMPRODUCT((単元12!$E$5:$E$164=単元12!$L$4)*(((単元12!$F$5:$F$164="")+(単元12!$G$5:$G$164="")+(単元12!$H$5:$H$164=""))&gt;0)))</f>
        <v/>
      </c>
      <c r="Q17" s="66" t="str">
        <f aca="false">IF(OR(NOT(設定!$D$28&lt;&gt;""),単元12!$L$5=""),"",単元12!$L$5&amp;IF(単元12!$M$5="","","（"&amp;単元12!$M$5&amp;"）"))</f>
        <v/>
      </c>
      <c r="R17" s="60" t="str">
        <f aca="false">IF(Q17="","",単元12!$N$5)</f>
        <v/>
      </c>
      <c r="S17" s="62" t="str">
        <f aca="false">IF(Q17="","",SUMPRODUCT((単元12!$E$5:$E$164=単元12!$L$5)*(((単元12!$F$5:$F$164="")+(単元12!$G$5:$G$164="")+(単元12!$H$5:$H$164=""))&gt;0)))</f>
        <v/>
      </c>
      <c r="T17" s="67" t="str">
        <f aca="false">IF(OR(NOT(設定!$D$28&lt;&gt;""),単元12!$L$6=""),"",単元12!$L$6&amp;IF(単元12!$M$6="","","（"&amp;単元12!$M$6&amp;"）"))</f>
        <v/>
      </c>
      <c r="U17" s="60" t="str">
        <f aca="false">IF(T17="","",単元12!$N$6)</f>
        <v/>
      </c>
      <c r="V17" s="62" t="str">
        <f aca="false">IF(T17="","",SUMPRODUCT((単元12!$E$5:$E$164=単元12!$L$6)*(((単元12!$F$5:$F$164="")+(単元12!$G$5:$G$164="")+(単元12!$H$5:$H$164=""))&gt;0)))</f>
        <v/>
      </c>
    </row>
    <row r="18" customFormat="false" ht="24" hidden="false" customHeight="true" outlineLevel="0" collapsed="false">
      <c r="A18" s="58" t="n">
        <v>13</v>
      </c>
      <c r="B18" s="59" t="str">
        <f aca="false">IF(設定!$D$29&lt;&gt;"",設定!$D$29,"")</f>
        <v/>
      </c>
      <c r="C18" s="60" t="str">
        <f aca="false">IF(OR(NOT(設定!$D$29&lt;&gt;""),設定!$C$29=""),"",設定!$C$29&amp;IF(ISNUMBER(設定!$C$29),"学期",""))</f>
        <v/>
      </c>
      <c r="D18" s="60" t="str">
        <f aca="false">IF(設定!$D$29&lt;&gt;"",単元13!$C$2,"")</f>
        <v/>
      </c>
      <c r="E18" s="61" t="str">
        <f aca="false">IF(NOT(設定!$D$29&lt;&gt;""),"",IF(COUNTIF(単元13!$E$5:$E$164,"?*")=0,"未着手",IF(AND(F18=0,G18=0),"完了",IF(G18=COUNTIF(単元13!$E$5:$E$164,"?*"),"評価前","入力中"))))</f>
        <v/>
      </c>
      <c r="F18" s="62" t="str">
        <f aca="false">IF(設定!$D$29&lt;&gt;"",単元13!$N$7,"")</f>
        <v/>
      </c>
      <c r="G18" s="62" t="str">
        <f aca="false">IF(設定!$D$29&lt;&gt;"",単元13!$N$8,"")</f>
        <v/>
      </c>
      <c r="H18" s="63" t="str">
        <f aca="false">IF(OR(NOT(設定!$D$29&lt;&gt;""),単元13!$L$2=""),"",単元13!$L$2&amp;IF(単元13!$M$2="","","（"&amp;単元13!$M$2&amp;"）"))</f>
        <v/>
      </c>
      <c r="I18" s="60" t="str">
        <f aca="false">IF(H18="","",単元13!$N$2)</f>
        <v/>
      </c>
      <c r="J18" s="62" t="str">
        <f aca="false">IF(H18="","",SUMPRODUCT((単元13!$E$5:$E$164=単元13!$L$2)*(((単元13!$F$5:$F$164="")+(単元13!$G$5:$G$164="")+(単元13!$H$5:$H$164=""))&gt;0)))</f>
        <v/>
      </c>
      <c r="K18" s="64" t="str">
        <f aca="false">IF(OR(NOT(設定!$D$29&lt;&gt;""),単元13!$L$3=""),"",単元13!$L$3&amp;IF(単元13!$M$3="","","（"&amp;単元13!$M$3&amp;"）"))</f>
        <v/>
      </c>
      <c r="L18" s="60" t="str">
        <f aca="false">IF(K18="","",単元13!$N$3)</f>
        <v/>
      </c>
      <c r="M18" s="62" t="str">
        <f aca="false">IF(K18="","",SUMPRODUCT((単元13!$E$5:$E$164=単元13!$L$3)*(((単元13!$F$5:$F$164="")+(単元13!$G$5:$G$164="")+(単元13!$H$5:$H$164=""))&gt;0)))</f>
        <v/>
      </c>
      <c r="N18" s="65" t="str">
        <f aca="false">IF(OR(NOT(設定!$D$29&lt;&gt;""),単元13!$L$4=""),"",単元13!$L$4&amp;IF(単元13!$M$4="","","（"&amp;単元13!$M$4&amp;"）"))</f>
        <v/>
      </c>
      <c r="O18" s="60" t="str">
        <f aca="false">IF(N18="","",単元13!$N$4)</f>
        <v/>
      </c>
      <c r="P18" s="62" t="str">
        <f aca="false">IF(N18="","",SUMPRODUCT((単元13!$E$5:$E$164=単元13!$L$4)*(((単元13!$F$5:$F$164="")+(単元13!$G$5:$G$164="")+(単元13!$H$5:$H$164=""))&gt;0)))</f>
        <v/>
      </c>
      <c r="Q18" s="66" t="str">
        <f aca="false">IF(OR(NOT(設定!$D$29&lt;&gt;""),単元13!$L$5=""),"",単元13!$L$5&amp;IF(単元13!$M$5="","","（"&amp;単元13!$M$5&amp;"）"))</f>
        <v/>
      </c>
      <c r="R18" s="60" t="str">
        <f aca="false">IF(Q18="","",単元13!$N$5)</f>
        <v/>
      </c>
      <c r="S18" s="62" t="str">
        <f aca="false">IF(Q18="","",SUMPRODUCT((単元13!$E$5:$E$164=単元13!$L$5)*(((単元13!$F$5:$F$164="")+(単元13!$G$5:$G$164="")+(単元13!$H$5:$H$164=""))&gt;0)))</f>
        <v/>
      </c>
      <c r="T18" s="67" t="str">
        <f aca="false">IF(OR(NOT(設定!$D$29&lt;&gt;""),単元13!$L$6=""),"",単元13!$L$6&amp;IF(単元13!$M$6="","","（"&amp;単元13!$M$6&amp;"）"))</f>
        <v/>
      </c>
      <c r="U18" s="60" t="str">
        <f aca="false">IF(T18="","",単元13!$N$6)</f>
        <v/>
      </c>
      <c r="V18" s="62" t="str">
        <f aca="false">IF(T18="","",SUMPRODUCT((単元13!$E$5:$E$164=単元13!$L$6)*(((単元13!$F$5:$F$164="")+(単元13!$G$5:$G$164="")+(単元13!$H$5:$H$164=""))&gt;0)))</f>
        <v/>
      </c>
    </row>
    <row r="19" customFormat="false" ht="24" hidden="false" customHeight="true" outlineLevel="0" collapsed="false">
      <c r="A19" s="58" t="n">
        <v>14</v>
      </c>
      <c r="B19" s="59" t="str">
        <f aca="false">IF(設定!$D$30&lt;&gt;"",設定!$D$30,"")</f>
        <v/>
      </c>
      <c r="C19" s="60" t="str">
        <f aca="false">IF(OR(NOT(設定!$D$30&lt;&gt;""),設定!$C$30=""),"",設定!$C$30&amp;IF(ISNUMBER(設定!$C$30),"学期",""))</f>
        <v/>
      </c>
      <c r="D19" s="60" t="str">
        <f aca="false">IF(設定!$D$30&lt;&gt;"",単元14!$C$2,"")</f>
        <v/>
      </c>
      <c r="E19" s="61" t="str">
        <f aca="false">IF(NOT(設定!$D$30&lt;&gt;""),"",IF(COUNTIF(単元14!$E$5:$E$164,"?*")=0,"未着手",IF(AND(F19=0,G19=0),"完了",IF(G19=COUNTIF(単元14!$E$5:$E$164,"?*"),"評価前","入力中"))))</f>
        <v/>
      </c>
      <c r="F19" s="62" t="str">
        <f aca="false">IF(設定!$D$30&lt;&gt;"",単元14!$N$7,"")</f>
        <v/>
      </c>
      <c r="G19" s="62" t="str">
        <f aca="false">IF(設定!$D$30&lt;&gt;"",単元14!$N$8,"")</f>
        <v/>
      </c>
      <c r="H19" s="63" t="str">
        <f aca="false">IF(OR(NOT(設定!$D$30&lt;&gt;""),単元14!$L$2=""),"",単元14!$L$2&amp;IF(単元14!$M$2="","","（"&amp;単元14!$M$2&amp;"）"))</f>
        <v/>
      </c>
      <c r="I19" s="60" t="str">
        <f aca="false">IF(H19="","",単元14!$N$2)</f>
        <v/>
      </c>
      <c r="J19" s="62" t="str">
        <f aca="false">IF(H19="","",SUMPRODUCT((単元14!$E$5:$E$164=単元14!$L$2)*(((単元14!$F$5:$F$164="")+(単元14!$G$5:$G$164="")+(単元14!$H$5:$H$164=""))&gt;0)))</f>
        <v/>
      </c>
      <c r="K19" s="64" t="str">
        <f aca="false">IF(OR(NOT(設定!$D$30&lt;&gt;""),単元14!$L$3=""),"",単元14!$L$3&amp;IF(単元14!$M$3="","","（"&amp;単元14!$M$3&amp;"）"))</f>
        <v/>
      </c>
      <c r="L19" s="60" t="str">
        <f aca="false">IF(K19="","",単元14!$N$3)</f>
        <v/>
      </c>
      <c r="M19" s="62" t="str">
        <f aca="false">IF(K19="","",SUMPRODUCT((単元14!$E$5:$E$164=単元14!$L$3)*(((単元14!$F$5:$F$164="")+(単元14!$G$5:$G$164="")+(単元14!$H$5:$H$164=""))&gt;0)))</f>
        <v/>
      </c>
      <c r="N19" s="65" t="str">
        <f aca="false">IF(OR(NOT(設定!$D$30&lt;&gt;""),単元14!$L$4=""),"",単元14!$L$4&amp;IF(単元14!$M$4="","","（"&amp;単元14!$M$4&amp;"）"))</f>
        <v/>
      </c>
      <c r="O19" s="60" t="str">
        <f aca="false">IF(N19="","",単元14!$N$4)</f>
        <v/>
      </c>
      <c r="P19" s="62" t="str">
        <f aca="false">IF(N19="","",SUMPRODUCT((単元14!$E$5:$E$164=単元14!$L$4)*(((単元14!$F$5:$F$164="")+(単元14!$G$5:$G$164="")+(単元14!$H$5:$H$164=""))&gt;0)))</f>
        <v/>
      </c>
      <c r="Q19" s="66" t="str">
        <f aca="false">IF(OR(NOT(設定!$D$30&lt;&gt;""),単元14!$L$5=""),"",単元14!$L$5&amp;IF(単元14!$M$5="","","（"&amp;単元14!$M$5&amp;"）"))</f>
        <v/>
      </c>
      <c r="R19" s="60" t="str">
        <f aca="false">IF(Q19="","",単元14!$N$5)</f>
        <v/>
      </c>
      <c r="S19" s="62" t="str">
        <f aca="false">IF(Q19="","",SUMPRODUCT((単元14!$E$5:$E$164=単元14!$L$5)*(((単元14!$F$5:$F$164="")+(単元14!$G$5:$G$164="")+(単元14!$H$5:$H$164=""))&gt;0)))</f>
        <v/>
      </c>
      <c r="T19" s="67" t="str">
        <f aca="false">IF(OR(NOT(設定!$D$30&lt;&gt;""),単元14!$L$6=""),"",単元14!$L$6&amp;IF(単元14!$M$6="","","（"&amp;単元14!$M$6&amp;"）"))</f>
        <v/>
      </c>
      <c r="U19" s="60" t="str">
        <f aca="false">IF(T19="","",単元14!$N$6)</f>
        <v/>
      </c>
      <c r="V19" s="62" t="str">
        <f aca="false">IF(T19="","",SUMPRODUCT((単元14!$E$5:$E$164=単元14!$L$6)*(((単元14!$F$5:$F$164="")+(単元14!$G$5:$G$164="")+(単元14!$H$5:$H$164=""))&gt;0)))</f>
        <v/>
      </c>
    </row>
    <row r="20" customFormat="false" ht="24" hidden="false" customHeight="true" outlineLevel="0" collapsed="false">
      <c r="A20" s="58" t="n">
        <v>15</v>
      </c>
      <c r="B20" s="59" t="str">
        <f aca="false">IF(設定!$D$31&lt;&gt;"",設定!$D$31,"")</f>
        <v/>
      </c>
      <c r="C20" s="60" t="str">
        <f aca="false">IF(OR(NOT(設定!$D$31&lt;&gt;""),設定!$C$31=""),"",設定!$C$31&amp;IF(ISNUMBER(設定!$C$31),"学期",""))</f>
        <v/>
      </c>
      <c r="D20" s="60" t="str">
        <f aca="false">IF(設定!$D$31&lt;&gt;"",単元15!$C$2,"")</f>
        <v/>
      </c>
      <c r="E20" s="61" t="str">
        <f aca="false">IF(NOT(設定!$D$31&lt;&gt;""),"",IF(COUNTIF(単元15!$E$5:$E$164,"?*")=0,"未着手",IF(AND(F20=0,G20=0),"完了",IF(G20=COUNTIF(単元15!$E$5:$E$164,"?*"),"評価前","入力中"))))</f>
        <v/>
      </c>
      <c r="F20" s="62" t="str">
        <f aca="false">IF(設定!$D$31&lt;&gt;"",単元15!$N$7,"")</f>
        <v/>
      </c>
      <c r="G20" s="62" t="str">
        <f aca="false">IF(設定!$D$31&lt;&gt;"",単元15!$N$8,"")</f>
        <v/>
      </c>
      <c r="H20" s="63" t="str">
        <f aca="false">IF(OR(NOT(設定!$D$31&lt;&gt;""),単元15!$L$2=""),"",単元15!$L$2&amp;IF(単元15!$M$2="","","（"&amp;単元15!$M$2&amp;"）"))</f>
        <v/>
      </c>
      <c r="I20" s="60" t="str">
        <f aca="false">IF(H20="","",単元15!$N$2)</f>
        <v/>
      </c>
      <c r="J20" s="62" t="str">
        <f aca="false">IF(H20="","",SUMPRODUCT((単元15!$E$5:$E$164=単元15!$L$2)*(((単元15!$F$5:$F$164="")+(単元15!$G$5:$G$164="")+(単元15!$H$5:$H$164=""))&gt;0)))</f>
        <v/>
      </c>
      <c r="K20" s="64" t="str">
        <f aca="false">IF(OR(NOT(設定!$D$31&lt;&gt;""),単元15!$L$3=""),"",単元15!$L$3&amp;IF(単元15!$M$3="","","（"&amp;単元15!$M$3&amp;"）"))</f>
        <v/>
      </c>
      <c r="L20" s="60" t="str">
        <f aca="false">IF(K20="","",単元15!$N$3)</f>
        <v/>
      </c>
      <c r="M20" s="62" t="str">
        <f aca="false">IF(K20="","",SUMPRODUCT((単元15!$E$5:$E$164=単元15!$L$3)*(((単元15!$F$5:$F$164="")+(単元15!$G$5:$G$164="")+(単元15!$H$5:$H$164=""))&gt;0)))</f>
        <v/>
      </c>
      <c r="N20" s="65" t="str">
        <f aca="false">IF(OR(NOT(設定!$D$31&lt;&gt;""),単元15!$L$4=""),"",単元15!$L$4&amp;IF(単元15!$M$4="","","（"&amp;単元15!$M$4&amp;"）"))</f>
        <v/>
      </c>
      <c r="O20" s="60" t="str">
        <f aca="false">IF(N20="","",単元15!$N$4)</f>
        <v/>
      </c>
      <c r="P20" s="62" t="str">
        <f aca="false">IF(N20="","",SUMPRODUCT((単元15!$E$5:$E$164=単元15!$L$4)*(((単元15!$F$5:$F$164="")+(単元15!$G$5:$G$164="")+(単元15!$H$5:$H$164=""))&gt;0)))</f>
        <v/>
      </c>
      <c r="Q20" s="66" t="str">
        <f aca="false">IF(OR(NOT(設定!$D$31&lt;&gt;""),単元15!$L$5=""),"",単元15!$L$5&amp;IF(単元15!$M$5="","","（"&amp;単元15!$M$5&amp;"）"))</f>
        <v/>
      </c>
      <c r="R20" s="60" t="str">
        <f aca="false">IF(Q20="","",単元15!$N$5)</f>
        <v/>
      </c>
      <c r="S20" s="62" t="str">
        <f aca="false">IF(Q20="","",SUMPRODUCT((単元15!$E$5:$E$164=単元15!$L$5)*(((単元15!$F$5:$F$164="")+(単元15!$G$5:$G$164="")+(単元15!$H$5:$H$164=""))&gt;0)))</f>
        <v/>
      </c>
      <c r="T20" s="67" t="str">
        <f aca="false">IF(OR(NOT(設定!$D$31&lt;&gt;""),単元15!$L$6=""),"",単元15!$L$6&amp;IF(単元15!$M$6="","","（"&amp;単元15!$M$6&amp;"）"))</f>
        <v/>
      </c>
      <c r="U20" s="60" t="str">
        <f aca="false">IF(T20="","",単元15!$N$6)</f>
        <v/>
      </c>
      <c r="V20" s="62" t="str">
        <f aca="false">IF(T20="","",SUMPRODUCT((単元15!$E$5:$E$164=単元15!$L$6)*(((単元15!$F$5:$F$164="")+(単元15!$G$5:$G$164="")+(単元15!$H$5:$H$164=""))&gt;0)))</f>
        <v/>
      </c>
    </row>
    <row r="21" customFormat="false" ht="24" hidden="false" customHeight="true" outlineLevel="0" collapsed="false">
      <c r="A21" s="58" t="n">
        <v>16</v>
      </c>
      <c r="B21" s="59" t="str">
        <f aca="false">IF(設定!$D$32&lt;&gt;"",設定!$D$32,"")</f>
        <v/>
      </c>
      <c r="C21" s="60" t="str">
        <f aca="false">IF(OR(NOT(設定!$D$32&lt;&gt;""),設定!$C$32=""),"",設定!$C$32&amp;IF(ISNUMBER(設定!$C$32),"学期",""))</f>
        <v/>
      </c>
      <c r="D21" s="60" t="str">
        <f aca="false">IF(設定!$D$32&lt;&gt;"",単元16!$C$2,"")</f>
        <v/>
      </c>
      <c r="E21" s="61" t="str">
        <f aca="false">IF(NOT(設定!$D$32&lt;&gt;""),"",IF(COUNTIF(単元16!$E$5:$E$164,"?*")=0,"未着手",IF(AND(F21=0,G21=0),"完了",IF(G21=COUNTIF(単元16!$E$5:$E$164,"?*"),"評価前","入力中"))))</f>
        <v/>
      </c>
      <c r="F21" s="62" t="str">
        <f aca="false">IF(設定!$D$32&lt;&gt;"",単元16!$N$7,"")</f>
        <v/>
      </c>
      <c r="G21" s="62" t="str">
        <f aca="false">IF(設定!$D$32&lt;&gt;"",単元16!$N$8,"")</f>
        <v/>
      </c>
      <c r="H21" s="63" t="str">
        <f aca="false">IF(OR(NOT(設定!$D$32&lt;&gt;""),単元16!$L$2=""),"",単元16!$L$2&amp;IF(単元16!$M$2="","","（"&amp;単元16!$M$2&amp;"）"))</f>
        <v/>
      </c>
      <c r="I21" s="60" t="str">
        <f aca="false">IF(H21="","",単元16!$N$2)</f>
        <v/>
      </c>
      <c r="J21" s="62" t="str">
        <f aca="false">IF(H21="","",SUMPRODUCT((単元16!$E$5:$E$164=単元16!$L$2)*(((単元16!$F$5:$F$164="")+(単元16!$G$5:$G$164="")+(単元16!$H$5:$H$164=""))&gt;0)))</f>
        <v/>
      </c>
      <c r="K21" s="64" t="str">
        <f aca="false">IF(OR(NOT(設定!$D$32&lt;&gt;""),単元16!$L$3=""),"",単元16!$L$3&amp;IF(単元16!$M$3="","","（"&amp;単元16!$M$3&amp;"）"))</f>
        <v/>
      </c>
      <c r="L21" s="60" t="str">
        <f aca="false">IF(K21="","",単元16!$N$3)</f>
        <v/>
      </c>
      <c r="M21" s="62" t="str">
        <f aca="false">IF(K21="","",SUMPRODUCT((単元16!$E$5:$E$164=単元16!$L$3)*(((単元16!$F$5:$F$164="")+(単元16!$G$5:$G$164="")+(単元16!$H$5:$H$164=""))&gt;0)))</f>
        <v/>
      </c>
      <c r="N21" s="65" t="str">
        <f aca="false">IF(OR(NOT(設定!$D$32&lt;&gt;""),単元16!$L$4=""),"",単元16!$L$4&amp;IF(単元16!$M$4="","","（"&amp;単元16!$M$4&amp;"）"))</f>
        <v/>
      </c>
      <c r="O21" s="60" t="str">
        <f aca="false">IF(N21="","",単元16!$N$4)</f>
        <v/>
      </c>
      <c r="P21" s="62" t="str">
        <f aca="false">IF(N21="","",SUMPRODUCT((単元16!$E$5:$E$164=単元16!$L$4)*(((単元16!$F$5:$F$164="")+(単元16!$G$5:$G$164="")+(単元16!$H$5:$H$164=""))&gt;0)))</f>
        <v/>
      </c>
      <c r="Q21" s="66" t="str">
        <f aca="false">IF(OR(NOT(設定!$D$32&lt;&gt;""),単元16!$L$5=""),"",単元16!$L$5&amp;IF(単元16!$M$5="","","（"&amp;単元16!$M$5&amp;"）"))</f>
        <v/>
      </c>
      <c r="R21" s="60" t="str">
        <f aca="false">IF(Q21="","",単元16!$N$5)</f>
        <v/>
      </c>
      <c r="S21" s="62" t="str">
        <f aca="false">IF(Q21="","",SUMPRODUCT((単元16!$E$5:$E$164=単元16!$L$5)*(((単元16!$F$5:$F$164="")+(単元16!$G$5:$G$164="")+(単元16!$H$5:$H$164=""))&gt;0)))</f>
        <v/>
      </c>
      <c r="T21" s="67" t="str">
        <f aca="false">IF(OR(NOT(設定!$D$32&lt;&gt;""),単元16!$L$6=""),"",単元16!$L$6&amp;IF(単元16!$M$6="","","（"&amp;単元16!$M$6&amp;"）"))</f>
        <v/>
      </c>
      <c r="U21" s="60" t="str">
        <f aca="false">IF(T21="","",単元16!$N$6)</f>
        <v/>
      </c>
      <c r="V21" s="62" t="str">
        <f aca="false">IF(T21="","",SUMPRODUCT((単元16!$E$5:$E$164=単元16!$L$6)*(((単元16!$F$5:$F$164="")+(単元16!$G$5:$G$164="")+(単元16!$H$5:$H$164=""))&gt;0)))</f>
        <v/>
      </c>
    </row>
    <row r="22" customFormat="false" ht="24" hidden="false" customHeight="true" outlineLevel="0" collapsed="false">
      <c r="A22" s="58" t="n">
        <v>17</v>
      </c>
      <c r="B22" s="59" t="str">
        <f aca="false">IF(設定!$D$33&lt;&gt;"",設定!$D$33,"")</f>
        <v/>
      </c>
      <c r="C22" s="60" t="str">
        <f aca="false">IF(OR(NOT(設定!$D$33&lt;&gt;""),設定!$C$33=""),"",設定!$C$33&amp;IF(ISNUMBER(設定!$C$33),"学期",""))</f>
        <v/>
      </c>
      <c r="D22" s="60" t="str">
        <f aca="false">IF(設定!$D$33&lt;&gt;"",単元17!$C$2,"")</f>
        <v/>
      </c>
      <c r="E22" s="61" t="str">
        <f aca="false">IF(NOT(設定!$D$33&lt;&gt;""),"",IF(COUNTIF(単元17!$E$5:$E$164,"?*")=0,"未着手",IF(AND(F22=0,G22=0),"完了",IF(G22=COUNTIF(単元17!$E$5:$E$164,"?*"),"評価前","入力中"))))</f>
        <v/>
      </c>
      <c r="F22" s="62" t="str">
        <f aca="false">IF(設定!$D$33&lt;&gt;"",単元17!$N$7,"")</f>
        <v/>
      </c>
      <c r="G22" s="62" t="str">
        <f aca="false">IF(設定!$D$33&lt;&gt;"",単元17!$N$8,"")</f>
        <v/>
      </c>
      <c r="H22" s="63" t="str">
        <f aca="false">IF(OR(NOT(設定!$D$33&lt;&gt;""),単元17!$L$2=""),"",単元17!$L$2&amp;IF(単元17!$M$2="","","（"&amp;単元17!$M$2&amp;"）"))</f>
        <v/>
      </c>
      <c r="I22" s="60" t="str">
        <f aca="false">IF(H22="","",単元17!$N$2)</f>
        <v/>
      </c>
      <c r="J22" s="62" t="str">
        <f aca="false">IF(H22="","",SUMPRODUCT((単元17!$E$5:$E$164=単元17!$L$2)*(((単元17!$F$5:$F$164="")+(単元17!$G$5:$G$164="")+(単元17!$H$5:$H$164=""))&gt;0)))</f>
        <v/>
      </c>
      <c r="K22" s="64" t="str">
        <f aca="false">IF(OR(NOT(設定!$D$33&lt;&gt;""),単元17!$L$3=""),"",単元17!$L$3&amp;IF(単元17!$M$3="","","（"&amp;単元17!$M$3&amp;"）"))</f>
        <v/>
      </c>
      <c r="L22" s="60" t="str">
        <f aca="false">IF(K22="","",単元17!$N$3)</f>
        <v/>
      </c>
      <c r="M22" s="62" t="str">
        <f aca="false">IF(K22="","",SUMPRODUCT((単元17!$E$5:$E$164=単元17!$L$3)*(((単元17!$F$5:$F$164="")+(単元17!$G$5:$G$164="")+(単元17!$H$5:$H$164=""))&gt;0)))</f>
        <v/>
      </c>
      <c r="N22" s="65" t="str">
        <f aca="false">IF(OR(NOT(設定!$D$33&lt;&gt;""),単元17!$L$4=""),"",単元17!$L$4&amp;IF(単元17!$M$4="","","（"&amp;単元17!$M$4&amp;"）"))</f>
        <v/>
      </c>
      <c r="O22" s="60" t="str">
        <f aca="false">IF(N22="","",単元17!$N$4)</f>
        <v/>
      </c>
      <c r="P22" s="62" t="str">
        <f aca="false">IF(N22="","",SUMPRODUCT((単元17!$E$5:$E$164=単元17!$L$4)*(((単元17!$F$5:$F$164="")+(単元17!$G$5:$G$164="")+(単元17!$H$5:$H$164=""))&gt;0)))</f>
        <v/>
      </c>
      <c r="Q22" s="66" t="str">
        <f aca="false">IF(OR(NOT(設定!$D$33&lt;&gt;""),単元17!$L$5=""),"",単元17!$L$5&amp;IF(単元17!$M$5="","","（"&amp;単元17!$M$5&amp;"）"))</f>
        <v/>
      </c>
      <c r="R22" s="60" t="str">
        <f aca="false">IF(Q22="","",単元17!$N$5)</f>
        <v/>
      </c>
      <c r="S22" s="62" t="str">
        <f aca="false">IF(Q22="","",SUMPRODUCT((単元17!$E$5:$E$164=単元17!$L$5)*(((単元17!$F$5:$F$164="")+(単元17!$G$5:$G$164="")+(単元17!$H$5:$H$164=""))&gt;0)))</f>
        <v/>
      </c>
      <c r="T22" s="67" t="str">
        <f aca="false">IF(OR(NOT(設定!$D$33&lt;&gt;""),単元17!$L$6=""),"",単元17!$L$6&amp;IF(単元17!$M$6="","","（"&amp;単元17!$M$6&amp;"）"))</f>
        <v/>
      </c>
      <c r="U22" s="60" t="str">
        <f aca="false">IF(T22="","",単元17!$N$6)</f>
        <v/>
      </c>
      <c r="V22" s="62" t="str">
        <f aca="false">IF(T22="","",SUMPRODUCT((単元17!$E$5:$E$164=単元17!$L$6)*(((単元17!$F$5:$F$164="")+(単元17!$G$5:$G$164="")+(単元17!$H$5:$H$164=""))&gt;0)))</f>
        <v/>
      </c>
    </row>
    <row r="23" customFormat="false" ht="24" hidden="false" customHeight="true" outlineLevel="0" collapsed="false">
      <c r="A23" s="58" t="n">
        <v>18</v>
      </c>
      <c r="B23" s="59" t="str">
        <f aca="false">IF(設定!$D$34&lt;&gt;"",設定!$D$34,"")</f>
        <v/>
      </c>
      <c r="C23" s="60" t="str">
        <f aca="false">IF(OR(NOT(設定!$D$34&lt;&gt;""),設定!$C$34=""),"",設定!$C$34&amp;IF(ISNUMBER(設定!$C$34),"学期",""))</f>
        <v/>
      </c>
      <c r="D23" s="60" t="str">
        <f aca="false">IF(設定!$D$34&lt;&gt;"",単元18!$C$2,"")</f>
        <v/>
      </c>
      <c r="E23" s="61" t="str">
        <f aca="false">IF(NOT(設定!$D$34&lt;&gt;""),"",IF(COUNTIF(単元18!$E$5:$E$164,"?*")=0,"未着手",IF(AND(F23=0,G23=0),"完了",IF(G23=COUNTIF(単元18!$E$5:$E$164,"?*"),"評価前","入力中"))))</f>
        <v/>
      </c>
      <c r="F23" s="62" t="str">
        <f aca="false">IF(設定!$D$34&lt;&gt;"",単元18!$N$7,"")</f>
        <v/>
      </c>
      <c r="G23" s="62" t="str">
        <f aca="false">IF(設定!$D$34&lt;&gt;"",単元18!$N$8,"")</f>
        <v/>
      </c>
      <c r="H23" s="63" t="str">
        <f aca="false">IF(OR(NOT(設定!$D$34&lt;&gt;""),単元18!$L$2=""),"",単元18!$L$2&amp;IF(単元18!$M$2="","","（"&amp;単元18!$M$2&amp;"）"))</f>
        <v/>
      </c>
      <c r="I23" s="60" t="str">
        <f aca="false">IF(H23="","",単元18!$N$2)</f>
        <v/>
      </c>
      <c r="J23" s="62" t="str">
        <f aca="false">IF(H23="","",SUMPRODUCT((単元18!$E$5:$E$164=単元18!$L$2)*(((単元18!$F$5:$F$164="")+(単元18!$G$5:$G$164="")+(単元18!$H$5:$H$164=""))&gt;0)))</f>
        <v/>
      </c>
      <c r="K23" s="64" t="str">
        <f aca="false">IF(OR(NOT(設定!$D$34&lt;&gt;""),単元18!$L$3=""),"",単元18!$L$3&amp;IF(単元18!$M$3="","","（"&amp;単元18!$M$3&amp;"）"))</f>
        <v/>
      </c>
      <c r="L23" s="60" t="str">
        <f aca="false">IF(K23="","",単元18!$N$3)</f>
        <v/>
      </c>
      <c r="M23" s="62" t="str">
        <f aca="false">IF(K23="","",SUMPRODUCT((単元18!$E$5:$E$164=単元18!$L$3)*(((単元18!$F$5:$F$164="")+(単元18!$G$5:$G$164="")+(単元18!$H$5:$H$164=""))&gt;0)))</f>
        <v/>
      </c>
      <c r="N23" s="65" t="str">
        <f aca="false">IF(OR(NOT(設定!$D$34&lt;&gt;""),単元18!$L$4=""),"",単元18!$L$4&amp;IF(単元18!$M$4="","","（"&amp;単元18!$M$4&amp;"）"))</f>
        <v/>
      </c>
      <c r="O23" s="60" t="str">
        <f aca="false">IF(N23="","",単元18!$N$4)</f>
        <v/>
      </c>
      <c r="P23" s="62" t="str">
        <f aca="false">IF(N23="","",SUMPRODUCT((単元18!$E$5:$E$164=単元18!$L$4)*(((単元18!$F$5:$F$164="")+(単元18!$G$5:$G$164="")+(単元18!$H$5:$H$164=""))&gt;0)))</f>
        <v/>
      </c>
      <c r="Q23" s="66" t="str">
        <f aca="false">IF(OR(NOT(設定!$D$34&lt;&gt;""),単元18!$L$5=""),"",単元18!$L$5&amp;IF(単元18!$M$5="","","（"&amp;単元18!$M$5&amp;"）"))</f>
        <v/>
      </c>
      <c r="R23" s="60" t="str">
        <f aca="false">IF(Q23="","",単元18!$N$5)</f>
        <v/>
      </c>
      <c r="S23" s="62" t="str">
        <f aca="false">IF(Q23="","",SUMPRODUCT((単元18!$E$5:$E$164=単元18!$L$5)*(((単元18!$F$5:$F$164="")+(単元18!$G$5:$G$164="")+(単元18!$H$5:$H$164=""))&gt;0)))</f>
        <v/>
      </c>
      <c r="T23" s="67" t="str">
        <f aca="false">IF(OR(NOT(設定!$D$34&lt;&gt;""),単元18!$L$6=""),"",単元18!$L$6&amp;IF(単元18!$M$6="","","（"&amp;単元18!$M$6&amp;"）"))</f>
        <v/>
      </c>
      <c r="U23" s="60" t="str">
        <f aca="false">IF(T23="","",単元18!$N$6)</f>
        <v/>
      </c>
      <c r="V23" s="62" t="str">
        <f aca="false">IF(T23="","",SUMPRODUCT((単元18!$E$5:$E$164=単元18!$L$6)*(((単元18!$F$5:$F$164="")+(単元18!$G$5:$G$164="")+(単元18!$H$5:$H$164=""))&gt;0)))</f>
        <v/>
      </c>
    </row>
    <row r="24" customFormat="false" ht="24" hidden="false" customHeight="true" outlineLevel="0" collapsed="false">
      <c r="A24" s="58" t="n">
        <v>19</v>
      </c>
      <c r="B24" s="59" t="str">
        <f aca="false">IF(設定!$D$35&lt;&gt;"",設定!$D$35,"")</f>
        <v/>
      </c>
      <c r="C24" s="60" t="str">
        <f aca="false">IF(OR(NOT(設定!$D$35&lt;&gt;""),設定!$C$35=""),"",設定!$C$35&amp;IF(ISNUMBER(設定!$C$35),"学期",""))</f>
        <v/>
      </c>
      <c r="D24" s="60" t="str">
        <f aca="false">IF(設定!$D$35&lt;&gt;"",単元19!$C$2,"")</f>
        <v/>
      </c>
      <c r="E24" s="61" t="str">
        <f aca="false">IF(NOT(設定!$D$35&lt;&gt;""),"",IF(COUNTIF(単元19!$E$5:$E$164,"?*")=0,"未着手",IF(AND(F24=0,G24=0),"完了",IF(G24=COUNTIF(単元19!$E$5:$E$164,"?*"),"評価前","入力中"))))</f>
        <v/>
      </c>
      <c r="F24" s="62" t="str">
        <f aca="false">IF(設定!$D$35&lt;&gt;"",単元19!$N$7,"")</f>
        <v/>
      </c>
      <c r="G24" s="62" t="str">
        <f aca="false">IF(設定!$D$35&lt;&gt;"",単元19!$N$8,"")</f>
        <v/>
      </c>
      <c r="H24" s="63" t="str">
        <f aca="false">IF(OR(NOT(設定!$D$35&lt;&gt;""),単元19!$L$2=""),"",単元19!$L$2&amp;IF(単元19!$M$2="","","（"&amp;単元19!$M$2&amp;"）"))</f>
        <v/>
      </c>
      <c r="I24" s="60" t="str">
        <f aca="false">IF(H24="","",単元19!$N$2)</f>
        <v/>
      </c>
      <c r="J24" s="62" t="str">
        <f aca="false">IF(H24="","",SUMPRODUCT((単元19!$E$5:$E$164=単元19!$L$2)*(((単元19!$F$5:$F$164="")+(単元19!$G$5:$G$164="")+(単元19!$H$5:$H$164=""))&gt;0)))</f>
        <v/>
      </c>
      <c r="K24" s="64" t="str">
        <f aca="false">IF(OR(NOT(設定!$D$35&lt;&gt;""),単元19!$L$3=""),"",単元19!$L$3&amp;IF(単元19!$M$3="","","（"&amp;単元19!$M$3&amp;"）"))</f>
        <v/>
      </c>
      <c r="L24" s="60" t="str">
        <f aca="false">IF(K24="","",単元19!$N$3)</f>
        <v/>
      </c>
      <c r="M24" s="62" t="str">
        <f aca="false">IF(K24="","",SUMPRODUCT((単元19!$E$5:$E$164=単元19!$L$3)*(((単元19!$F$5:$F$164="")+(単元19!$G$5:$G$164="")+(単元19!$H$5:$H$164=""))&gt;0)))</f>
        <v/>
      </c>
      <c r="N24" s="65" t="str">
        <f aca="false">IF(OR(NOT(設定!$D$35&lt;&gt;""),単元19!$L$4=""),"",単元19!$L$4&amp;IF(単元19!$M$4="","","（"&amp;単元19!$M$4&amp;"）"))</f>
        <v/>
      </c>
      <c r="O24" s="60" t="str">
        <f aca="false">IF(N24="","",単元19!$N$4)</f>
        <v/>
      </c>
      <c r="P24" s="62" t="str">
        <f aca="false">IF(N24="","",SUMPRODUCT((単元19!$E$5:$E$164=単元19!$L$4)*(((単元19!$F$5:$F$164="")+(単元19!$G$5:$G$164="")+(単元19!$H$5:$H$164=""))&gt;0)))</f>
        <v/>
      </c>
      <c r="Q24" s="66" t="str">
        <f aca="false">IF(OR(NOT(設定!$D$35&lt;&gt;""),単元19!$L$5=""),"",単元19!$L$5&amp;IF(単元19!$M$5="","","（"&amp;単元19!$M$5&amp;"）"))</f>
        <v/>
      </c>
      <c r="R24" s="60" t="str">
        <f aca="false">IF(Q24="","",単元19!$N$5)</f>
        <v/>
      </c>
      <c r="S24" s="62" t="str">
        <f aca="false">IF(Q24="","",SUMPRODUCT((単元19!$E$5:$E$164=単元19!$L$5)*(((単元19!$F$5:$F$164="")+(単元19!$G$5:$G$164="")+(単元19!$H$5:$H$164=""))&gt;0)))</f>
        <v/>
      </c>
      <c r="T24" s="67" t="str">
        <f aca="false">IF(OR(NOT(設定!$D$35&lt;&gt;""),単元19!$L$6=""),"",単元19!$L$6&amp;IF(単元19!$M$6="","","（"&amp;単元19!$M$6&amp;"）"))</f>
        <v/>
      </c>
      <c r="U24" s="60" t="str">
        <f aca="false">IF(T24="","",単元19!$N$6)</f>
        <v/>
      </c>
      <c r="V24" s="62" t="str">
        <f aca="false">IF(T24="","",SUMPRODUCT((単元19!$E$5:$E$164=単元19!$L$6)*(((単元19!$F$5:$F$164="")+(単元19!$G$5:$G$164="")+(単元19!$H$5:$H$164=""))&gt;0)))</f>
        <v/>
      </c>
    </row>
    <row r="25" customFormat="false" ht="24" hidden="false" customHeight="true" outlineLevel="0" collapsed="false">
      <c r="A25" s="58" t="n">
        <v>20</v>
      </c>
      <c r="B25" s="59" t="str">
        <f aca="false">IF(設定!$D$36&lt;&gt;"",設定!$D$36,"")</f>
        <v/>
      </c>
      <c r="C25" s="60" t="str">
        <f aca="false">IF(OR(NOT(設定!$D$36&lt;&gt;""),設定!$C$36=""),"",設定!$C$36&amp;IF(ISNUMBER(設定!$C$36),"学期",""))</f>
        <v/>
      </c>
      <c r="D25" s="60" t="str">
        <f aca="false">IF(設定!$D$36&lt;&gt;"",単元20!$C$2,"")</f>
        <v/>
      </c>
      <c r="E25" s="61" t="str">
        <f aca="false">IF(NOT(設定!$D$36&lt;&gt;""),"",IF(COUNTIF(単元20!$E$5:$E$164,"?*")=0,"未着手",IF(AND(F25=0,G25=0),"完了",IF(G25=COUNTIF(単元20!$E$5:$E$164,"?*"),"評価前","入力中"))))</f>
        <v/>
      </c>
      <c r="F25" s="62" t="str">
        <f aca="false">IF(設定!$D$36&lt;&gt;"",単元20!$N$7,"")</f>
        <v/>
      </c>
      <c r="G25" s="62" t="str">
        <f aca="false">IF(設定!$D$36&lt;&gt;"",単元20!$N$8,"")</f>
        <v/>
      </c>
      <c r="H25" s="63" t="str">
        <f aca="false">IF(OR(NOT(設定!$D$36&lt;&gt;""),単元20!$L$2=""),"",単元20!$L$2&amp;IF(単元20!$M$2="","","（"&amp;単元20!$M$2&amp;"）"))</f>
        <v/>
      </c>
      <c r="I25" s="60" t="str">
        <f aca="false">IF(H25="","",単元20!$N$2)</f>
        <v/>
      </c>
      <c r="J25" s="62" t="str">
        <f aca="false">IF(H25="","",SUMPRODUCT((単元20!$E$5:$E$164=単元20!$L$2)*(((単元20!$F$5:$F$164="")+(単元20!$G$5:$G$164="")+(単元20!$H$5:$H$164=""))&gt;0)))</f>
        <v/>
      </c>
      <c r="K25" s="64" t="str">
        <f aca="false">IF(OR(NOT(設定!$D$36&lt;&gt;""),単元20!$L$3=""),"",単元20!$L$3&amp;IF(単元20!$M$3="","","（"&amp;単元20!$M$3&amp;"）"))</f>
        <v/>
      </c>
      <c r="L25" s="60" t="str">
        <f aca="false">IF(K25="","",単元20!$N$3)</f>
        <v/>
      </c>
      <c r="M25" s="62" t="str">
        <f aca="false">IF(K25="","",SUMPRODUCT((単元20!$E$5:$E$164=単元20!$L$3)*(((単元20!$F$5:$F$164="")+(単元20!$G$5:$G$164="")+(単元20!$H$5:$H$164=""))&gt;0)))</f>
        <v/>
      </c>
      <c r="N25" s="65" t="str">
        <f aca="false">IF(OR(NOT(設定!$D$36&lt;&gt;""),単元20!$L$4=""),"",単元20!$L$4&amp;IF(単元20!$M$4="","","（"&amp;単元20!$M$4&amp;"）"))</f>
        <v/>
      </c>
      <c r="O25" s="60" t="str">
        <f aca="false">IF(N25="","",単元20!$N$4)</f>
        <v/>
      </c>
      <c r="P25" s="62" t="str">
        <f aca="false">IF(N25="","",SUMPRODUCT((単元20!$E$5:$E$164=単元20!$L$4)*(((単元20!$F$5:$F$164="")+(単元20!$G$5:$G$164="")+(単元20!$H$5:$H$164=""))&gt;0)))</f>
        <v/>
      </c>
      <c r="Q25" s="66" t="str">
        <f aca="false">IF(OR(NOT(設定!$D$36&lt;&gt;""),単元20!$L$5=""),"",単元20!$L$5&amp;IF(単元20!$M$5="","","（"&amp;単元20!$M$5&amp;"）"))</f>
        <v/>
      </c>
      <c r="R25" s="60" t="str">
        <f aca="false">IF(Q25="","",単元20!$N$5)</f>
        <v/>
      </c>
      <c r="S25" s="62" t="str">
        <f aca="false">IF(Q25="","",SUMPRODUCT((単元20!$E$5:$E$164=単元20!$L$5)*(((単元20!$F$5:$F$164="")+(単元20!$G$5:$G$164="")+(単元20!$H$5:$H$164=""))&gt;0)))</f>
        <v/>
      </c>
      <c r="T25" s="67" t="str">
        <f aca="false">IF(OR(NOT(設定!$D$36&lt;&gt;""),単元20!$L$6=""),"",単元20!$L$6&amp;IF(単元20!$M$6="","","（"&amp;単元20!$M$6&amp;"）"))</f>
        <v/>
      </c>
      <c r="U25" s="60" t="str">
        <f aca="false">IF(T25="","",単元20!$N$6)</f>
        <v/>
      </c>
      <c r="V25" s="62" t="str">
        <f aca="false">IF(T25="","",SUMPRODUCT((単元20!$E$5:$E$164=単元20!$L$6)*(((単元20!$F$5:$F$164="")+(単元20!$G$5:$G$164="")+(単元20!$H$5:$H$164=""))&gt;0)))</f>
        <v/>
      </c>
    </row>
  </sheetData>
  <sheetProtection sheet="true" formatColumns="false" formatRows="false"/>
  <mergeCells count="13">
    <mergeCell ref="A1:V1"/>
    <mergeCell ref="A4:A5"/>
    <mergeCell ref="B4:B5"/>
    <mergeCell ref="C4:C5"/>
    <mergeCell ref="D4:D5"/>
    <mergeCell ref="E4:E5"/>
    <mergeCell ref="F4:F5"/>
    <mergeCell ref="G4:G5"/>
    <mergeCell ref="H4:J4"/>
    <mergeCell ref="K4:M4"/>
    <mergeCell ref="N4:P4"/>
    <mergeCell ref="Q4:S4"/>
    <mergeCell ref="T4:V4"/>
  </mergeCells>
  <conditionalFormatting sqref="A6:D25">
    <cfRule type="expression" priority="2" aboveAverage="0" equalAverage="0" bottom="0" percent="0" rank="0" text="" dxfId="8">
      <formula>$B6&lt;&gt;""</formula>
    </cfRule>
  </conditionalFormatting>
  <conditionalFormatting sqref="E6:E25">
    <cfRule type="expression" priority="3" aboveAverage="0" equalAverage="0" bottom="0" percent="0" rank="0" text="" dxfId="9">
      <formula>$E6="完了"</formula>
    </cfRule>
    <cfRule type="expression" priority="4" aboveAverage="0" equalAverage="0" bottom="0" percent="0" rank="0" text="" dxfId="10">
      <formula>$E6="入力中"</formula>
    </cfRule>
    <cfRule type="expression" priority="5" aboveAverage="0" equalAverage="0" bottom="0" percent="0" rank="0" text="" dxfId="11">
      <formula>$B6&lt;&gt;""</formula>
    </cfRule>
  </conditionalFormatting>
  <conditionalFormatting sqref="F6:G25 J6:J25 M6:M25 P6:P25 S6:S25 V6:V25">
    <cfRule type="expression" priority="6" aboveAverage="0" equalAverage="0" bottom="0" percent="0" rank="0" text="" dxfId="12">
      <formula>AND(F6&lt;&gt;"",F6&gt;0)</formula>
    </cfRule>
    <cfRule type="expression" priority="7" aboveAverage="0" equalAverage="0" bottom="0" percent="0" rank="0" text="" dxfId="13">
      <formula>AND(F6&lt;&gt;"",F6=0)</formula>
    </cfRule>
  </conditionalFormatting>
  <conditionalFormatting sqref="H6:I25 K6:L25 N6:O25 Q6:R25 T6:U25">
    <cfRule type="expression" priority="8" aboveAverage="0" equalAverage="0" bottom="0" percent="0" rank="0" text="" dxfId="8">
      <formula>H6&lt;&gt;""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Z5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true" outlineLevel="0" max="1" min="1" style="0" width="13"/>
    <col collapsed="false" customWidth="true" hidden="false" outlineLevel="0" max="2" min="2" style="0" width="7"/>
    <col collapsed="false" customWidth="true" hidden="false" outlineLevel="0" max="3" min="3" style="0" width="15"/>
    <col collapsed="false" customWidth="true" hidden="false" outlineLevel="0" max="6" min="4" style="0" width="4"/>
    <col collapsed="false" customWidth="true" hidden="false" outlineLevel="0" max="7" min="7" style="0" width="2"/>
    <col collapsed="false" customWidth="true" hidden="true" outlineLevel="0" max="8" min="8" style="0" width="13"/>
    <col collapsed="false" customWidth="true" hidden="false" outlineLevel="0" max="9" min="9" style="0" width="7"/>
    <col collapsed="false" customWidth="true" hidden="false" outlineLevel="0" max="10" min="10" style="0" width="15"/>
    <col collapsed="false" customWidth="true" hidden="false" outlineLevel="0" max="13" min="11" style="0" width="4"/>
    <col collapsed="false" customWidth="true" hidden="false" outlineLevel="0" max="14" min="14" style="0" width="2"/>
    <col collapsed="false" customWidth="true" hidden="true" outlineLevel="0" max="15" min="15" style="0" width="13"/>
    <col collapsed="false" customWidth="true" hidden="false" outlineLevel="0" max="16" min="16" style="0" width="7"/>
    <col collapsed="false" customWidth="true" hidden="false" outlineLevel="0" max="17" min="17" style="0" width="15"/>
    <col collapsed="false" customWidth="true" hidden="false" outlineLevel="0" max="20" min="18" style="0" width="4"/>
    <col collapsed="false" customWidth="true" hidden="false" outlineLevel="0" max="21" min="21" style="0" width="2"/>
    <col collapsed="false" customWidth="true" hidden="true" outlineLevel="0" max="22" min="22" style="0" width="13"/>
    <col collapsed="false" customWidth="true" hidden="false" outlineLevel="0" max="23" min="23" style="0" width="7"/>
    <col collapsed="false" customWidth="true" hidden="false" outlineLevel="0" max="24" min="24" style="0" width="15"/>
    <col collapsed="false" customWidth="true" hidden="false" outlineLevel="0" max="27" min="25" style="0" width="4"/>
    <col collapsed="false" customWidth="true" hidden="false" outlineLevel="0" max="28" min="28" style="0" width="2"/>
    <col collapsed="false" customWidth="true" hidden="true" outlineLevel="0" max="29" min="29" style="0" width="13"/>
    <col collapsed="false" customWidth="true" hidden="false" outlineLevel="0" max="30" min="30" style="0" width="7"/>
    <col collapsed="false" customWidth="true" hidden="false" outlineLevel="0" max="31" min="31" style="0" width="15"/>
    <col collapsed="false" customWidth="true" hidden="false" outlineLevel="0" max="34" min="32" style="0" width="4"/>
    <col collapsed="false" customWidth="true" hidden="false" outlineLevel="0" max="35" min="35" style="0" width="2"/>
    <col collapsed="false" customWidth="true" hidden="true" outlineLevel="0" max="52" min="52" style="0" width="13"/>
  </cols>
  <sheetData>
    <row r="1" customFormat="false" ht="33.75" hidden="false" customHeight="true" outlineLevel="0" collapsed="false">
      <c r="A1" s="14" t="str">
        <f aca="false">"コース別名簿"&amp;IF(設定!$D$4="","","　"&amp;設定!$D$4&amp;"年度")&amp;IF(設定!$D$5="","","　"&amp;設定!$D$5)</f>
        <v>コース別名簿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68" t="str">
        <f aca="false">"'単元"&amp;TEXT($C$2,"00")&amp;"'!"</f>
        <v>'単元01'!</v>
      </c>
    </row>
    <row r="2" customFormat="false" ht="27.75" hidden="false" customHeight="true" outlineLevel="0" collapsed="false">
      <c r="A2" s="13"/>
      <c r="B2" s="16" t="s">
        <v>142</v>
      </c>
      <c r="C2" s="69" t="n">
        <v>1</v>
      </c>
      <c r="D2" s="70" t="str">
        <f aca="true">IFERROR("単元"&amp;$C$2&amp;"　"&amp;INDEX(設定!$D$17:$D$36,$C$2)&amp;"　　（"&amp;INDIRECT($AZ$1&amp;"$C$2")&amp;"）","")</f>
        <v>単元1　　　（習熟度別）</v>
      </c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68" t="n">
        <f aca="true">IFERROR(MAX(INDIRECT($AZ$1&amp;"$N$2:$N$6")),0)</f>
        <v>0</v>
      </c>
    </row>
    <row r="3" customFormat="false" ht="15" hidden="false" customHeight="false" outlineLevel="0" collapsed="false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68" t="n">
        <f aca="true">IFERROR(COUNTIF(INDIRECT($AZ$1&amp;"$L$2:$L$6"),"?*"),0)</f>
        <v>4</v>
      </c>
    </row>
    <row r="4" customFormat="false" ht="25.5" hidden="false" customHeight="true" outlineLevel="0" collapsed="false">
      <c r="A4" s="13"/>
      <c r="B4" s="71" t="str">
        <f aca="true">IFERROR(INDIRECT($AZ$1&amp;"$L$2")&amp;"","")</f>
        <v>深める</v>
      </c>
      <c r="C4" s="71"/>
      <c r="D4" s="72" t="str">
        <f aca="true">IFERROR(IF(INDIRECT($AZ$1&amp;"$L$2")="","",INDIRECT($AZ$1&amp;"$N$2")&amp;"名"),"")</f>
        <v>0名</v>
      </c>
      <c r="E4" s="72"/>
      <c r="F4" s="72"/>
      <c r="G4" s="13"/>
      <c r="H4" s="13"/>
      <c r="I4" s="73" t="str">
        <f aca="true">IFERROR(INDIRECT($AZ$1&amp;"$L$3")&amp;"","")</f>
        <v>広げるA</v>
      </c>
      <c r="J4" s="73"/>
      <c r="K4" s="74" t="str">
        <f aca="true">IFERROR(IF(INDIRECT($AZ$1&amp;"$L$3")="","",INDIRECT($AZ$1&amp;"$N$3")&amp;"名"),"")</f>
        <v>0名</v>
      </c>
      <c r="L4" s="74"/>
      <c r="M4" s="74"/>
      <c r="N4" s="13"/>
      <c r="O4" s="13"/>
      <c r="P4" s="75" t="str">
        <f aca="true">IFERROR(INDIRECT($AZ$1&amp;"$L$4")&amp;"","")</f>
        <v>広げるB</v>
      </c>
      <c r="Q4" s="75"/>
      <c r="R4" s="76" t="str">
        <f aca="true">IFERROR(IF(INDIRECT($AZ$1&amp;"$L$4")="","",INDIRECT($AZ$1&amp;"$N$4")&amp;"名"),"")</f>
        <v>0名</v>
      </c>
      <c r="S4" s="76"/>
      <c r="T4" s="76"/>
      <c r="U4" s="13"/>
      <c r="V4" s="13"/>
      <c r="W4" s="77" t="str">
        <f aca="true">IFERROR(INDIRECT($AZ$1&amp;"$L$5")&amp;"","")</f>
        <v>かためる</v>
      </c>
      <c r="X4" s="77"/>
      <c r="Y4" s="78" t="str">
        <f aca="true">IFERROR(IF(INDIRECT($AZ$1&amp;"$L$5")="","",INDIRECT($AZ$1&amp;"$N$5")&amp;"名"),"")</f>
        <v>0名</v>
      </c>
      <c r="Z4" s="78"/>
      <c r="AA4" s="78"/>
      <c r="AB4" s="13"/>
      <c r="AC4" s="13"/>
      <c r="AD4" s="79" t="str">
        <f aca="true">IFERROR(INDIRECT($AZ$1&amp;"$L$6")&amp;"","")</f>
        <v/>
      </c>
      <c r="AE4" s="79"/>
      <c r="AF4" s="80" t="str">
        <f aca="true">IFERROR(IF(INDIRECT($AZ$1&amp;"$L$6")="","",INDIRECT($AZ$1&amp;"$N$6")&amp;"名"),"")</f>
        <v/>
      </c>
      <c r="AG4" s="80"/>
      <c r="AH4" s="80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</row>
    <row r="5" customFormat="false" ht="18" hidden="false" customHeight="true" outlineLevel="0" collapsed="false">
      <c r="A5" s="13"/>
      <c r="B5" s="81" t="str">
        <f aca="true">IFERROR(IF(INDIRECT($AZ$1&amp;"$L$2")="","",IF(INDIRECT($AZ$1&amp;"$M$2")="","担当：","担当：")&amp;INDIRECT($AZ$1&amp;"$M$2")),"")</f>
        <v>担当：</v>
      </c>
      <c r="C5" s="81"/>
      <c r="D5" s="82" t="str">
        <f aca="false">IF(B$4="","",設定!$I$8)</f>
        <v>知</v>
      </c>
      <c r="E5" s="82" t="str">
        <f aca="false">IF(B$4="","",設定!$I$9)</f>
        <v>思</v>
      </c>
      <c r="F5" s="82" t="str">
        <f aca="false">IF(B$4="","",設定!$I$10)</f>
        <v>態</v>
      </c>
      <c r="G5" s="13"/>
      <c r="H5" s="13"/>
      <c r="I5" s="83" t="str">
        <f aca="true">IFERROR(IF(INDIRECT($AZ$1&amp;"$L$3")="","",IF(INDIRECT($AZ$1&amp;"$M$3")="","担当：","担当：")&amp;INDIRECT($AZ$1&amp;"$M$3")),"")</f>
        <v>担当：</v>
      </c>
      <c r="J5" s="83"/>
      <c r="K5" s="84" t="str">
        <f aca="false">IF(I$4="","",設定!$I$8)</f>
        <v>知</v>
      </c>
      <c r="L5" s="84" t="str">
        <f aca="false">IF(I$4="","",設定!$I$9)</f>
        <v>思</v>
      </c>
      <c r="M5" s="84" t="str">
        <f aca="false">IF(I$4="","",設定!$I$10)</f>
        <v>態</v>
      </c>
      <c r="N5" s="13"/>
      <c r="O5" s="13"/>
      <c r="P5" s="85" t="str">
        <f aca="true">IFERROR(IF(INDIRECT($AZ$1&amp;"$L$4")="","",IF(INDIRECT($AZ$1&amp;"$M$4")="","担当：","担当：")&amp;INDIRECT($AZ$1&amp;"$M$4")),"")</f>
        <v>担当：</v>
      </c>
      <c r="Q5" s="85"/>
      <c r="R5" s="86" t="str">
        <f aca="false">IF(P$4="","",設定!$I$8)</f>
        <v>知</v>
      </c>
      <c r="S5" s="86" t="str">
        <f aca="false">IF(P$4="","",設定!$I$9)</f>
        <v>思</v>
      </c>
      <c r="T5" s="86" t="str">
        <f aca="false">IF(P$4="","",設定!$I$10)</f>
        <v>態</v>
      </c>
      <c r="U5" s="13"/>
      <c r="V5" s="13"/>
      <c r="W5" s="87" t="str">
        <f aca="true">IFERROR(IF(INDIRECT($AZ$1&amp;"$L$5")="","",IF(INDIRECT($AZ$1&amp;"$M$5")="","担当：","担当：")&amp;INDIRECT($AZ$1&amp;"$M$5")),"")</f>
        <v>担当：</v>
      </c>
      <c r="X5" s="87"/>
      <c r="Y5" s="88" t="str">
        <f aca="false">IF(W$4="","",設定!$I$8)</f>
        <v>知</v>
      </c>
      <c r="Z5" s="88" t="str">
        <f aca="false">IF(W$4="","",設定!$I$9)</f>
        <v>思</v>
      </c>
      <c r="AA5" s="88" t="str">
        <f aca="false">IF(W$4="","",設定!$I$10)</f>
        <v>態</v>
      </c>
      <c r="AB5" s="13"/>
      <c r="AC5" s="13"/>
      <c r="AD5" s="89" t="str">
        <f aca="true">IFERROR(IF(INDIRECT($AZ$1&amp;"$L$6")="","",IF(INDIRECT($AZ$1&amp;"$M$6")="","担当：","担当：")&amp;INDIRECT($AZ$1&amp;"$M$6")),"")</f>
        <v/>
      </c>
      <c r="AE5" s="89"/>
      <c r="AF5" s="90" t="str">
        <f aca="false">IF(AD$4="","",設定!$I$8)</f>
        <v/>
      </c>
      <c r="AG5" s="90" t="str">
        <f aca="false">IF(AD$4="","",設定!$I$9)</f>
        <v/>
      </c>
      <c r="AH5" s="90" t="str">
        <f aca="false">IF(AD$4="","",設定!$I$10)</f>
        <v/>
      </c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</row>
    <row r="6" customFormat="false" ht="18.75" hidden="false" customHeight="true" outlineLevel="0" collapsed="false">
      <c r="A6" s="41" t="str">
        <f aca="true">IFERROR(IF(B$4="","",MATCH(B$4&amp;"|"&amp;1,INDIRECT($AZ$1&amp;"$J$5:$J$164"),0)),"")</f>
        <v/>
      </c>
      <c r="B6" s="91" t="str">
        <f aca="true">IF(A6="","",SUBSTITUTE(INDEX(INDIRECT($AZ$1&amp;"$A$5:$A$164"),A6),"組","")&amp;"-"&amp;INDEX(INDIRECT($AZ$1&amp;"$B$5:$B$164"),A6))</f>
        <v/>
      </c>
      <c r="C6" s="59" t="str">
        <f aca="true">IF(A6="","",INDEX(INDIRECT($AZ$1&amp;"$C$5:$C$164"),A6))</f>
        <v/>
      </c>
      <c r="D6" s="61" t="str">
        <f aca="true">IF(A6="","",INDEX(INDIRECT($AZ$1&amp;"$F$5:$F$164"),A6)&amp;"")</f>
        <v/>
      </c>
      <c r="E6" s="61" t="str">
        <f aca="true">IF(A6="","",INDEX(INDIRECT($AZ$1&amp;"$G$5:$G$164"),A6)&amp;"")</f>
        <v/>
      </c>
      <c r="F6" s="61" t="str">
        <f aca="true">IF(A6="","",INDEX(INDIRECT($AZ$1&amp;"$H$5:$H$164"),A6)&amp;"")</f>
        <v/>
      </c>
      <c r="G6" s="13"/>
      <c r="H6" s="41" t="str">
        <f aca="true">IFERROR(IF(I$4="","",MATCH(I$4&amp;"|"&amp;1,INDIRECT($AZ$1&amp;"$J$5:$J$164"),0)),"")</f>
        <v/>
      </c>
      <c r="I6" s="91" t="str">
        <f aca="true">IF(H6="","",SUBSTITUTE(INDEX(INDIRECT($AZ$1&amp;"$A$5:$A$164"),H6),"組","")&amp;"-"&amp;INDEX(INDIRECT($AZ$1&amp;"$B$5:$B$164"),H6))</f>
        <v/>
      </c>
      <c r="J6" s="59" t="str">
        <f aca="true">IF(H6="","",INDEX(INDIRECT($AZ$1&amp;"$C$5:$C$164"),H6))</f>
        <v/>
      </c>
      <c r="K6" s="61" t="str">
        <f aca="true">IF(H6="","",INDEX(INDIRECT($AZ$1&amp;"$F$5:$F$164"),H6)&amp;"")</f>
        <v/>
      </c>
      <c r="L6" s="61" t="str">
        <f aca="true">IF(H6="","",INDEX(INDIRECT($AZ$1&amp;"$G$5:$G$164"),H6)&amp;"")</f>
        <v/>
      </c>
      <c r="M6" s="61" t="str">
        <f aca="true">IF(H6="","",INDEX(INDIRECT($AZ$1&amp;"$H$5:$H$164"),H6)&amp;"")</f>
        <v/>
      </c>
      <c r="N6" s="13"/>
      <c r="O6" s="41" t="str">
        <f aca="true">IFERROR(IF(P$4="","",MATCH(P$4&amp;"|"&amp;1,INDIRECT($AZ$1&amp;"$J$5:$J$164"),0)),"")</f>
        <v/>
      </c>
      <c r="P6" s="91" t="str">
        <f aca="true">IF(O6="","",SUBSTITUTE(INDEX(INDIRECT($AZ$1&amp;"$A$5:$A$164"),O6),"組","")&amp;"-"&amp;INDEX(INDIRECT($AZ$1&amp;"$B$5:$B$164"),O6))</f>
        <v/>
      </c>
      <c r="Q6" s="59" t="str">
        <f aca="true">IF(O6="","",INDEX(INDIRECT($AZ$1&amp;"$C$5:$C$164"),O6))</f>
        <v/>
      </c>
      <c r="R6" s="61" t="str">
        <f aca="true">IF(O6="","",INDEX(INDIRECT($AZ$1&amp;"$F$5:$F$164"),O6)&amp;"")</f>
        <v/>
      </c>
      <c r="S6" s="61" t="str">
        <f aca="true">IF(O6="","",INDEX(INDIRECT($AZ$1&amp;"$G$5:$G$164"),O6)&amp;"")</f>
        <v/>
      </c>
      <c r="T6" s="61" t="str">
        <f aca="true">IF(O6="","",INDEX(INDIRECT($AZ$1&amp;"$H$5:$H$164"),O6)&amp;"")</f>
        <v/>
      </c>
      <c r="U6" s="13"/>
      <c r="V6" s="41" t="str">
        <f aca="true">IFERROR(IF(W$4="","",MATCH(W$4&amp;"|"&amp;1,INDIRECT($AZ$1&amp;"$J$5:$J$164"),0)),"")</f>
        <v/>
      </c>
      <c r="W6" s="91" t="str">
        <f aca="true">IF(V6="","",SUBSTITUTE(INDEX(INDIRECT($AZ$1&amp;"$A$5:$A$164"),V6),"組","")&amp;"-"&amp;INDEX(INDIRECT($AZ$1&amp;"$B$5:$B$164"),V6))</f>
        <v/>
      </c>
      <c r="X6" s="59" t="str">
        <f aca="true">IF(V6="","",INDEX(INDIRECT($AZ$1&amp;"$C$5:$C$164"),V6))</f>
        <v/>
      </c>
      <c r="Y6" s="61" t="str">
        <f aca="true">IF(V6="","",INDEX(INDIRECT($AZ$1&amp;"$F$5:$F$164"),V6)&amp;"")</f>
        <v/>
      </c>
      <c r="Z6" s="61" t="str">
        <f aca="true">IF(V6="","",INDEX(INDIRECT($AZ$1&amp;"$G$5:$G$164"),V6)&amp;"")</f>
        <v/>
      </c>
      <c r="AA6" s="61" t="str">
        <f aca="true">IF(V6="","",INDEX(INDIRECT($AZ$1&amp;"$H$5:$H$164"),V6)&amp;"")</f>
        <v/>
      </c>
      <c r="AB6" s="13"/>
      <c r="AC6" s="41" t="str">
        <f aca="true">IFERROR(IF(AD$4="","",MATCH(AD$4&amp;"|"&amp;1,INDIRECT($AZ$1&amp;"$J$5:$J$164"),0)),"")</f>
        <v/>
      </c>
      <c r="AD6" s="91" t="str">
        <f aca="true">IF(AC6="","",SUBSTITUTE(INDEX(INDIRECT($AZ$1&amp;"$A$5:$A$164"),AC6),"組","")&amp;"-"&amp;INDEX(INDIRECT($AZ$1&amp;"$B$5:$B$164"),AC6))</f>
        <v/>
      </c>
      <c r="AE6" s="59" t="str">
        <f aca="true">IF(AC6="","",INDEX(INDIRECT($AZ$1&amp;"$C$5:$C$164"),AC6))</f>
        <v/>
      </c>
      <c r="AF6" s="61" t="str">
        <f aca="true">IF(AC6="","",INDEX(INDIRECT($AZ$1&amp;"$F$5:$F$164"),AC6)&amp;"")</f>
        <v/>
      </c>
      <c r="AG6" s="61" t="str">
        <f aca="true">IF(AC6="","",INDEX(INDIRECT($AZ$1&amp;"$G$5:$G$164"),AC6)&amp;"")</f>
        <v/>
      </c>
      <c r="AH6" s="61" t="str">
        <f aca="true">IF(AC6="","",INDEX(INDIRECT($AZ$1&amp;"$H$5:$H$164"),AC6)&amp;"")</f>
        <v/>
      </c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</row>
    <row r="7" customFormat="false" ht="18.75" hidden="false" customHeight="true" outlineLevel="0" collapsed="false">
      <c r="A7" s="41" t="str">
        <f aca="true">IFERROR(IF(B$4="","",MATCH(B$4&amp;"|"&amp;2,INDIRECT($AZ$1&amp;"$J$5:$J$164"),0)),"")</f>
        <v/>
      </c>
      <c r="B7" s="91" t="str">
        <f aca="true">IF(A7="","",SUBSTITUTE(INDEX(INDIRECT($AZ$1&amp;"$A$5:$A$164"),A7),"組","")&amp;"-"&amp;INDEX(INDIRECT($AZ$1&amp;"$B$5:$B$164"),A7))</f>
        <v/>
      </c>
      <c r="C7" s="59" t="str">
        <f aca="true">IF(A7="","",INDEX(INDIRECT($AZ$1&amp;"$C$5:$C$164"),A7))</f>
        <v/>
      </c>
      <c r="D7" s="61" t="str">
        <f aca="true">IF(A7="","",INDEX(INDIRECT($AZ$1&amp;"$F$5:$F$164"),A7)&amp;"")</f>
        <v/>
      </c>
      <c r="E7" s="61" t="str">
        <f aca="true">IF(A7="","",INDEX(INDIRECT($AZ$1&amp;"$G$5:$G$164"),A7)&amp;"")</f>
        <v/>
      </c>
      <c r="F7" s="61" t="str">
        <f aca="true">IF(A7="","",INDEX(INDIRECT($AZ$1&amp;"$H$5:$H$164"),A7)&amp;"")</f>
        <v/>
      </c>
      <c r="G7" s="13"/>
      <c r="H7" s="41" t="str">
        <f aca="true">IFERROR(IF(I$4="","",MATCH(I$4&amp;"|"&amp;2,INDIRECT($AZ$1&amp;"$J$5:$J$164"),0)),"")</f>
        <v/>
      </c>
      <c r="I7" s="91" t="str">
        <f aca="true">IF(H7="","",SUBSTITUTE(INDEX(INDIRECT($AZ$1&amp;"$A$5:$A$164"),H7),"組","")&amp;"-"&amp;INDEX(INDIRECT($AZ$1&amp;"$B$5:$B$164"),H7))</f>
        <v/>
      </c>
      <c r="J7" s="59" t="str">
        <f aca="true">IF(H7="","",INDEX(INDIRECT($AZ$1&amp;"$C$5:$C$164"),H7))</f>
        <v/>
      </c>
      <c r="K7" s="61" t="str">
        <f aca="true">IF(H7="","",INDEX(INDIRECT($AZ$1&amp;"$F$5:$F$164"),H7)&amp;"")</f>
        <v/>
      </c>
      <c r="L7" s="61" t="str">
        <f aca="true">IF(H7="","",INDEX(INDIRECT($AZ$1&amp;"$G$5:$G$164"),H7)&amp;"")</f>
        <v/>
      </c>
      <c r="M7" s="61" t="str">
        <f aca="true">IF(H7="","",INDEX(INDIRECT($AZ$1&amp;"$H$5:$H$164"),H7)&amp;"")</f>
        <v/>
      </c>
      <c r="N7" s="13"/>
      <c r="O7" s="41" t="str">
        <f aca="true">IFERROR(IF(P$4="","",MATCH(P$4&amp;"|"&amp;2,INDIRECT($AZ$1&amp;"$J$5:$J$164"),0)),"")</f>
        <v/>
      </c>
      <c r="P7" s="91" t="str">
        <f aca="true">IF(O7="","",SUBSTITUTE(INDEX(INDIRECT($AZ$1&amp;"$A$5:$A$164"),O7),"組","")&amp;"-"&amp;INDEX(INDIRECT($AZ$1&amp;"$B$5:$B$164"),O7))</f>
        <v/>
      </c>
      <c r="Q7" s="59" t="str">
        <f aca="true">IF(O7="","",INDEX(INDIRECT($AZ$1&amp;"$C$5:$C$164"),O7))</f>
        <v/>
      </c>
      <c r="R7" s="61" t="str">
        <f aca="true">IF(O7="","",INDEX(INDIRECT($AZ$1&amp;"$F$5:$F$164"),O7)&amp;"")</f>
        <v/>
      </c>
      <c r="S7" s="61" t="str">
        <f aca="true">IF(O7="","",INDEX(INDIRECT($AZ$1&amp;"$G$5:$G$164"),O7)&amp;"")</f>
        <v/>
      </c>
      <c r="T7" s="61" t="str">
        <f aca="true">IF(O7="","",INDEX(INDIRECT($AZ$1&amp;"$H$5:$H$164"),O7)&amp;"")</f>
        <v/>
      </c>
      <c r="U7" s="13"/>
      <c r="V7" s="41" t="str">
        <f aca="true">IFERROR(IF(W$4="","",MATCH(W$4&amp;"|"&amp;2,INDIRECT($AZ$1&amp;"$J$5:$J$164"),0)),"")</f>
        <v/>
      </c>
      <c r="W7" s="91" t="str">
        <f aca="true">IF(V7="","",SUBSTITUTE(INDEX(INDIRECT($AZ$1&amp;"$A$5:$A$164"),V7),"組","")&amp;"-"&amp;INDEX(INDIRECT($AZ$1&amp;"$B$5:$B$164"),V7))</f>
        <v/>
      </c>
      <c r="X7" s="59" t="str">
        <f aca="true">IF(V7="","",INDEX(INDIRECT($AZ$1&amp;"$C$5:$C$164"),V7))</f>
        <v/>
      </c>
      <c r="Y7" s="61" t="str">
        <f aca="true">IF(V7="","",INDEX(INDIRECT($AZ$1&amp;"$F$5:$F$164"),V7)&amp;"")</f>
        <v/>
      </c>
      <c r="Z7" s="61" t="str">
        <f aca="true">IF(V7="","",INDEX(INDIRECT($AZ$1&amp;"$G$5:$G$164"),V7)&amp;"")</f>
        <v/>
      </c>
      <c r="AA7" s="61" t="str">
        <f aca="true">IF(V7="","",INDEX(INDIRECT($AZ$1&amp;"$H$5:$H$164"),V7)&amp;"")</f>
        <v/>
      </c>
      <c r="AB7" s="13"/>
      <c r="AC7" s="41" t="str">
        <f aca="true">IFERROR(IF(AD$4="","",MATCH(AD$4&amp;"|"&amp;2,INDIRECT($AZ$1&amp;"$J$5:$J$164"),0)),"")</f>
        <v/>
      </c>
      <c r="AD7" s="91" t="str">
        <f aca="true">IF(AC7="","",SUBSTITUTE(INDEX(INDIRECT($AZ$1&amp;"$A$5:$A$164"),AC7),"組","")&amp;"-"&amp;INDEX(INDIRECT($AZ$1&amp;"$B$5:$B$164"),AC7))</f>
        <v/>
      </c>
      <c r="AE7" s="59" t="str">
        <f aca="true">IF(AC7="","",INDEX(INDIRECT($AZ$1&amp;"$C$5:$C$164"),AC7))</f>
        <v/>
      </c>
      <c r="AF7" s="61" t="str">
        <f aca="true">IF(AC7="","",INDEX(INDIRECT($AZ$1&amp;"$F$5:$F$164"),AC7)&amp;"")</f>
        <v/>
      </c>
      <c r="AG7" s="61" t="str">
        <f aca="true">IF(AC7="","",INDEX(INDIRECT($AZ$1&amp;"$G$5:$G$164"),AC7)&amp;"")</f>
        <v/>
      </c>
      <c r="AH7" s="61" t="str">
        <f aca="true">IF(AC7="","",INDEX(INDIRECT($AZ$1&amp;"$H$5:$H$164"),AC7)&amp;"")</f>
        <v/>
      </c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</row>
    <row r="8" customFormat="false" ht="18.75" hidden="false" customHeight="true" outlineLevel="0" collapsed="false">
      <c r="A8" s="41" t="str">
        <f aca="true">IFERROR(IF(B$4="","",MATCH(B$4&amp;"|"&amp;3,INDIRECT($AZ$1&amp;"$J$5:$J$164"),0)),"")</f>
        <v/>
      </c>
      <c r="B8" s="91" t="str">
        <f aca="true">IF(A8="","",SUBSTITUTE(INDEX(INDIRECT($AZ$1&amp;"$A$5:$A$164"),A8),"組","")&amp;"-"&amp;INDEX(INDIRECT($AZ$1&amp;"$B$5:$B$164"),A8))</f>
        <v/>
      </c>
      <c r="C8" s="59" t="str">
        <f aca="true">IF(A8="","",INDEX(INDIRECT($AZ$1&amp;"$C$5:$C$164"),A8))</f>
        <v/>
      </c>
      <c r="D8" s="61" t="str">
        <f aca="true">IF(A8="","",INDEX(INDIRECT($AZ$1&amp;"$F$5:$F$164"),A8)&amp;"")</f>
        <v/>
      </c>
      <c r="E8" s="61" t="str">
        <f aca="true">IF(A8="","",INDEX(INDIRECT($AZ$1&amp;"$G$5:$G$164"),A8)&amp;"")</f>
        <v/>
      </c>
      <c r="F8" s="61" t="str">
        <f aca="true">IF(A8="","",INDEX(INDIRECT($AZ$1&amp;"$H$5:$H$164"),A8)&amp;"")</f>
        <v/>
      </c>
      <c r="G8" s="13"/>
      <c r="H8" s="41" t="str">
        <f aca="true">IFERROR(IF(I$4="","",MATCH(I$4&amp;"|"&amp;3,INDIRECT($AZ$1&amp;"$J$5:$J$164"),0)),"")</f>
        <v/>
      </c>
      <c r="I8" s="91" t="str">
        <f aca="true">IF(H8="","",SUBSTITUTE(INDEX(INDIRECT($AZ$1&amp;"$A$5:$A$164"),H8),"組","")&amp;"-"&amp;INDEX(INDIRECT($AZ$1&amp;"$B$5:$B$164"),H8))</f>
        <v/>
      </c>
      <c r="J8" s="59" t="str">
        <f aca="true">IF(H8="","",INDEX(INDIRECT($AZ$1&amp;"$C$5:$C$164"),H8))</f>
        <v/>
      </c>
      <c r="K8" s="61" t="str">
        <f aca="true">IF(H8="","",INDEX(INDIRECT($AZ$1&amp;"$F$5:$F$164"),H8)&amp;"")</f>
        <v/>
      </c>
      <c r="L8" s="61" t="str">
        <f aca="true">IF(H8="","",INDEX(INDIRECT($AZ$1&amp;"$G$5:$G$164"),H8)&amp;"")</f>
        <v/>
      </c>
      <c r="M8" s="61" t="str">
        <f aca="true">IF(H8="","",INDEX(INDIRECT($AZ$1&amp;"$H$5:$H$164"),H8)&amp;"")</f>
        <v/>
      </c>
      <c r="N8" s="13"/>
      <c r="O8" s="41" t="str">
        <f aca="true">IFERROR(IF(P$4="","",MATCH(P$4&amp;"|"&amp;3,INDIRECT($AZ$1&amp;"$J$5:$J$164"),0)),"")</f>
        <v/>
      </c>
      <c r="P8" s="91" t="str">
        <f aca="true">IF(O8="","",SUBSTITUTE(INDEX(INDIRECT($AZ$1&amp;"$A$5:$A$164"),O8),"組","")&amp;"-"&amp;INDEX(INDIRECT($AZ$1&amp;"$B$5:$B$164"),O8))</f>
        <v/>
      </c>
      <c r="Q8" s="59" t="str">
        <f aca="true">IF(O8="","",INDEX(INDIRECT($AZ$1&amp;"$C$5:$C$164"),O8))</f>
        <v/>
      </c>
      <c r="R8" s="61" t="str">
        <f aca="true">IF(O8="","",INDEX(INDIRECT($AZ$1&amp;"$F$5:$F$164"),O8)&amp;"")</f>
        <v/>
      </c>
      <c r="S8" s="61" t="str">
        <f aca="true">IF(O8="","",INDEX(INDIRECT($AZ$1&amp;"$G$5:$G$164"),O8)&amp;"")</f>
        <v/>
      </c>
      <c r="T8" s="61" t="str">
        <f aca="true">IF(O8="","",INDEX(INDIRECT($AZ$1&amp;"$H$5:$H$164"),O8)&amp;"")</f>
        <v/>
      </c>
      <c r="U8" s="13"/>
      <c r="V8" s="41" t="str">
        <f aca="true">IFERROR(IF(W$4="","",MATCH(W$4&amp;"|"&amp;3,INDIRECT($AZ$1&amp;"$J$5:$J$164"),0)),"")</f>
        <v/>
      </c>
      <c r="W8" s="91" t="str">
        <f aca="true">IF(V8="","",SUBSTITUTE(INDEX(INDIRECT($AZ$1&amp;"$A$5:$A$164"),V8),"組","")&amp;"-"&amp;INDEX(INDIRECT($AZ$1&amp;"$B$5:$B$164"),V8))</f>
        <v/>
      </c>
      <c r="X8" s="59" t="str">
        <f aca="true">IF(V8="","",INDEX(INDIRECT($AZ$1&amp;"$C$5:$C$164"),V8))</f>
        <v/>
      </c>
      <c r="Y8" s="61" t="str">
        <f aca="true">IF(V8="","",INDEX(INDIRECT($AZ$1&amp;"$F$5:$F$164"),V8)&amp;"")</f>
        <v/>
      </c>
      <c r="Z8" s="61" t="str">
        <f aca="true">IF(V8="","",INDEX(INDIRECT($AZ$1&amp;"$G$5:$G$164"),V8)&amp;"")</f>
        <v/>
      </c>
      <c r="AA8" s="61" t="str">
        <f aca="true">IF(V8="","",INDEX(INDIRECT($AZ$1&amp;"$H$5:$H$164"),V8)&amp;"")</f>
        <v/>
      </c>
      <c r="AB8" s="13"/>
      <c r="AC8" s="41" t="str">
        <f aca="true">IFERROR(IF(AD$4="","",MATCH(AD$4&amp;"|"&amp;3,INDIRECT($AZ$1&amp;"$J$5:$J$164"),0)),"")</f>
        <v/>
      </c>
      <c r="AD8" s="91" t="str">
        <f aca="true">IF(AC8="","",SUBSTITUTE(INDEX(INDIRECT($AZ$1&amp;"$A$5:$A$164"),AC8),"組","")&amp;"-"&amp;INDEX(INDIRECT($AZ$1&amp;"$B$5:$B$164"),AC8))</f>
        <v/>
      </c>
      <c r="AE8" s="59" t="str">
        <f aca="true">IF(AC8="","",INDEX(INDIRECT($AZ$1&amp;"$C$5:$C$164"),AC8))</f>
        <v/>
      </c>
      <c r="AF8" s="61" t="str">
        <f aca="true">IF(AC8="","",INDEX(INDIRECT($AZ$1&amp;"$F$5:$F$164"),AC8)&amp;"")</f>
        <v/>
      </c>
      <c r="AG8" s="61" t="str">
        <f aca="true">IF(AC8="","",INDEX(INDIRECT($AZ$1&amp;"$G$5:$G$164"),AC8)&amp;"")</f>
        <v/>
      </c>
      <c r="AH8" s="61" t="str">
        <f aca="true">IF(AC8="","",INDEX(INDIRECT($AZ$1&amp;"$H$5:$H$164"),AC8)&amp;"")</f>
        <v/>
      </c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</row>
    <row r="9" customFormat="false" ht="18.75" hidden="false" customHeight="true" outlineLevel="0" collapsed="false">
      <c r="A9" s="41" t="str">
        <f aca="true">IFERROR(IF(B$4="","",MATCH(B$4&amp;"|"&amp;4,INDIRECT($AZ$1&amp;"$J$5:$J$164"),0)),"")</f>
        <v/>
      </c>
      <c r="B9" s="91" t="str">
        <f aca="true">IF(A9="","",SUBSTITUTE(INDEX(INDIRECT($AZ$1&amp;"$A$5:$A$164"),A9),"組","")&amp;"-"&amp;INDEX(INDIRECT($AZ$1&amp;"$B$5:$B$164"),A9))</f>
        <v/>
      </c>
      <c r="C9" s="59" t="str">
        <f aca="true">IF(A9="","",INDEX(INDIRECT($AZ$1&amp;"$C$5:$C$164"),A9))</f>
        <v/>
      </c>
      <c r="D9" s="61" t="str">
        <f aca="true">IF(A9="","",INDEX(INDIRECT($AZ$1&amp;"$F$5:$F$164"),A9)&amp;"")</f>
        <v/>
      </c>
      <c r="E9" s="61" t="str">
        <f aca="true">IF(A9="","",INDEX(INDIRECT($AZ$1&amp;"$G$5:$G$164"),A9)&amp;"")</f>
        <v/>
      </c>
      <c r="F9" s="61" t="str">
        <f aca="true">IF(A9="","",INDEX(INDIRECT($AZ$1&amp;"$H$5:$H$164"),A9)&amp;"")</f>
        <v/>
      </c>
      <c r="G9" s="13"/>
      <c r="H9" s="41" t="str">
        <f aca="true">IFERROR(IF(I$4="","",MATCH(I$4&amp;"|"&amp;4,INDIRECT($AZ$1&amp;"$J$5:$J$164"),0)),"")</f>
        <v/>
      </c>
      <c r="I9" s="91" t="str">
        <f aca="true">IF(H9="","",SUBSTITUTE(INDEX(INDIRECT($AZ$1&amp;"$A$5:$A$164"),H9),"組","")&amp;"-"&amp;INDEX(INDIRECT($AZ$1&amp;"$B$5:$B$164"),H9))</f>
        <v/>
      </c>
      <c r="J9" s="59" t="str">
        <f aca="true">IF(H9="","",INDEX(INDIRECT($AZ$1&amp;"$C$5:$C$164"),H9))</f>
        <v/>
      </c>
      <c r="K9" s="61" t="str">
        <f aca="true">IF(H9="","",INDEX(INDIRECT($AZ$1&amp;"$F$5:$F$164"),H9)&amp;"")</f>
        <v/>
      </c>
      <c r="L9" s="61" t="str">
        <f aca="true">IF(H9="","",INDEX(INDIRECT($AZ$1&amp;"$G$5:$G$164"),H9)&amp;"")</f>
        <v/>
      </c>
      <c r="M9" s="61" t="str">
        <f aca="true">IF(H9="","",INDEX(INDIRECT($AZ$1&amp;"$H$5:$H$164"),H9)&amp;"")</f>
        <v/>
      </c>
      <c r="N9" s="13"/>
      <c r="O9" s="41" t="str">
        <f aca="true">IFERROR(IF(P$4="","",MATCH(P$4&amp;"|"&amp;4,INDIRECT($AZ$1&amp;"$J$5:$J$164"),0)),"")</f>
        <v/>
      </c>
      <c r="P9" s="91" t="str">
        <f aca="true">IF(O9="","",SUBSTITUTE(INDEX(INDIRECT($AZ$1&amp;"$A$5:$A$164"),O9),"組","")&amp;"-"&amp;INDEX(INDIRECT($AZ$1&amp;"$B$5:$B$164"),O9))</f>
        <v/>
      </c>
      <c r="Q9" s="59" t="str">
        <f aca="true">IF(O9="","",INDEX(INDIRECT($AZ$1&amp;"$C$5:$C$164"),O9))</f>
        <v/>
      </c>
      <c r="R9" s="61" t="str">
        <f aca="true">IF(O9="","",INDEX(INDIRECT($AZ$1&amp;"$F$5:$F$164"),O9)&amp;"")</f>
        <v/>
      </c>
      <c r="S9" s="61" t="str">
        <f aca="true">IF(O9="","",INDEX(INDIRECT($AZ$1&amp;"$G$5:$G$164"),O9)&amp;"")</f>
        <v/>
      </c>
      <c r="T9" s="61" t="str">
        <f aca="true">IF(O9="","",INDEX(INDIRECT($AZ$1&amp;"$H$5:$H$164"),O9)&amp;"")</f>
        <v/>
      </c>
      <c r="U9" s="13"/>
      <c r="V9" s="41" t="str">
        <f aca="true">IFERROR(IF(W$4="","",MATCH(W$4&amp;"|"&amp;4,INDIRECT($AZ$1&amp;"$J$5:$J$164"),0)),"")</f>
        <v/>
      </c>
      <c r="W9" s="91" t="str">
        <f aca="true">IF(V9="","",SUBSTITUTE(INDEX(INDIRECT($AZ$1&amp;"$A$5:$A$164"),V9),"組","")&amp;"-"&amp;INDEX(INDIRECT($AZ$1&amp;"$B$5:$B$164"),V9))</f>
        <v/>
      </c>
      <c r="X9" s="59" t="str">
        <f aca="true">IF(V9="","",INDEX(INDIRECT($AZ$1&amp;"$C$5:$C$164"),V9))</f>
        <v/>
      </c>
      <c r="Y9" s="61" t="str">
        <f aca="true">IF(V9="","",INDEX(INDIRECT($AZ$1&amp;"$F$5:$F$164"),V9)&amp;"")</f>
        <v/>
      </c>
      <c r="Z9" s="61" t="str">
        <f aca="true">IF(V9="","",INDEX(INDIRECT($AZ$1&amp;"$G$5:$G$164"),V9)&amp;"")</f>
        <v/>
      </c>
      <c r="AA9" s="61" t="str">
        <f aca="true">IF(V9="","",INDEX(INDIRECT($AZ$1&amp;"$H$5:$H$164"),V9)&amp;"")</f>
        <v/>
      </c>
      <c r="AB9" s="13"/>
      <c r="AC9" s="41" t="str">
        <f aca="true">IFERROR(IF(AD$4="","",MATCH(AD$4&amp;"|"&amp;4,INDIRECT($AZ$1&amp;"$J$5:$J$164"),0)),"")</f>
        <v/>
      </c>
      <c r="AD9" s="91" t="str">
        <f aca="true">IF(AC9="","",SUBSTITUTE(INDEX(INDIRECT($AZ$1&amp;"$A$5:$A$164"),AC9),"組","")&amp;"-"&amp;INDEX(INDIRECT($AZ$1&amp;"$B$5:$B$164"),AC9))</f>
        <v/>
      </c>
      <c r="AE9" s="59" t="str">
        <f aca="true">IF(AC9="","",INDEX(INDIRECT($AZ$1&amp;"$C$5:$C$164"),AC9))</f>
        <v/>
      </c>
      <c r="AF9" s="61" t="str">
        <f aca="true">IF(AC9="","",INDEX(INDIRECT($AZ$1&amp;"$F$5:$F$164"),AC9)&amp;"")</f>
        <v/>
      </c>
      <c r="AG9" s="61" t="str">
        <f aca="true">IF(AC9="","",INDEX(INDIRECT($AZ$1&amp;"$G$5:$G$164"),AC9)&amp;"")</f>
        <v/>
      </c>
      <c r="AH9" s="61" t="str">
        <f aca="true">IF(AC9="","",INDEX(INDIRECT($AZ$1&amp;"$H$5:$H$164"),AC9)&amp;"")</f>
        <v/>
      </c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</row>
    <row r="10" customFormat="false" ht="18.75" hidden="false" customHeight="true" outlineLevel="0" collapsed="false">
      <c r="A10" s="41" t="str">
        <f aca="true">IFERROR(IF(B$4="","",MATCH(B$4&amp;"|"&amp;5,INDIRECT($AZ$1&amp;"$J$5:$J$164"),0)),"")</f>
        <v/>
      </c>
      <c r="B10" s="91" t="str">
        <f aca="true">IF(A10="","",SUBSTITUTE(INDEX(INDIRECT($AZ$1&amp;"$A$5:$A$164"),A10),"組","")&amp;"-"&amp;INDEX(INDIRECT($AZ$1&amp;"$B$5:$B$164"),A10))</f>
        <v/>
      </c>
      <c r="C10" s="59" t="str">
        <f aca="true">IF(A10="","",INDEX(INDIRECT($AZ$1&amp;"$C$5:$C$164"),A10))</f>
        <v/>
      </c>
      <c r="D10" s="61" t="str">
        <f aca="true">IF(A10="","",INDEX(INDIRECT($AZ$1&amp;"$F$5:$F$164"),A10)&amp;"")</f>
        <v/>
      </c>
      <c r="E10" s="61" t="str">
        <f aca="true">IF(A10="","",INDEX(INDIRECT($AZ$1&amp;"$G$5:$G$164"),A10)&amp;"")</f>
        <v/>
      </c>
      <c r="F10" s="61" t="str">
        <f aca="true">IF(A10="","",INDEX(INDIRECT($AZ$1&amp;"$H$5:$H$164"),A10)&amp;"")</f>
        <v/>
      </c>
      <c r="G10" s="13"/>
      <c r="H10" s="41" t="str">
        <f aca="true">IFERROR(IF(I$4="","",MATCH(I$4&amp;"|"&amp;5,INDIRECT($AZ$1&amp;"$J$5:$J$164"),0)),"")</f>
        <v/>
      </c>
      <c r="I10" s="91" t="str">
        <f aca="true">IF(H10="","",SUBSTITUTE(INDEX(INDIRECT($AZ$1&amp;"$A$5:$A$164"),H10),"組","")&amp;"-"&amp;INDEX(INDIRECT($AZ$1&amp;"$B$5:$B$164"),H10))</f>
        <v/>
      </c>
      <c r="J10" s="59" t="str">
        <f aca="true">IF(H10="","",INDEX(INDIRECT($AZ$1&amp;"$C$5:$C$164"),H10))</f>
        <v/>
      </c>
      <c r="K10" s="61" t="str">
        <f aca="true">IF(H10="","",INDEX(INDIRECT($AZ$1&amp;"$F$5:$F$164"),H10)&amp;"")</f>
        <v/>
      </c>
      <c r="L10" s="61" t="str">
        <f aca="true">IF(H10="","",INDEX(INDIRECT($AZ$1&amp;"$G$5:$G$164"),H10)&amp;"")</f>
        <v/>
      </c>
      <c r="M10" s="61" t="str">
        <f aca="true">IF(H10="","",INDEX(INDIRECT($AZ$1&amp;"$H$5:$H$164"),H10)&amp;"")</f>
        <v/>
      </c>
      <c r="N10" s="13"/>
      <c r="O10" s="41" t="str">
        <f aca="true">IFERROR(IF(P$4="","",MATCH(P$4&amp;"|"&amp;5,INDIRECT($AZ$1&amp;"$J$5:$J$164"),0)),"")</f>
        <v/>
      </c>
      <c r="P10" s="91" t="str">
        <f aca="true">IF(O10="","",SUBSTITUTE(INDEX(INDIRECT($AZ$1&amp;"$A$5:$A$164"),O10),"組","")&amp;"-"&amp;INDEX(INDIRECT($AZ$1&amp;"$B$5:$B$164"),O10))</f>
        <v/>
      </c>
      <c r="Q10" s="59" t="str">
        <f aca="true">IF(O10="","",INDEX(INDIRECT($AZ$1&amp;"$C$5:$C$164"),O10))</f>
        <v/>
      </c>
      <c r="R10" s="61" t="str">
        <f aca="true">IF(O10="","",INDEX(INDIRECT($AZ$1&amp;"$F$5:$F$164"),O10)&amp;"")</f>
        <v/>
      </c>
      <c r="S10" s="61" t="str">
        <f aca="true">IF(O10="","",INDEX(INDIRECT($AZ$1&amp;"$G$5:$G$164"),O10)&amp;"")</f>
        <v/>
      </c>
      <c r="T10" s="61" t="str">
        <f aca="true">IF(O10="","",INDEX(INDIRECT($AZ$1&amp;"$H$5:$H$164"),O10)&amp;"")</f>
        <v/>
      </c>
      <c r="U10" s="13"/>
      <c r="V10" s="41" t="str">
        <f aca="true">IFERROR(IF(W$4="","",MATCH(W$4&amp;"|"&amp;5,INDIRECT($AZ$1&amp;"$J$5:$J$164"),0)),"")</f>
        <v/>
      </c>
      <c r="W10" s="91" t="str">
        <f aca="true">IF(V10="","",SUBSTITUTE(INDEX(INDIRECT($AZ$1&amp;"$A$5:$A$164"),V10),"組","")&amp;"-"&amp;INDEX(INDIRECT($AZ$1&amp;"$B$5:$B$164"),V10))</f>
        <v/>
      </c>
      <c r="X10" s="59" t="str">
        <f aca="true">IF(V10="","",INDEX(INDIRECT($AZ$1&amp;"$C$5:$C$164"),V10))</f>
        <v/>
      </c>
      <c r="Y10" s="61" t="str">
        <f aca="true">IF(V10="","",INDEX(INDIRECT($AZ$1&amp;"$F$5:$F$164"),V10)&amp;"")</f>
        <v/>
      </c>
      <c r="Z10" s="61" t="str">
        <f aca="true">IF(V10="","",INDEX(INDIRECT($AZ$1&amp;"$G$5:$G$164"),V10)&amp;"")</f>
        <v/>
      </c>
      <c r="AA10" s="61" t="str">
        <f aca="true">IF(V10="","",INDEX(INDIRECT($AZ$1&amp;"$H$5:$H$164"),V10)&amp;"")</f>
        <v/>
      </c>
      <c r="AB10" s="13"/>
      <c r="AC10" s="41" t="str">
        <f aca="true">IFERROR(IF(AD$4="","",MATCH(AD$4&amp;"|"&amp;5,INDIRECT($AZ$1&amp;"$J$5:$J$164"),0)),"")</f>
        <v/>
      </c>
      <c r="AD10" s="91" t="str">
        <f aca="true">IF(AC10="","",SUBSTITUTE(INDEX(INDIRECT($AZ$1&amp;"$A$5:$A$164"),AC10),"組","")&amp;"-"&amp;INDEX(INDIRECT($AZ$1&amp;"$B$5:$B$164"),AC10))</f>
        <v/>
      </c>
      <c r="AE10" s="59" t="str">
        <f aca="true">IF(AC10="","",INDEX(INDIRECT($AZ$1&amp;"$C$5:$C$164"),AC10))</f>
        <v/>
      </c>
      <c r="AF10" s="61" t="str">
        <f aca="true">IF(AC10="","",INDEX(INDIRECT($AZ$1&amp;"$F$5:$F$164"),AC10)&amp;"")</f>
        <v/>
      </c>
      <c r="AG10" s="61" t="str">
        <f aca="true">IF(AC10="","",INDEX(INDIRECT($AZ$1&amp;"$G$5:$G$164"),AC10)&amp;"")</f>
        <v/>
      </c>
      <c r="AH10" s="61" t="str">
        <f aca="true">IF(AC10="","",INDEX(INDIRECT($AZ$1&amp;"$H$5:$H$164"),AC10)&amp;"")</f>
        <v/>
      </c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</row>
    <row r="11" customFormat="false" ht="18.75" hidden="false" customHeight="true" outlineLevel="0" collapsed="false">
      <c r="A11" s="41" t="str">
        <f aca="true">IFERROR(IF(B$4="","",MATCH(B$4&amp;"|"&amp;6,INDIRECT($AZ$1&amp;"$J$5:$J$164"),0)),"")</f>
        <v/>
      </c>
      <c r="B11" s="91" t="str">
        <f aca="true">IF(A11="","",SUBSTITUTE(INDEX(INDIRECT($AZ$1&amp;"$A$5:$A$164"),A11),"組","")&amp;"-"&amp;INDEX(INDIRECT($AZ$1&amp;"$B$5:$B$164"),A11))</f>
        <v/>
      </c>
      <c r="C11" s="59" t="str">
        <f aca="true">IF(A11="","",INDEX(INDIRECT($AZ$1&amp;"$C$5:$C$164"),A11))</f>
        <v/>
      </c>
      <c r="D11" s="61" t="str">
        <f aca="true">IF(A11="","",INDEX(INDIRECT($AZ$1&amp;"$F$5:$F$164"),A11)&amp;"")</f>
        <v/>
      </c>
      <c r="E11" s="61" t="str">
        <f aca="true">IF(A11="","",INDEX(INDIRECT($AZ$1&amp;"$G$5:$G$164"),A11)&amp;"")</f>
        <v/>
      </c>
      <c r="F11" s="61" t="str">
        <f aca="true">IF(A11="","",INDEX(INDIRECT($AZ$1&amp;"$H$5:$H$164"),A11)&amp;"")</f>
        <v/>
      </c>
      <c r="G11" s="13"/>
      <c r="H11" s="41" t="str">
        <f aca="true">IFERROR(IF(I$4="","",MATCH(I$4&amp;"|"&amp;6,INDIRECT($AZ$1&amp;"$J$5:$J$164"),0)),"")</f>
        <v/>
      </c>
      <c r="I11" s="91" t="str">
        <f aca="true">IF(H11="","",SUBSTITUTE(INDEX(INDIRECT($AZ$1&amp;"$A$5:$A$164"),H11),"組","")&amp;"-"&amp;INDEX(INDIRECT($AZ$1&amp;"$B$5:$B$164"),H11))</f>
        <v/>
      </c>
      <c r="J11" s="59" t="str">
        <f aca="true">IF(H11="","",INDEX(INDIRECT($AZ$1&amp;"$C$5:$C$164"),H11))</f>
        <v/>
      </c>
      <c r="K11" s="61" t="str">
        <f aca="true">IF(H11="","",INDEX(INDIRECT($AZ$1&amp;"$F$5:$F$164"),H11)&amp;"")</f>
        <v/>
      </c>
      <c r="L11" s="61" t="str">
        <f aca="true">IF(H11="","",INDEX(INDIRECT($AZ$1&amp;"$G$5:$G$164"),H11)&amp;"")</f>
        <v/>
      </c>
      <c r="M11" s="61" t="str">
        <f aca="true">IF(H11="","",INDEX(INDIRECT($AZ$1&amp;"$H$5:$H$164"),H11)&amp;"")</f>
        <v/>
      </c>
      <c r="N11" s="13"/>
      <c r="O11" s="41" t="str">
        <f aca="true">IFERROR(IF(P$4="","",MATCH(P$4&amp;"|"&amp;6,INDIRECT($AZ$1&amp;"$J$5:$J$164"),0)),"")</f>
        <v/>
      </c>
      <c r="P11" s="91" t="str">
        <f aca="true">IF(O11="","",SUBSTITUTE(INDEX(INDIRECT($AZ$1&amp;"$A$5:$A$164"),O11),"組","")&amp;"-"&amp;INDEX(INDIRECT($AZ$1&amp;"$B$5:$B$164"),O11))</f>
        <v/>
      </c>
      <c r="Q11" s="59" t="str">
        <f aca="true">IF(O11="","",INDEX(INDIRECT($AZ$1&amp;"$C$5:$C$164"),O11))</f>
        <v/>
      </c>
      <c r="R11" s="61" t="str">
        <f aca="true">IF(O11="","",INDEX(INDIRECT($AZ$1&amp;"$F$5:$F$164"),O11)&amp;"")</f>
        <v/>
      </c>
      <c r="S11" s="61" t="str">
        <f aca="true">IF(O11="","",INDEX(INDIRECT($AZ$1&amp;"$G$5:$G$164"),O11)&amp;"")</f>
        <v/>
      </c>
      <c r="T11" s="61" t="str">
        <f aca="true">IF(O11="","",INDEX(INDIRECT($AZ$1&amp;"$H$5:$H$164"),O11)&amp;"")</f>
        <v/>
      </c>
      <c r="U11" s="13"/>
      <c r="V11" s="41" t="str">
        <f aca="true">IFERROR(IF(W$4="","",MATCH(W$4&amp;"|"&amp;6,INDIRECT($AZ$1&amp;"$J$5:$J$164"),0)),"")</f>
        <v/>
      </c>
      <c r="W11" s="91" t="str">
        <f aca="true">IF(V11="","",SUBSTITUTE(INDEX(INDIRECT($AZ$1&amp;"$A$5:$A$164"),V11),"組","")&amp;"-"&amp;INDEX(INDIRECT($AZ$1&amp;"$B$5:$B$164"),V11))</f>
        <v/>
      </c>
      <c r="X11" s="59" t="str">
        <f aca="true">IF(V11="","",INDEX(INDIRECT($AZ$1&amp;"$C$5:$C$164"),V11))</f>
        <v/>
      </c>
      <c r="Y11" s="61" t="str">
        <f aca="true">IF(V11="","",INDEX(INDIRECT($AZ$1&amp;"$F$5:$F$164"),V11)&amp;"")</f>
        <v/>
      </c>
      <c r="Z11" s="61" t="str">
        <f aca="true">IF(V11="","",INDEX(INDIRECT($AZ$1&amp;"$G$5:$G$164"),V11)&amp;"")</f>
        <v/>
      </c>
      <c r="AA11" s="61" t="str">
        <f aca="true">IF(V11="","",INDEX(INDIRECT($AZ$1&amp;"$H$5:$H$164"),V11)&amp;"")</f>
        <v/>
      </c>
      <c r="AB11" s="13"/>
      <c r="AC11" s="41" t="str">
        <f aca="true">IFERROR(IF(AD$4="","",MATCH(AD$4&amp;"|"&amp;6,INDIRECT($AZ$1&amp;"$J$5:$J$164"),0)),"")</f>
        <v/>
      </c>
      <c r="AD11" s="91" t="str">
        <f aca="true">IF(AC11="","",SUBSTITUTE(INDEX(INDIRECT($AZ$1&amp;"$A$5:$A$164"),AC11),"組","")&amp;"-"&amp;INDEX(INDIRECT($AZ$1&amp;"$B$5:$B$164"),AC11))</f>
        <v/>
      </c>
      <c r="AE11" s="59" t="str">
        <f aca="true">IF(AC11="","",INDEX(INDIRECT($AZ$1&amp;"$C$5:$C$164"),AC11))</f>
        <v/>
      </c>
      <c r="AF11" s="61" t="str">
        <f aca="true">IF(AC11="","",INDEX(INDIRECT($AZ$1&amp;"$F$5:$F$164"),AC11)&amp;"")</f>
        <v/>
      </c>
      <c r="AG11" s="61" t="str">
        <f aca="true">IF(AC11="","",INDEX(INDIRECT($AZ$1&amp;"$G$5:$G$164"),AC11)&amp;"")</f>
        <v/>
      </c>
      <c r="AH11" s="61" t="str">
        <f aca="true">IF(AC11="","",INDEX(INDIRECT($AZ$1&amp;"$H$5:$H$164"),AC11)&amp;"")</f>
        <v/>
      </c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</row>
    <row r="12" customFormat="false" ht="18.75" hidden="false" customHeight="true" outlineLevel="0" collapsed="false">
      <c r="A12" s="41" t="str">
        <f aca="true">IFERROR(IF(B$4="","",MATCH(B$4&amp;"|"&amp;7,INDIRECT($AZ$1&amp;"$J$5:$J$164"),0)),"")</f>
        <v/>
      </c>
      <c r="B12" s="91" t="str">
        <f aca="true">IF(A12="","",SUBSTITUTE(INDEX(INDIRECT($AZ$1&amp;"$A$5:$A$164"),A12),"組","")&amp;"-"&amp;INDEX(INDIRECT($AZ$1&amp;"$B$5:$B$164"),A12))</f>
        <v/>
      </c>
      <c r="C12" s="59" t="str">
        <f aca="true">IF(A12="","",INDEX(INDIRECT($AZ$1&amp;"$C$5:$C$164"),A12))</f>
        <v/>
      </c>
      <c r="D12" s="61" t="str">
        <f aca="true">IF(A12="","",INDEX(INDIRECT($AZ$1&amp;"$F$5:$F$164"),A12)&amp;"")</f>
        <v/>
      </c>
      <c r="E12" s="61" t="str">
        <f aca="true">IF(A12="","",INDEX(INDIRECT($AZ$1&amp;"$G$5:$G$164"),A12)&amp;"")</f>
        <v/>
      </c>
      <c r="F12" s="61" t="str">
        <f aca="true">IF(A12="","",INDEX(INDIRECT($AZ$1&amp;"$H$5:$H$164"),A12)&amp;"")</f>
        <v/>
      </c>
      <c r="G12" s="13"/>
      <c r="H12" s="41" t="str">
        <f aca="true">IFERROR(IF(I$4="","",MATCH(I$4&amp;"|"&amp;7,INDIRECT($AZ$1&amp;"$J$5:$J$164"),0)),"")</f>
        <v/>
      </c>
      <c r="I12" s="91" t="str">
        <f aca="true">IF(H12="","",SUBSTITUTE(INDEX(INDIRECT($AZ$1&amp;"$A$5:$A$164"),H12),"組","")&amp;"-"&amp;INDEX(INDIRECT($AZ$1&amp;"$B$5:$B$164"),H12))</f>
        <v/>
      </c>
      <c r="J12" s="59" t="str">
        <f aca="true">IF(H12="","",INDEX(INDIRECT($AZ$1&amp;"$C$5:$C$164"),H12))</f>
        <v/>
      </c>
      <c r="K12" s="61" t="str">
        <f aca="true">IF(H12="","",INDEX(INDIRECT($AZ$1&amp;"$F$5:$F$164"),H12)&amp;"")</f>
        <v/>
      </c>
      <c r="L12" s="61" t="str">
        <f aca="true">IF(H12="","",INDEX(INDIRECT($AZ$1&amp;"$G$5:$G$164"),H12)&amp;"")</f>
        <v/>
      </c>
      <c r="M12" s="61" t="str">
        <f aca="true">IF(H12="","",INDEX(INDIRECT($AZ$1&amp;"$H$5:$H$164"),H12)&amp;"")</f>
        <v/>
      </c>
      <c r="N12" s="13"/>
      <c r="O12" s="41" t="str">
        <f aca="true">IFERROR(IF(P$4="","",MATCH(P$4&amp;"|"&amp;7,INDIRECT($AZ$1&amp;"$J$5:$J$164"),0)),"")</f>
        <v/>
      </c>
      <c r="P12" s="91" t="str">
        <f aca="true">IF(O12="","",SUBSTITUTE(INDEX(INDIRECT($AZ$1&amp;"$A$5:$A$164"),O12),"組","")&amp;"-"&amp;INDEX(INDIRECT($AZ$1&amp;"$B$5:$B$164"),O12))</f>
        <v/>
      </c>
      <c r="Q12" s="59" t="str">
        <f aca="true">IF(O12="","",INDEX(INDIRECT($AZ$1&amp;"$C$5:$C$164"),O12))</f>
        <v/>
      </c>
      <c r="R12" s="61" t="str">
        <f aca="true">IF(O12="","",INDEX(INDIRECT($AZ$1&amp;"$F$5:$F$164"),O12)&amp;"")</f>
        <v/>
      </c>
      <c r="S12" s="61" t="str">
        <f aca="true">IF(O12="","",INDEX(INDIRECT($AZ$1&amp;"$G$5:$G$164"),O12)&amp;"")</f>
        <v/>
      </c>
      <c r="T12" s="61" t="str">
        <f aca="true">IF(O12="","",INDEX(INDIRECT($AZ$1&amp;"$H$5:$H$164"),O12)&amp;"")</f>
        <v/>
      </c>
      <c r="U12" s="13"/>
      <c r="V12" s="41" t="str">
        <f aca="true">IFERROR(IF(W$4="","",MATCH(W$4&amp;"|"&amp;7,INDIRECT($AZ$1&amp;"$J$5:$J$164"),0)),"")</f>
        <v/>
      </c>
      <c r="W12" s="91" t="str">
        <f aca="true">IF(V12="","",SUBSTITUTE(INDEX(INDIRECT($AZ$1&amp;"$A$5:$A$164"),V12),"組","")&amp;"-"&amp;INDEX(INDIRECT($AZ$1&amp;"$B$5:$B$164"),V12))</f>
        <v/>
      </c>
      <c r="X12" s="59" t="str">
        <f aca="true">IF(V12="","",INDEX(INDIRECT($AZ$1&amp;"$C$5:$C$164"),V12))</f>
        <v/>
      </c>
      <c r="Y12" s="61" t="str">
        <f aca="true">IF(V12="","",INDEX(INDIRECT($AZ$1&amp;"$F$5:$F$164"),V12)&amp;"")</f>
        <v/>
      </c>
      <c r="Z12" s="61" t="str">
        <f aca="true">IF(V12="","",INDEX(INDIRECT($AZ$1&amp;"$G$5:$G$164"),V12)&amp;"")</f>
        <v/>
      </c>
      <c r="AA12" s="61" t="str">
        <f aca="true">IF(V12="","",INDEX(INDIRECT($AZ$1&amp;"$H$5:$H$164"),V12)&amp;"")</f>
        <v/>
      </c>
      <c r="AB12" s="13"/>
      <c r="AC12" s="41" t="str">
        <f aca="true">IFERROR(IF(AD$4="","",MATCH(AD$4&amp;"|"&amp;7,INDIRECT($AZ$1&amp;"$J$5:$J$164"),0)),"")</f>
        <v/>
      </c>
      <c r="AD12" s="91" t="str">
        <f aca="true">IF(AC12="","",SUBSTITUTE(INDEX(INDIRECT($AZ$1&amp;"$A$5:$A$164"),AC12),"組","")&amp;"-"&amp;INDEX(INDIRECT($AZ$1&amp;"$B$5:$B$164"),AC12))</f>
        <v/>
      </c>
      <c r="AE12" s="59" t="str">
        <f aca="true">IF(AC12="","",INDEX(INDIRECT($AZ$1&amp;"$C$5:$C$164"),AC12))</f>
        <v/>
      </c>
      <c r="AF12" s="61" t="str">
        <f aca="true">IF(AC12="","",INDEX(INDIRECT($AZ$1&amp;"$F$5:$F$164"),AC12)&amp;"")</f>
        <v/>
      </c>
      <c r="AG12" s="61" t="str">
        <f aca="true">IF(AC12="","",INDEX(INDIRECT($AZ$1&amp;"$G$5:$G$164"),AC12)&amp;"")</f>
        <v/>
      </c>
      <c r="AH12" s="61" t="str">
        <f aca="true">IF(AC12="","",INDEX(INDIRECT($AZ$1&amp;"$H$5:$H$164"),AC12)&amp;"")</f>
        <v/>
      </c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</row>
    <row r="13" customFormat="false" ht="18.75" hidden="false" customHeight="true" outlineLevel="0" collapsed="false">
      <c r="A13" s="41" t="str">
        <f aca="true">IFERROR(IF(B$4="","",MATCH(B$4&amp;"|"&amp;8,INDIRECT($AZ$1&amp;"$J$5:$J$164"),0)),"")</f>
        <v/>
      </c>
      <c r="B13" s="91" t="str">
        <f aca="true">IF(A13="","",SUBSTITUTE(INDEX(INDIRECT($AZ$1&amp;"$A$5:$A$164"),A13),"組","")&amp;"-"&amp;INDEX(INDIRECT($AZ$1&amp;"$B$5:$B$164"),A13))</f>
        <v/>
      </c>
      <c r="C13" s="59" t="str">
        <f aca="true">IF(A13="","",INDEX(INDIRECT($AZ$1&amp;"$C$5:$C$164"),A13))</f>
        <v/>
      </c>
      <c r="D13" s="61" t="str">
        <f aca="true">IF(A13="","",INDEX(INDIRECT($AZ$1&amp;"$F$5:$F$164"),A13)&amp;"")</f>
        <v/>
      </c>
      <c r="E13" s="61" t="str">
        <f aca="true">IF(A13="","",INDEX(INDIRECT($AZ$1&amp;"$G$5:$G$164"),A13)&amp;"")</f>
        <v/>
      </c>
      <c r="F13" s="61" t="str">
        <f aca="true">IF(A13="","",INDEX(INDIRECT($AZ$1&amp;"$H$5:$H$164"),A13)&amp;"")</f>
        <v/>
      </c>
      <c r="G13" s="13"/>
      <c r="H13" s="41" t="str">
        <f aca="true">IFERROR(IF(I$4="","",MATCH(I$4&amp;"|"&amp;8,INDIRECT($AZ$1&amp;"$J$5:$J$164"),0)),"")</f>
        <v/>
      </c>
      <c r="I13" s="91" t="str">
        <f aca="true">IF(H13="","",SUBSTITUTE(INDEX(INDIRECT($AZ$1&amp;"$A$5:$A$164"),H13),"組","")&amp;"-"&amp;INDEX(INDIRECT($AZ$1&amp;"$B$5:$B$164"),H13))</f>
        <v/>
      </c>
      <c r="J13" s="59" t="str">
        <f aca="true">IF(H13="","",INDEX(INDIRECT($AZ$1&amp;"$C$5:$C$164"),H13))</f>
        <v/>
      </c>
      <c r="K13" s="61" t="str">
        <f aca="true">IF(H13="","",INDEX(INDIRECT($AZ$1&amp;"$F$5:$F$164"),H13)&amp;"")</f>
        <v/>
      </c>
      <c r="L13" s="61" t="str">
        <f aca="true">IF(H13="","",INDEX(INDIRECT($AZ$1&amp;"$G$5:$G$164"),H13)&amp;"")</f>
        <v/>
      </c>
      <c r="M13" s="61" t="str">
        <f aca="true">IF(H13="","",INDEX(INDIRECT($AZ$1&amp;"$H$5:$H$164"),H13)&amp;"")</f>
        <v/>
      </c>
      <c r="N13" s="13"/>
      <c r="O13" s="41" t="str">
        <f aca="true">IFERROR(IF(P$4="","",MATCH(P$4&amp;"|"&amp;8,INDIRECT($AZ$1&amp;"$J$5:$J$164"),0)),"")</f>
        <v/>
      </c>
      <c r="P13" s="91" t="str">
        <f aca="true">IF(O13="","",SUBSTITUTE(INDEX(INDIRECT($AZ$1&amp;"$A$5:$A$164"),O13),"組","")&amp;"-"&amp;INDEX(INDIRECT($AZ$1&amp;"$B$5:$B$164"),O13))</f>
        <v/>
      </c>
      <c r="Q13" s="59" t="str">
        <f aca="true">IF(O13="","",INDEX(INDIRECT($AZ$1&amp;"$C$5:$C$164"),O13))</f>
        <v/>
      </c>
      <c r="R13" s="61" t="str">
        <f aca="true">IF(O13="","",INDEX(INDIRECT($AZ$1&amp;"$F$5:$F$164"),O13)&amp;"")</f>
        <v/>
      </c>
      <c r="S13" s="61" t="str">
        <f aca="true">IF(O13="","",INDEX(INDIRECT($AZ$1&amp;"$G$5:$G$164"),O13)&amp;"")</f>
        <v/>
      </c>
      <c r="T13" s="61" t="str">
        <f aca="true">IF(O13="","",INDEX(INDIRECT($AZ$1&amp;"$H$5:$H$164"),O13)&amp;"")</f>
        <v/>
      </c>
      <c r="U13" s="13"/>
      <c r="V13" s="41" t="str">
        <f aca="true">IFERROR(IF(W$4="","",MATCH(W$4&amp;"|"&amp;8,INDIRECT($AZ$1&amp;"$J$5:$J$164"),0)),"")</f>
        <v/>
      </c>
      <c r="W13" s="91" t="str">
        <f aca="true">IF(V13="","",SUBSTITUTE(INDEX(INDIRECT($AZ$1&amp;"$A$5:$A$164"),V13),"組","")&amp;"-"&amp;INDEX(INDIRECT($AZ$1&amp;"$B$5:$B$164"),V13))</f>
        <v/>
      </c>
      <c r="X13" s="59" t="str">
        <f aca="true">IF(V13="","",INDEX(INDIRECT($AZ$1&amp;"$C$5:$C$164"),V13))</f>
        <v/>
      </c>
      <c r="Y13" s="61" t="str">
        <f aca="true">IF(V13="","",INDEX(INDIRECT($AZ$1&amp;"$F$5:$F$164"),V13)&amp;"")</f>
        <v/>
      </c>
      <c r="Z13" s="61" t="str">
        <f aca="true">IF(V13="","",INDEX(INDIRECT($AZ$1&amp;"$G$5:$G$164"),V13)&amp;"")</f>
        <v/>
      </c>
      <c r="AA13" s="61" t="str">
        <f aca="true">IF(V13="","",INDEX(INDIRECT($AZ$1&amp;"$H$5:$H$164"),V13)&amp;"")</f>
        <v/>
      </c>
      <c r="AB13" s="13"/>
      <c r="AC13" s="41" t="str">
        <f aca="true">IFERROR(IF(AD$4="","",MATCH(AD$4&amp;"|"&amp;8,INDIRECT($AZ$1&amp;"$J$5:$J$164"),0)),"")</f>
        <v/>
      </c>
      <c r="AD13" s="91" t="str">
        <f aca="true">IF(AC13="","",SUBSTITUTE(INDEX(INDIRECT($AZ$1&amp;"$A$5:$A$164"),AC13),"組","")&amp;"-"&amp;INDEX(INDIRECT($AZ$1&amp;"$B$5:$B$164"),AC13))</f>
        <v/>
      </c>
      <c r="AE13" s="59" t="str">
        <f aca="true">IF(AC13="","",INDEX(INDIRECT($AZ$1&amp;"$C$5:$C$164"),AC13))</f>
        <v/>
      </c>
      <c r="AF13" s="61" t="str">
        <f aca="true">IF(AC13="","",INDEX(INDIRECT($AZ$1&amp;"$F$5:$F$164"),AC13)&amp;"")</f>
        <v/>
      </c>
      <c r="AG13" s="61" t="str">
        <f aca="true">IF(AC13="","",INDEX(INDIRECT($AZ$1&amp;"$G$5:$G$164"),AC13)&amp;"")</f>
        <v/>
      </c>
      <c r="AH13" s="61" t="str">
        <f aca="true">IF(AC13="","",INDEX(INDIRECT($AZ$1&amp;"$H$5:$H$164"),AC13)&amp;"")</f>
        <v/>
      </c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</row>
    <row r="14" customFormat="false" ht="18.75" hidden="false" customHeight="true" outlineLevel="0" collapsed="false">
      <c r="A14" s="41" t="str">
        <f aca="true">IFERROR(IF(B$4="","",MATCH(B$4&amp;"|"&amp;9,INDIRECT($AZ$1&amp;"$J$5:$J$164"),0)),"")</f>
        <v/>
      </c>
      <c r="B14" s="91" t="str">
        <f aca="true">IF(A14="","",SUBSTITUTE(INDEX(INDIRECT($AZ$1&amp;"$A$5:$A$164"),A14),"組","")&amp;"-"&amp;INDEX(INDIRECT($AZ$1&amp;"$B$5:$B$164"),A14))</f>
        <v/>
      </c>
      <c r="C14" s="59" t="str">
        <f aca="true">IF(A14="","",INDEX(INDIRECT($AZ$1&amp;"$C$5:$C$164"),A14))</f>
        <v/>
      </c>
      <c r="D14" s="61" t="str">
        <f aca="true">IF(A14="","",INDEX(INDIRECT($AZ$1&amp;"$F$5:$F$164"),A14)&amp;"")</f>
        <v/>
      </c>
      <c r="E14" s="61" t="str">
        <f aca="true">IF(A14="","",INDEX(INDIRECT($AZ$1&amp;"$G$5:$G$164"),A14)&amp;"")</f>
        <v/>
      </c>
      <c r="F14" s="61" t="str">
        <f aca="true">IF(A14="","",INDEX(INDIRECT($AZ$1&amp;"$H$5:$H$164"),A14)&amp;"")</f>
        <v/>
      </c>
      <c r="G14" s="13"/>
      <c r="H14" s="41" t="str">
        <f aca="true">IFERROR(IF(I$4="","",MATCH(I$4&amp;"|"&amp;9,INDIRECT($AZ$1&amp;"$J$5:$J$164"),0)),"")</f>
        <v/>
      </c>
      <c r="I14" s="91" t="str">
        <f aca="true">IF(H14="","",SUBSTITUTE(INDEX(INDIRECT($AZ$1&amp;"$A$5:$A$164"),H14),"組","")&amp;"-"&amp;INDEX(INDIRECT($AZ$1&amp;"$B$5:$B$164"),H14))</f>
        <v/>
      </c>
      <c r="J14" s="59" t="str">
        <f aca="true">IF(H14="","",INDEX(INDIRECT($AZ$1&amp;"$C$5:$C$164"),H14))</f>
        <v/>
      </c>
      <c r="K14" s="61" t="str">
        <f aca="true">IF(H14="","",INDEX(INDIRECT($AZ$1&amp;"$F$5:$F$164"),H14)&amp;"")</f>
        <v/>
      </c>
      <c r="L14" s="61" t="str">
        <f aca="true">IF(H14="","",INDEX(INDIRECT($AZ$1&amp;"$G$5:$G$164"),H14)&amp;"")</f>
        <v/>
      </c>
      <c r="M14" s="61" t="str">
        <f aca="true">IF(H14="","",INDEX(INDIRECT($AZ$1&amp;"$H$5:$H$164"),H14)&amp;"")</f>
        <v/>
      </c>
      <c r="N14" s="13"/>
      <c r="O14" s="41" t="str">
        <f aca="true">IFERROR(IF(P$4="","",MATCH(P$4&amp;"|"&amp;9,INDIRECT($AZ$1&amp;"$J$5:$J$164"),0)),"")</f>
        <v/>
      </c>
      <c r="P14" s="91" t="str">
        <f aca="true">IF(O14="","",SUBSTITUTE(INDEX(INDIRECT($AZ$1&amp;"$A$5:$A$164"),O14),"組","")&amp;"-"&amp;INDEX(INDIRECT($AZ$1&amp;"$B$5:$B$164"),O14))</f>
        <v/>
      </c>
      <c r="Q14" s="59" t="str">
        <f aca="true">IF(O14="","",INDEX(INDIRECT($AZ$1&amp;"$C$5:$C$164"),O14))</f>
        <v/>
      </c>
      <c r="R14" s="61" t="str">
        <f aca="true">IF(O14="","",INDEX(INDIRECT($AZ$1&amp;"$F$5:$F$164"),O14)&amp;"")</f>
        <v/>
      </c>
      <c r="S14" s="61" t="str">
        <f aca="true">IF(O14="","",INDEX(INDIRECT($AZ$1&amp;"$G$5:$G$164"),O14)&amp;"")</f>
        <v/>
      </c>
      <c r="T14" s="61" t="str">
        <f aca="true">IF(O14="","",INDEX(INDIRECT($AZ$1&amp;"$H$5:$H$164"),O14)&amp;"")</f>
        <v/>
      </c>
      <c r="U14" s="13"/>
      <c r="V14" s="41" t="str">
        <f aca="true">IFERROR(IF(W$4="","",MATCH(W$4&amp;"|"&amp;9,INDIRECT($AZ$1&amp;"$J$5:$J$164"),0)),"")</f>
        <v/>
      </c>
      <c r="W14" s="91" t="str">
        <f aca="true">IF(V14="","",SUBSTITUTE(INDEX(INDIRECT($AZ$1&amp;"$A$5:$A$164"),V14),"組","")&amp;"-"&amp;INDEX(INDIRECT($AZ$1&amp;"$B$5:$B$164"),V14))</f>
        <v/>
      </c>
      <c r="X14" s="59" t="str">
        <f aca="true">IF(V14="","",INDEX(INDIRECT($AZ$1&amp;"$C$5:$C$164"),V14))</f>
        <v/>
      </c>
      <c r="Y14" s="61" t="str">
        <f aca="true">IF(V14="","",INDEX(INDIRECT($AZ$1&amp;"$F$5:$F$164"),V14)&amp;"")</f>
        <v/>
      </c>
      <c r="Z14" s="61" t="str">
        <f aca="true">IF(V14="","",INDEX(INDIRECT($AZ$1&amp;"$G$5:$G$164"),V14)&amp;"")</f>
        <v/>
      </c>
      <c r="AA14" s="61" t="str">
        <f aca="true">IF(V14="","",INDEX(INDIRECT($AZ$1&amp;"$H$5:$H$164"),V14)&amp;"")</f>
        <v/>
      </c>
      <c r="AB14" s="13"/>
      <c r="AC14" s="41" t="str">
        <f aca="true">IFERROR(IF(AD$4="","",MATCH(AD$4&amp;"|"&amp;9,INDIRECT($AZ$1&amp;"$J$5:$J$164"),0)),"")</f>
        <v/>
      </c>
      <c r="AD14" s="91" t="str">
        <f aca="true">IF(AC14="","",SUBSTITUTE(INDEX(INDIRECT($AZ$1&amp;"$A$5:$A$164"),AC14),"組","")&amp;"-"&amp;INDEX(INDIRECT($AZ$1&amp;"$B$5:$B$164"),AC14))</f>
        <v/>
      </c>
      <c r="AE14" s="59" t="str">
        <f aca="true">IF(AC14="","",INDEX(INDIRECT($AZ$1&amp;"$C$5:$C$164"),AC14))</f>
        <v/>
      </c>
      <c r="AF14" s="61" t="str">
        <f aca="true">IF(AC14="","",INDEX(INDIRECT($AZ$1&amp;"$F$5:$F$164"),AC14)&amp;"")</f>
        <v/>
      </c>
      <c r="AG14" s="61" t="str">
        <f aca="true">IF(AC14="","",INDEX(INDIRECT($AZ$1&amp;"$G$5:$G$164"),AC14)&amp;"")</f>
        <v/>
      </c>
      <c r="AH14" s="61" t="str">
        <f aca="true">IF(AC14="","",INDEX(INDIRECT($AZ$1&amp;"$H$5:$H$164"),AC14)&amp;"")</f>
        <v/>
      </c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</row>
    <row r="15" customFormat="false" ht="18.75" hidden="false" customHeight="true" outlineLevel="0" collapsed="false">
      <c r="A15" s="41" t="str">
        <f aca="true">IFERROR(IF(B$4="","",MATCH(B$4&amp;"|"&amp;10,INDIRECT($AZ$1&amp;"$J$5:$J$164"),0)),"")</f>
        <v/>
      </c>
      <c r="B15" s="91" t="str">
        <f aca="true">IF(A15="","",SUBSTITUTE(INDEX(INDIRECT($AZ$1&amp;"$A$5:$A$164"),A15),"組","")&amp;"-"&amp;INDEX(INDIRECT($AZ$1&amp;"$B$5:$B$164"),A15))</f>
        <v/>
      </c>
      <c r="C15" s="59" t="str">
        <f aca="true">IF(A15="","",INDEX(INDIRECT($AZ$1&amp;"$C$5:$C$164"),A15))</f>
        <v/>
      </c>
      <c r="D15" s="61" t="str">
        <f aca="true">IF(A15="","",INDEX(INDIRECT($AZ$1&amp;"$F$5:$F$164"),A15)&amp;"")</f>
        <v/>
      </c>
      <c r="E15" s="61" t="str">
        <f aca="true">IF(A15="","",INDEX(INDIRECT($AZ$1&amp;"$G$5:$G$164"),A15)&amp;"")</f>
        <v/>
      </c>
      <c r="F15" s="61" t="str">
        <f aca="true">IF(A15="","",INDEX(INDIRECT($AZ$1&amp;"$H$5:$H$164"),A15)&amp;"")</f>
        <v/>
      </c>
      <c r="G15" s="13"/>
      <c r="H15" s="41" t="str">
        <f aca="true">IFERROR(IF(I$4="","",MATCH(I$4&amp;"|"&amp;10,INDIRECT($AZ$1&amp;"$J$5:$J$164"),0)),"")</f>
        <v/>
      </c>
      <c r="I15" s="91" t="str">
        <f aca="true">IF(H15="","",SUBSTITUTE(INDEX(INDIRECT($AZ$1&amp;"$A$5:$A$164"),H15),"組","")&amp;"-"&amp;INDEX(INDIRECT($AZ$1&amp;"$B$5:$B$164"),H15))</f>
        <v/>
      </c>
      <c r="J15" s="59" t="str">
        <f aca="true">IF(H15="","",INDEX(INDIRECT($AZ$1&amp;"$C$5:$C$164"),H15))</f>
        <v/>
      </c>
      <c r="K15" s="61" t="str">
        <f aca="true">IF(H15="","",INDEX(INDIRECT($AZ$1&amp;"$F$5:$F$164"),H15)&amp;"")</f>
        <v/>
      </c>
      <c r="L15" s="61" t="str">
        <f aca="true">IF(H15="","",INDEX(INDIRECT($AZ$1&amp;"$G$5:$G$164"),H15)&amp;"")</f>
        <v/>
      </c>
      <c r="M15" s="61" t="str">
        <f aca="true">IF(H15="","",INDEX(INDIRECT($AZ$1&amp;"$H$5:$H$164"),H15)&amp;"")</f>
        <v/>
      </c>
      <c r="N15" s="13"/>
      <c r="O15" s="41" t="str">
        <f aca="true">IFERROR(IF(P$4="","",MATCH(P$4&amp;"|"&amp;10,INDIRECT($AZ$1&amp;"$J$5:$J$164"),0)),"")</f>
        <v/>
      </c>
      <c r="P15" s="91" t="str">
        <f aca="true">IF(O15="","",SUBSTITUTE(INDEX(INDIRECT($AZ$1&amp;"$A$5:$A$164"),O15),"組","")&amp;"-"&amp;INDEX(INDIRECT($AZ$1&amp;"$B$5:$B$164"),O15))</f>
        <v/>
      </c>
      <c r="Q15" s="59" t="str">
        <f aca="true">IF(O15="","",INDEX(INDIRECT($AZ$1&amp;"$C$5:$C$164"),O15))</f>
        <v/>
      </c>
      <c r="R15" s="61" t="str">
        <f aca="true">IF(O15="","",INDEX(INDIRECT($AZ$1&amp;"$F$5:$F$164"),O15)&amp;"")</f>
        <v/>
      </c>
      <c r="S15" s="61" t="str">
        <f aca="true">IF(O15="","",INDEX(INDIRECT($AZ$1&amp;"$G$5:$G$164"),O15)&amp;"")</f>
        <v/>
      </c>
      <c r="T15" s="61" t="str">
        <f aca="true">IF(O15="","",INDEX(INDIRECT($AZ$1&amp;"$H$5:$H$164"),O15)&amp;"")</f>
        <v/>
      </c>
      <c r="U15" s="13"/>
      <c r="V15" s="41" t="str">
        <f aca="true">IFERROR(IF(W$4="","",MATCH(W$4&amp;"|"&amp;10,INDIRECT($AZ$1&amp;"$J$5:$J$164"),0)),"")</f>
        <v/>
      </c>
      <c r="W15" s="91" t="str">
        <f aca="true">IF(V15="","",SUBSTITUTE(INDEX(INDIRECT($AZ$1&amp;"$A$5:$A$164"),V15),"組","")&amp;"-"&amp;INDEX(INDIRECT($AZ$1&amp;"$B$5:$B$164"),V15))</f>
        <v/>
      </c>
      <c r="X15" s="59" t="str">
        <f aca="true">IF(V15="","",INDEX(INDIRECT($AZ$1&amp;"$C$5:$C$164"),V15))</f>
        <v/>
      </c>
      <c r="Y15" s="61" t="str">
        <f aca="true">IF(V15="","",INDEX(INDIRECT($AZ$1&amp;"$F$5:$F$164"),V15)&amp;"")</f>
        <v/>
      </c>
      <c r="Z15" s="61" t="str">
        <f aca="true">IF(V15="","",INDEX(INDIRECT($AZ$1&amp;"$G$5:$G$164"),V15)&amp;"")</f>
        <v/>
      </c>
      <c r="AA15" s="61" t="str">
        <f aca="true">IF(V15="","",INDEX(INDIRECT($AZ$1&amp;"$H$5:$H$164"),V15)&amp;"")</f>
        <v/>
      </c>
      <c r="AB15" s="13"/>
      <c r="AC15" s="41" t="str">
        <f aca="true">IFERROR(IF(AD$4="","",MATCH(AD$4&amp;"|"&amp;10,INDIRECT($AZ$1&amp;"$J$5:$J$164"),0)),"")</f>
        <v/>
      </c>
      <c r="AD15" s="91" t="str">
        <f aca="true">IF(AC15="","",SUBSTITUTE(INDEX(INDIRECT($AZ$1&amp;"$A$5:$A$164"),AC15),"組","")&amp;"-"&amp;INDEX(INDIRECT($AZ$1&amp;"$B$5:$B$164"),AC15))</f>
        <v/>
      </c>
      <c r="AE15" s="59" t="str">
        <f aca="true">IF(AC15="","",INDEX(INDIRECT($AZ$1&amp;"$C$5:$C$164"),AC15))</f>
        <v/>
      </c>
      <c r="AF15" s="61" t="str">
        <f aca="true">IF(AC15="","",INDEX(INDIRECT($AZ$1&amp;"$F$5:$F$164"),AC15)&amp;"")</f>
        <v/>
      </c>
      <c r="AG15" s="61" t="str">
        <f aca="true">IF(AC15="","",INDEX(INDIRECT($AZ$1&amp;"$G$5:$G$164"),AC15)&amp;"")</f>
        <v/>
      </c>
      <c r="AH15" s="61" t="str">
        <f aca="true">IF(AC15="","",INDEX(INDIRECT($AZ$1&amp;"$H$5:$H$164"),AC15)&amp;"")</f>
        <v/>
      </c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</row>
    <row r="16" customFormat="false" ht="18.75" hidden="false" customHeight="true" outlineLevel="0" collapsed="false">
      <c r="A16" s="41" t="str">
        <f aca="true">IFERROR(IF(B$4="","",MATCH(B$4&amp;"|"&amp;11,INDIRECT($AZ$1&amp;"$J$5:$J$164"),0)),"")</f>
        <v/>
      </c>
      <c r="B16" s="91" t="str">
        <f aca="true">IF(A16="","",SUBSTITUTE(INDEX(INDIRECT($AZ$1&amp;"$A$5:$A$164"),A16),"組","")&amp;"-"&amp;INDEX(INDIRECT($AZ$1&amp;"$B$5:$B$164"),A16))</f>
        <v/>
      </c>
      <c r="C16" s="59" t="str">
        <f aca="true">IF(A16="","",INDEX(INDIRECT($AZ$1&amp;"$C$5:$C$164"),A16))</f>
        <v/>
      </c>
      <c r="D16" s="61" t="str">
        <f aca="true">IF(A16="","",INDEX(INDIRECT($AZ$1&amp;"$F$5:$F$164"),A16)&amp;"")</f>
        <v/>
      </c>
      <c r="E16" s="61" t="str">
        <f aca="true">IF(A16="","",INDEX(INDIRECT($AZ$1&amp;"$G$5:$G$164"),A16)&amp;"")</f>
        <v/>
      </c>
      <c r="F16" s="61" t="str">
        <f aca="true">IF(A16="","",INDEX(INDIRECT($AZ$1&amp;"$H$5:$H$164"),A16)&amp;"")</f>
        <v/>
      </c>
      <c r="G16" s="13"/>
      <c r="H16" s="41" t="str">
        <f aca="true">IFERROR(IF(I$4="","",MATCH(I$4&amp;"|"&amp;11,INDIRECT($AZ$1&amp;"$J$5:$J$164"),0)),"")</f>
        <v/>
      </c>
      <c r="I16" s="91" t="str">
        <f aca="true">IF(H16="","",SUBSTITUTE(INDEX(INDIRECT($AZ$1&amp;"$A$5:$A$164"),H16),"組","")&amp;"-"&amp;INDEX(INDIRECT($AZ$1&amp;"$B$5:$B$164"),H16))</f>
        <v/>
      </c>
      <c r="J16" s="59" t="str">
        <f aca="true">IF(H16="","",INDEX(INDIRECT($AZ$1&amp;"$C$5:$C$164"),H16))</f>
        <v/>
      </c>
      <c r="K16" s="61" t="str">
        <f aca="true">IF(H16="","",INDEX(INDIRECT($AZ$1&amp;"$F$5:$F$164"),H16)&amp;"")</f>
        <v/>
      </c>
      <c r="L16" s="61" t="str">
        <f aca="true">IF(H16="","",INDEX(INDIRECT($AZ$1&amp;"$G$5:$G$164"),H16)&amp;"")</f>
        <v/>
      </c>
      <c r="M16" s="61" t="str">
        <f aca="true">IF(H16="","",INDEX(INDIRECT($AZ$1&amp;"$H$5:$H$164"),H16)&amp;"")</f>
        <v/>
      </c>
      <c r="N16" s="13"/>
      <c r="O16" s="41" t="str">
        <f aca="true">IFERROR(IF(P$4="","",MATCH(P$4&amp;"|"&amp;11,INDIRECT($AZ$1&amp;"$J$5:$J$164"),0)),"")</f>
        <v/>
      </c>
      <c r="P16" s="91" t="str">
        <f aca="true">IF(O16="","",SUBSTITUTE(INDEX(INDIRECT($AZ$1&amp;"$A$5:$A$164"),O16),"組","")&amp;"-"&amp;INDEX(INDIRECT($AZ$1&amp;"$B$5:$B$164"),O16))</f>
        <v/>
      </c>
      <c r="Q16" s="59" t="str">
        <f aca="true">IF(O16="","",INDEX(INDIRECT($AZ$1&amp;"$C$5:$C$164"),O16))</f>
        <v/>
      </c>
      <c r="R16" s="61" t="str">
        <f aca="true">IF(O16="","",INDEX(INDIRECT($AZ$1&amp;"$F$5:$F$164"),O16)&amp;"")</f>
        <v/>
      </c>
      <c r="S16" s="61" t="str">
        <f aca="true">IF(O16="","",INDEX(INDIRECT($AZ$1&amp;"$G$5:$G$164"),O16)&amp;"")</f>
        <v/>
      </c>
      <c r="T16" s="61" t="str">
        <f aca="true">IF(O16="","",INDEX(INDIRECT($AZ$1&amp;"$H$5:$H$164"),O16)&amp;"")</f>
        <v/>
      </c>
      <c r="U16" s="13"/>
      <c r="V16" s="41" t="str">
        <f aca="true">IFERROR(IF(W$4="","",MATCH(W$4&amp;"|"&amp;11,INDIRECT($AZ$1&amp;"$J$5:$J$164"),0)),"")</f>
        <v/>
      </c>
      <c r="W16" s="91" t="str">
        <f aca="true">IF(V16="","",SUBSTITUTE(INDEX(INDIRECT($AZ$1&amp;"$A$5:$A$164"),V16),"組","")&amp;"-"&amp;INDEX(INDIRECT($AZ$1&amp;"$B$5:$B$164"),V16))</f>
        <v/>
      </c>
      <c r="X16" s="59" t="str">
        <f aca="true">IF(V16="","",INDEX(INDIRECT($AZ$1&amp;"$C$5:$C$164"),V16))</f>
        <v/>
      </c>
      <c r="Y16" s="61" t="str">
        <f aca="true">IF(V16="","",INDEX(INDIRECT($AZ$1&amp;"$F$5:$F$164"),V16)&amp;"")</f>
        <v/>
      </c>
      <c r="Z16" s="61" t="str">
        <f aca="true">IF(V16="","",INDEX(INDIRECT($AZ$1&amp;"$G$5:$G$164"),V16)&amp;"")</f>
        <v/>
      </c>
      <c r="AA16" s="61" t="str">
        <f aca="true">IF(V16="","",INDEX(INDIRECT($AZ$1&amp;"$H$5:$H$164"),V16)&amp;"")</f>
        <v/>
      </c>
      <c r="AB16" s="13"/>
      <c r="AC16" s="41" t="str">
        <f aca="true">IFERROR(IF(AD$4="","",MATCH(AD$4&amp;"|"&amp;11,INDIRECT($AZ$1&amp;"$J$5:$J$164"),0)),"")</f>
        <v/>
      </c>
      <c r="AD16" s="91" t="str">
        <f aca="true">IF(AC16="","",SUBSTITUTE(INDEX(INDIRECT($AZ$1&amp;"$A$5:$A$164"),AC16),"組","")&amp;"-"&amp;INDEX(INDIRECT($AZ$1&amp;"$B$5:$B$164"),AC16))</f>
        <v/>
      </c>
      <c r="AE16" s="59" t="str">
        <f aca="true">IF(AC16="","",INDEX(INDIRECT($AZ$1&amp;"$C$5:$C$164"),AC16))</f>
        <v/>
      </c>
      <c r="AF16" s="61" t="str">
        <f aca="true">IF(AC16="","",INDEX(INDIRECT($AZ$1&amp;"$F$5:$F$164"),AC16)&amp;"")</f>
        <v/>
      </c>
      <c r="AG16" s="61" t="str">
        <f aca="true">IF(AC16="","",INDEX(INDIRECT($AZ$1&amp;"$G$5:$G$164"),AC16)&amp;"")</f>
        <v/>
      </c>
      <c r="AH16" s="61" t="str">
        <f aca="true">IF(AC16="","",INDEX(INDIRECT($AZ$1&amp;"$H$5:$H$164"),AC16)&amp;"")</f>
        <v/>
      </c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</row>
    <row r="17" customFormat="false" ht="18.75" hidden="false" customHeight="true" outlineLevel="0" collapsed="false">
      <c r="A17" s="41" t="str">
        <f aca="true">IFERROR(IF(B$4="","",MATCH(B$4&amp;"|"&amp;12,INDIRECT($AZ$1&amp;"$J$5:$J$164"),0)),"")</f>
        <v/>
      </c>
      <c r="B17" s="91" t="str">
        <f aca="true">IF(A17="","",SUBSTITUTE(INDEX(INDIRECT($AZ$1&amp;"$A$5:$A$164"),A17),"組","")&amp;"-"&amp;INDEX(INDIRECT($AZ$1&amp;"$B$5:$B$164"),A17))</f>
        <v/>
      </c>
      <c r="C17" s="59" t="str">
        <f aca="true">IF(A17="","",INDEX(INDIRECT($AZ$1&amp;"$C$5:$C$164"),A17))</f>
        <v/>
      </c>
      <c r="D17" s="61" t="str">
        <f aca="true">IF(A17="","",INDEX(INDIRECT($AZ$1&amp;"$F$5:$F$164"),A17)&amp;"")</f>
        <v/>
      </c>
      <c r="E17" s="61" t="str">
        <f aca="true">IF(A17="","",INDEX(INDIRECT($AZ$1&amp;"$G$5:$G$164"),A17)&amp;"")</f>
        <v/>
      </c>
      <c r="F17" s="61" t="str">
        <f aca="true">IF(A17="","",INDEX(INDIRECT($AZ$1&amp;"$H$5:$H$164"),A17)&amp;"")</f>
        <v/>
      </c>
      <c r="G17" s="13"/>
      <c r="H17" s="41" t="str">
        <f aca="true">IFERROR(IF(I$4="","",MATCH(I$4&amp;"|"&amp;12,INDIRECT($AZ$1&amp;"$J$5:$J$164"),0)),"")</f>
        <v/>
      </c>
      <c r="I17" s="91" t="str">
        <f aca="true">IF(H17="","",SUBSTITUTE(INDEX(INDIRECT($AZ$1&amp;"$A$5:$A$164"),H17),"組","")&amp;"-"&amp;INDEX(INDIRECT($AZ$1&amp;"$B$5:$B$164"),H17))</f>
        <v/>
      </c>
      <c r="J17" s="59" t="str">
        <f aca="true">IF(H17="","",INDEX(INDIRECT($AZ$1&amp;"$C$5:$C$164"),H17))</f>
        <v/>
      </c>
      <c r="K17" s="61" t="str">
        <f aca="true">IF(H17="","",INDEX(INDIRECT($AZ$1&amp;"$F$5:$F$164"),H17)&amp;"")</f>
        <v/>
      </c>
      <c r="L17" s="61" t="str">
        <f aca="true">IF(H17="","",INDEX(INDIRECT($AZ$1&amp;"$G$5:$G$164"),H17)&amp;"")</f>
        <v/>
      </c>
      <c r="M17" s="61" t="str">
        <f aca="true">IF(H17="","",INDEX(INDIRECT($AZ$1&amp;"$H$5:$H$164"),H17)&amp;"")</f>
        <v/>
      </c>
      <c r="N17" s="13"/>
      <c r="O17" s="41" t="str">
        <f aca="true">IFERROR(IF(P$4="","",MATCH(P$4&amp;"|"&amp;12,INDIRECT($AZ$1&amp;"$J$5:$J$164"),0)),"")</f>
        <v/>
      </c>
      <c r="P17" s="91" t="str">
        <f aca="true">IF(O17="","",SUBSTITUTE(INDEX(INDIRECT($AZ$1&amp;"$A$5:$A$164"),O17),"組","")&amp;"-"&amp;INDEX(INDIRECT($AZ$1&amp;"$B$5:$B$164"),O17))</f>
        <v/>
      </c>
      <c r="Q17" s="59" t="str">
        <f aca="true">IF(O17="","",INDEX(INDIRECT($AZ$1&amp;"$C$5:$C$164"),O17))</f>
        <v/>
      </c>
      <c r="R17" s="61" t="str">
        <f aca="true">IF(O17="","",INDEX(INDIRECT($AZ$1&amp;"$F$5:$F$164"),O17)&amp;"")</f>
        <v/>
      </c>
      <c r="S17" s="61" t="str">
        <f aca="true">IF(O17="","",INDEX(INDIRECT($AZ$1&amp;"$G$5:$G$164"),O17)&amp;"")</f>
        <v/>
      </c>
      <c r="T17" s="61" t="str">
        <f aca="true">IF(O17="","",INDEX(INDIRECT($AZ$1&amp;"$H$5:$H$164"),O17)&amp;"")</f>
        <v/>
      </c>
      <c r="U17" s="13"/>
      <c r="V17" s="41" t="str">
        <f aca="true">IFERROR(IF(W$4="","",MATCH(W$4&amp;"|"&amp;12,INDIRECT($AZ$1&amp;"$J$5:$J$164"),0)),"")</f>
        <v/>
      </c>
      <c r="W17" s="91" t="str">
        <f aca="true">IF(V17="","",SUBSTITUTE(INDEX(INDIRECT($AZ$1&amp;"$A$5:$A$164"),V17),"組","")&amp;"-"&amp;INDEX(INDIRECT($AZ$1&amp;"$B$5:$B$164"),V17))</f>
        <v/>
      </c>
      <c r="X17" s="59" t="str">
        <f aca="true">IF(V17="","",INDEX(INDIRECT($AZ$1&amp;"$C$5:$C$164"),V17))</f>
        <v/>
      </c>
      <c r="Y17" s="61" t="str">
        <f aca="true">IF(V17="","",INDEX(INDIRECT($AZ$1&amp;"$F$5:$F$164"),V17)&amp;"")</f>
        <v/>
      </c>
      <c r="Z17" s="61" t="str">
        <f aca="true">IF(V17="","",INDEX(INDIRECT($AZ$1&amp;"$G$5:$G$164"),V17)&amp;"")</f>
        <v/>
      </c>
      <c r="AA17" s="61" t="str">
        <f aca="true">IF(V17="","",INDEX(INDIRECT($AZ$1&amp;"$H$5:$H$164"),V17)&amp;"")</f>
        <v/>
      </c>
      <c r="AB17" s="13"/>
      <c r="AC17" s="41" t="str">
        <f aca="true">IFERROR(IF(AD$4="","",MATCH(AD$4&amp;"|"&amp;12,INDIRECT($AZ$1&amp;"$J$5:$J$164"),0)),"")</f>
        <v/>
      </c>
      <c r="AD17" s="91" t="str">
        <f aca="true">IF(AC17="","",SUBSTITUTE(INDEX(INDIRECT($AZ$1&amp;"$A$5:$A$164"),AC17),"組","")&amp;"-"&amp;INDEX(INDIRECT($AZ$1&amp;"$B$5:$B$164"),AC17))</f>
        <v/>
      </c>
      <c r="AE17" s="59" t="str">
        <f aca="true">IF(AC17="","",INDEX(INDIRECT($AZ$1&amp;"$C$5:$C$164"),AC17))</f>
        <v/>
      </c>
      <c r="AF17" s="61" t="str">
        <f aca="true">IF(AC17="","",INDEX(INDIRECT($AZ$1&amp;"$F$5:$F$164"),AC17)&amp;"")</f>
        <v/>
      </c>
      <c r="AG17" s="61" t="str">
        <f aca="true">IF(AC17="","",INDEX(INDIRECT($AZ$1&amp;"$G$5:$G$164"),AC17)&amp;"")</f>
        <v/>
      </c>
      <c r="AH17" s="61" t="str">
        <f aca="true">IF(AC17="","",INDEX(INDIRECT($AZ$1&amp;"$H$5:$H$164"),AC17)&amp;"")</f>
        <v/>
      </c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</row>
    <row r="18" customFormat="false" ht="18.75" hidden="false" customHeight="true" outlineLevel="0" collapsed="false">
      <c r="A18" s="41" t="str">
        <f aca="true">IFERROR(IF(B$4="","",MATCH(B$4&amp;"|"&amp;13,INDIRECT($AZ$1&amp;"$J$5:$J$164"),0)),"")</f>
        <v/>
      </c>
      <c r="B18" s="91" t="str">
        <f aca="true">IF(A18="","",SUBSTITUTE(INDEX(INDIRECT($AZ$1&amp;"$A$5:$A$164"),A18),"組","")&amp;"-"&amp;INDEX(INDIRECT($AZ$1&amp;"$B$5:$B$164"),A18))</f>
        <v/>
      </c>
      <c r="C18" s="59" t="str">
        <f aca="true">IF(A18="","",INDEX(INDIRECT($AZ$1&amp;"$C$5:$C$164"),A18))</f>
        <v/>
      </c>
      <c r="D18" s="61" t="str">
        <f aca="true">IF(A18="","",INDEX(INDIRECT($AZ$1&amp;"$F$5:$F$164"),A18)&amp;"")</f>
        <v/>
      </c>
      <c r="E18" s="61" t="str">
        <f aca="true">IF(A18="","",INDEX(INDIRECT($AZ$1&amp;"$G$5:$G$164"),A18)&amp;"")</f>
        <v/>
      </c>
      <c r="F18" s="61" t="str">
        <f aca="true">IF(A18="","",INDEX(INDIRECT($AZ$1&amp;"$H$5:$H$164"),A18)&amp;"")</f>
        <v/>
      </c>
      <c r="G18" s="13"/>
      <c r="H18" s="41" t="str">
        <f aca="true">IFERROR(IF(I$4="","",MATCH(I$4&amp;"|"&amp;13,INDIRECT($AZ$1&amp;"$J$5:$J$164"),0)),"")</f>
        <v/>
      </c>
      <c r="I18" s="91" t="str">
        <f aca="true">IF(H18="","",SUBSTITUTE(INDEX(INDIRECT($AZ$1&amp;"$A$5:$A$164"),H18),"組","")&amp;"-"&amp;INDEX(INDIRECT($AZ$1&amp;"$B$5:$B$164"),H18))</f>
        <v/>
      </c>
      <c r="J18" s="59" t="str">
        <f aca="true">IF(H18="","",INDEX(INDIRECT($AZ$1&amp;"$C$5:$C$164"),H18))</f>
        <v/>
      </c>
      <c r="K18" s="61" t="str">
        <f aca="true">IF(H18="","",INDEX(INDIRECT($AZ$1&amp;"$F$5:$F$164"),H18)&amp;"")</f>
        <v/>
      </c>
      <c r="L18" s="61" t="str">
        <f aca="true">IF(H18="","",INDEX(INDIRECT($AZ$1&amp;"$G$5:$G$164"),H18)&amp;"")</f>
        <v/>
      </c>
      <c r="M18" s="61" t="str">
        <f aca="true">IF(H18="","",INDEX(INDIRECT($AZ$1&amp;"$H$5:$H$164"),H18)&amp;"")</f>
        <v/>
      </c>
      <c r="N18" s="13"/>
      <c r="O18" s="41" t="str">
        <f aca="true">IFERROR(IF(P$4="","",MATCH(P$4&amp;"|"&amp;13,INDIRECT($AZ$1&amp;"$J$5:$J$164"),0)),"")</f>
        <v/>
      </c>
      <c r="P18" s="91" t="str">
        <f aca="true">IF(O18="","",SUBSTITUTE(INDEX(INDIRECT($AZ$1&amp;"$A$5:$A$164"),O18),"組","")&amp;"-"&amp;INDEX(INDIRECT($AZ$1&amp;"$B$5:$B$164"),O18))</f>
        <v/>
      </c>
      <c r="Q18" s="59" t="str">
        <f aca="true">IF(O18="","",INDEX(INDIRECT($AZ$1&amp;"$C$5:$C$164"),O18))</f>
        <v/>
      </c>
      <c r="R18" s="61" t="str">
        <f aca="true">IF(O18="","",INDEX(INDIRECT($AZ$1&amp;"$F$5:$F$164"),O18)&amp;"")</f>
        <v/>
      </c>
      <c r="S18" s="61" t="str">
        <f aca="true">IF(O18="","",INDEX(INDIRECT($AZ$1&amp;"$G$5:$G$164"),O18)&amp;"")</f>
        <v/>
      </c>
      <c r="T18" s="61" t="str">
        <f aca="true">IF(O18="","",INDEX(INDIRECT($AZ$1&amp;"$H$5:$H$164"),O18)&amp;"")</f>
        <v/>
      </c>
      <c r="U18" s="13"/>
      <c r="V18" s="41" t="str">
        <f aca="true">IFERROR(IF(W$4="","",MATCH(W$4&amp;"|"&amp;13,INDIRECT($AZ$1&amp;"$J$5:$J$164"),0)),"")</f>
        <v/>
      </c>
      <c r="W18" s="91" t="str">
        <f aca="true">IF(V18="","",SUBSTITUTE(INDEX(INDIRECT($AZ$1&amp;"$A$5:$A$164"),V18),"組","")&amp;"-"&amp;INDEX(INDIRECT($AZ$1&amp;"$B$5:$B$164"),V18))</f>
        <v/>
      </c>
      <c r="X18" s="59" t="str">
        <f aca="true">IF(V18="","",INDEX(INDIRECT($AZ$1&amp;"$C$5:$C$164"),V18))</f>
        <v/>
      </c>
      <c r="Y18" s="61" t="str">
        <f aca="true">IF(V18="","",INDEX(INDIRECT($AZ$1&amp;"$F$5:$F$164"),V18)&amp;"")</f>
        <v/>
      </c>
      <c r="Z18" s="61" t="str">
        <f aca="true">IF(V18="","",INDEX(INDIRECT($AZ$1&amp;"$G$5:$G$164"),V18)&amp;"")</f>
        <v/>
      </c>
      <c r="AA18" s="61" t="str">
        <f aca="true">IF(V18="","",INDEX(INDIRECT($AZ$1&amp;"$H$5:$H$164"),V18)&amp;"")</f>
        <v/>
      </c>
      <c r="AB18" s="13"/>
      <c r="AC18" s="41" t="str">
        <f aca="true">IFERROR(IF(AD$4="","",MATCH(AD$4&amp;"|"&amp;13,INDIRECT($AZ$1&amp;"$J$5:$J$164"),0)),"")</f>
        <v/>
      </c>
      <c r="AD18" s="91" t="str">
        <f aca="true">IF(AC18="","",SUBSTITUTE(INDEX(INDIRECT($AZ$1&amp;"$A$5:$A$164"),AC18),"組","")&amp;"-"&amp;INDEX(INDIRECT($AZ$1&amp;"$B$5:$B$164"),AC18))</f>
        <v/>
      </c>
      <c r="AE18" s="59" t="str">
        <f aca="true">IF(AC18="","",INDEX(INDIRECT($AZ$1&amp;"$C$5:$C$164"),AC18))</f>
        <v/>
      </c>
      <c r="AF18" s="61" t="str">
        <f aca="true">IF(AC18="","",INDEX(INDIRECT($AZ$1&amp;"$F$5:$F$164"),AC18)&amp;"")</f>
        <v/>
      </c>
      <c r="AG18" s="61" t="str">
        <f aca="true">IF(AC18="","",INDEX(INDIRECT($AZ$1&amp;"$G$5:$G$164"),AC18)&amp;"")</f>
        <v/>
      </c>
      <c r="AH18" s="61" t="str">
        <f aca="true">IF(AC18="","",INDEX(INDIRECT($AZ$1&amp;"$H$5:$H$164"),AC18)&amp;"")</f>
        <v/>
      </c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</row>
    <row r="19" customFormat="false" ht="18.75" hidden="false" customHeight="true" outlineLevel="0" collapsed="false">
      <c r="A19" s="41" t="str">
        <f aca="true">IFERROR(IF(B$4="","",MATCH(B$4&amp;"|"&amp;14,INDIRECT($AZ$1&amp;"$J$5:$J$164"),0)),"")</f>
        <v/>
      </c>
      <c r="B19" s="91" t="str">
        <f aca="true">IF(A19="","",SUBSTITUTE(INDEX(INDIRECT($AZ$1&amp;"$A$5:$A$164"),A19),"組","")&amp;"-"&amp;INDEX(INDIRECT($AZ$1&amp;"$B$5:$B$164"),A19))</f>
        <v/>
      </c>
      <c r="C19" s="59" t="str">
        <f aca="true">IF(A19="","",INDEX(INDIRECT($AZ$1&amp;"$C$5:$C$164"),A19))</f>
        <v/>
      </c>
      <c r="D19" s="61" t="str">
        <f aca="true">IF(A19="","",INDEX(INDIRECT($AZ$1&amp;"$F$5:$F$164"),A19)&amp;"")</f>
        <v/>
      </c>
      <c r="E19" s="61" t="str">
        <f aca="true">IF(A19="","",INDEX(INDIRECT($AZ$1&amp;"$G$5:$G$164"),A19)&amp;"")</f>
        <v/>
      </c>
      <c r="F19" s="61" t="str">
        <f aca="true">IF(A19="","",INDEX(INDIRECT($AZ$1&amp;"$H$5:$H$164"),A19)&amp;"")</f>
        <v/>
      </c>
      <c r="G19" s="13"/>
      <c r="H19" s="41" t="str">
        <f aca="true">IFERROR(IF(I$4="","",MATCH(I$4&amp;"|"&amp;14,INDIRECT($AZ$1&amp;"$J$5:$J$164"),0)),"")</f>
        <v/>
      </c>
      <c r="I19" s="91" t="str">
        <f aca="true">IF(H19="","",SUBSTITUTE(INDEX(INDIRECT($AZ$1&amp;"$A$5:$A$164"),H19),"組","")&amp;"-"&amp;INDEX(INDIRECT($AZ$1&amp;"$B$5:$B$164"),H19))</f>
        <v/>
      </c>
      <c r="J19" s="59" t="str">
        <f aca="true">IF(H19="","",INDEX(INDIRECT($AZ$1&amp;"$C$5:$C$164"),H19))</f>
        <v/>
      </c>
      <c r="K19" s="61" t="str">
        <f aca="true">IF(H19="","",INDEX(INDIRECT($AZ$1&amp;"$F$5:$F$164"),H19)&amp;"")</f>
        <v/>
      </c>
      <c r="L19" s="61" t="str">
        <f aca="true">IF(H19="","",INDEX(INDIRECT($AZ$1&amp;"$G$5:$G$164"),H19)&amp;"")</f>
        <v/>
      </c>
      <c r="M19" s="61" t="str">
        <f aca="true">IF(H19="","",INDEX(INDIRECT($AZ$1&amp;"$H$5:$H$164"),H19)&amp;"")</f>
        <v/>
      </c>
      <c r="N19" s="13"/>
      <c r="O19" s="41" t="str">
        <f aca="true">IFERROR(IF(P$4="","",MATCH(P$4&amp;"|"&amp;14,INDIRECT($AZ$1&amp;"$J$5:$J$164"),0)),"")</f>
        <v/>
      </c>
      <c r="P19" s="91" t="str">
        <f aca="true">IF(O19="","",SUBSTITUTE(INDEX(INDIRECT($AZ$1&amp;"$A$5:$A$164"),O19),"組","")&amp;"-"&amp;INDEX(INDIRECT($AZ$1&amp;"$B$5:$B$164"),O19))</f>
        <v/>
      </c>
      <c r="Q19" s="59" t="str">
        <f aca="true">IF(O19="","",INDEX(INDIRECT($AZ$1&amp;"$C$5:$C$164"),O19))</f>
        <v/>
      </c>
      <c r="R19" s="61" t="str">
        <f aca="true">IF(O19="","",INDEX(INDIRECT($AZ$1&amp;"$F$5:$F$164"),O19)&amp;"")</f>
        <v/>
      </c>
      <c r="S19" s="61" t="str">
        <f aca="true">IF(O19="","",INDEX(INDIRECT($AZ$1&amp;"$G$5:$G$164"),O19)&amp;"")</f>
        <v/>
      </c>
      <c r="T19" s="61" t="str">
        <f aca="true">IF(O19="","",INDEX(INDIRECT($AZ$1&amp;"$H$5:$H$164"),O19)&amp;"")</f>
        <v/>
      </c>
      <c r="U19" s="13"/>
      <c r="V19" s="41" t="str">
        <f aca="true">IFERROR(IF(W$4="","",MATCH(W$4&amp;"|"&amp;14,INDIRECT($AZ$1&amp;"$J$5:$J$164"),0)),"")</f>
        <v/>
      </c>
      <c r="W19" s="91" t="str">
        <f aca="true">IF(V19="","",SUBSTITUTE(INDEX(INDIRECT($AZ$1&amp;"$A$5:$A$164"),V19),"組","")&amp;"-"&amp;INDEX(INDIRECT($AZ$1&amp;"$B$5:$B$164"),V19))</f>
        <v/>
      </c>
      <c r="X19" s="59" t="str">
        <f aca="true">IF(V19="","",INDEX(INDIRECT($AZ$1&amp;"$C$5:$C$164"),V19))</f>
        <v/>
      </c>
      <c r="Y19" s="61" t="str">
        <f aca="true">IF(V19="","",INDEX(INDIRECT($AZ$1&amp;"$F$5:$F$164"),V19)&amp;"")</f>
        <v/>
      </c>
      <c r="Z19" s="61" t="str">
        <f aca="true">IF(V19="","",INDEX(INDIRECT($AZ$1&amp;"$G$5:$G$164"),V19)&amp;"")</f>
        <v/>
      </c>
      <c r="AA19" s="61" t="str">
        <f aca="true">IF(V19="","",INDEX(INDIRECT($AZ$1&amp;"$H$5:$H$164"),V19)&amp;"")</f>
        <v/>
      </c>
      <c r="AB19" s="13"/>
      <c r="AC19" s="41" t="str">
        <f aca="true">IFERROR(IF(AD$4="","",MATCH(AD$4&amp;"|"&amp;14,INDIRECT($AZ$1&amp;"$J$5:$J$164"),0)),"")</f>
        <v/>
      </c>
      <c r="AD19" s="91" t="str">
        <f aca="true">IF(AC19="","",SUBSTITUTE(INDEX(INDIRECT($AZ$1&amp;"$A$5:$A$164"),AC19),"組","")&amp;"-"&amp;INDEX(INDIRECT($AZ$1&amp;"$B$5:$B$164"),AC19))</f>
        <v/>
      </c>
      <c r="AE19" s="59" t="str">
        <f aca="true">IF(AC19="","",INDEX(INDIRECT($AZ$1&amp;"$C$5:$C$164"),AC19))</f>
        <v/>
      </c>
      <c r="AF19" s="61" t="str">
        <f aca="true">IF(AC19="","",INDEX(INDIRECT($AZ$1&amp;"$F$5:$F$164"),AC19)&amp;"")</f>
        <v/>
      </c>
      <c r="AG19" s="61" t="str">
        <f aca="true">IF(AC19="","",INDEX(INDIRECT($AZ$1&amp;"$G$5:$G$164"),AC19)&amp;"")</f>
        <v/>
      </c>
      <c r="AH19" s="61" t="str">
        <f aca="true">IF(AC19="","",INDEX(INDIRECT($AZ$1&amp;"$H$5:$H$164"),AC19)&amp;"")</f>
        <v/>
      </c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</row>
    <row r="20" customFormat="false" ht="18.75" hidden="false" customHeight="true" outlineLevel="0" collapsed="false">
      <c r="A20" s="41" t="str">
        <f aca="true">IFERROR(IF(B$4="","",MATCH(B$4&amp;"|"&amp;15,INDIRECT($AZ$1&amp;"$J$5:$J$164"),0)),"")</f>
        <v/>
      </c>
      <c r="B20" s="91" t="str">
        <f aca="true">IF(A20="","",SUBSTITUTE(INDEX(INDIRECT($AZ$1&amp;"$A$5:$A$164"),A20),"組","")&amp;"-"&amp;INDEX(INDIRECT($AZ$1&amp;"$B$5:$B$164"),A20))</f>
        <v/>
      </c>
      <c r="C20" s="59" t="str">
        <f aca="true">IF(A20="","",INDEX(INDIRECT($AZ$1&amp;"$C$5:$C$164"),A20))</f>
        <v/>
      </c>
      <c r="D20" s="61" t="str">
        <f aca="true">IF(A20="","",INDEX(INDIRECT($AZ$1&amp;"$F$5:$F$164"),A20)&amp;"")</f>
        <v/>
      </c>
      <c r="E20" s="61" t="str">
        <f aca="true">IF(A20="","",INDEX(INDIRECT($AZ$1&amp;"$G$5:$G$164"),A20)&amp;"")</f>
        <v/>
      </c>
      <c r="F20" s="61" t="str">
        <f aca="true">IF(A20="","",INDEX(INDIRECT($AZ$1&amp;"$H$5:$H$164"),A20)&amp;"")</f>
        <v/>
      </c>
      <c r="G20" s="13"/>
      <c r="H20" s="41" t="str">
        <f aca="true">IFERROR(IF(I$4="","",MATCH(I$4&amp;"|"&amp;15,INDIRECT($AZ$1&amp;"$J$5:$J$164"),0)),"")</f>
        <v/>
      </c>
      <c r="I20" s="91" t="str">
        <f aca="true">IF(H20="","",SUBSTITUTE(INDEX(INDIRECT($AZ$1&amp;"$A$5:$A$164"),H20),"組","")&amp;"-"&amp;INDEX(INDIRECT($AZ$1&amp;"$B$5:$B$164"),H20))</f>
        <v/>
      </c>
      <c r="J20" s="59" t="str">
        <f aca="true">IF(H20="","",INDEX(INDIRECT($AZ$1&amp;"$C$5:$C$164"),H20))</f>
        <v/>
      </c>
      <c r="K20" s="61" t="str">
        <f aca="true">IF(H20="","",INDEX(INDIRECT($AZ$1&amp;"$F$5:$F$164"),H20)&amp;"")</f>
        <v/>
      </c>
      <c r="L20" s="61" t="str">
        <f aca="true">IF(H20="","",INDEX(INDIRECT($AZ$1&amp;"$G$5:$G$164"),H20)&amp;"")</f>
        <v/>
      </c>
      <c r="M20" s="61" t="str">
        <f aca="true">IF(H20="","",INDEX(INDIRECT($AZ$1&amp;"$H$5:$H$164"),H20)&amp;"")</f>
        <v/>
      </c>
      <c r="N20" s="13"/>
      <c r="O20" s="41" t="str">
        <f aca="true">IFERROR(IF(P$4="","",MATCH(P$4&amp;"|"&amp;15,INDIRECT($AZ$1&amp;"$J$5:$J$164"),0)),"")</f>
        <v/>
      </c>
      <c r="P20" s="91" t="str">
        <f aca="true">IF(O20="","",SUBSTITUTE(INDEX(INDIRECT($AZ$1&amp;"$A$5:$A$164"),O20),"組","")&amp;"-"&amp;INDEX(INDIRECT($AZ$1&amp;"$B$5:$B$164"),O20))</f>
        <v/>
      </c>
      <c r="Q20" s="59" t="str">
        <f aca="true">IF(O20="","",INDEX(INDIRECT($AZ$1&amp;"$C$5:$C$164"),O20))</f>
        <v/>
      </c>
      <c r="R20" s="61" t="str">
        <f aca="true">IF(O20="","",INDEX(INDIRECT($AZ$1&amp;"$F$5:$F$164"),O20)&amp;"")</f>
        <v/>
      </c>
      <c r="S20" s="61" t="str">
        <f aca="true">IF(O20="","",INDEX(INDIRECT($AZ$1&amp;"$G$5:$G$164"),O20)&amp;"")</f>
        <v/>
      </c>
      <c r="T20" s="61" t="str">
        <f aca="true">IF(O20="","",INDEX(INDIRECT($AZ$1&amp;"$H$5:$H$164"),O20)&amp;"")</f>
        <v/>
      </c>
      <c r="U20" s="13"/>
      <c r="V20" s="41" t="str">
        <f aca="true">IFERROR(IF(W$4="","",MATCH(W$4&amp;"|"&amp;15,INDIRECT($AZ$1&amp;"$J$5:$J$164"),0)),"")</f>
        <v/>
      </c>
      <c r="W20" s="91" t="str">
        <f aca="true">IF(V20="","",SUBSTITUTE(INDEX(INDIRECT($AZ$1&amp;"$A$5:$A$164"),V20),"組","")&amp;"-"&amp;INDEX(INDIRECT($AZ$1&amp;"$B$5:$B$164"),V20))</f>
        <v/>
      </c>
      <c r="X20" s="59" t="str">
        <f aca="true">IF(V20="","",INDEX(INDIRECT($AZ$1&amp;"$C$5:$C$164"),V20))</f>
        <v/>
      </c>
      <c r="Y20" s="61" t="str">
        <f aca="true">IF(V20="","",INDEX(INDIRECT($AZ$1&amp;"$F$5:$F$164"),V20)&amp;"")</f>
        <v/>
      </c>
      <c r="Z20" s="61" t="str">
        <f aca="true">IF(V20="","",INDEX(INDIRECT($AZ$1&amp;"$G$5:$G$164"),V20)&amp;"")</f>
        <v/>
      </c>
      <c r="AA20" s="61" t="str">
        <f aca="true">IF(V20="","",INDEX(INDIRECT($AZ$1&amp;"$H$5:$H$164"),V20)&amp;"")</f>
        <v/>
      </c>
      <c r="AB20" s="13"/>
      <c r="AC20" s="41" t="str">
        <f aca="true">IFERROR(IF(AD$4="","",MATCH(AD$4&amp;"|"&amp;15,INDIRECT($AZ$1&amp;"$J$5:$J$164"),0)),"")</f>
        <v/>
      </c>
      <c r="AD20" s="91" t="str">
        <f aca="true">IF(AC20="","",SUBSTITUTE(INDEX(INDIRECT($AZ$1&amp;"$A$5:$A$164"),AC20),"組","")&amp;"-"&amp;INDEX(INDIRECT($AZ$1&amp;"$B$5:$B$164"),AC20))</f>
        <v/>
      </c>
      <c r="AE20" s="59" t="str">
        <f aca="true">IF(AC20="","",INDEX(INDIRECT($AZ$1&amp;"$C$5:$C$164"),AC20))</f>
        <v/>
      </c>
      <c r="AF20" s="61" t="str">
        <f aca="true">IF(AC20="","",INDEX(INDIRECT($AZ$1&amp;"$F$5:$F$164"),AC20)&amp;"")</f>
        <v/>
      </c>
      <c r="AG20" s="61" t="str">
        <f aca="true">IF(AC20="","",INDEX(INDIRECT($AZ$1&amp;"$G$5:$G$164"),AC20)&amp;"")</f>
        <v/>
      </c>
      <c r="AH20" s="61" t="str">
        <f aca="true">IF(AC20="","",INDEX(INDIRECT($AZ$1&amp;"$H$5:$H$164"),AC20)&amp;"")</f>
        <v/>
      </c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</row>
    <row r="21" customFormat="false" ht="18.75" hidden="false" customHeight="true" outlineLevel="0" collapsed="false">
      <c r="A21" s="41" t="str">
        <f aca="true">IFERROR(IF(B$4="","",MATCH(B$4&amp;"|"&amp;16,INDIRECT($AZ$1&amp;"$J$5:$J$164"),0)),"")</f>
        <v/>
      </c>
      <c r="B21" s="91" t="str">
        <f aca="true">IF(A21="","",SUBSTITUTE(INDEX(INDIRECT($AZ$1&amp;"$A$5:$A$164"),A21),"組","")&amp;"-"&amp;INDEX(INDIRECT($AZ$1&amp;"$B$5:$B$164"),A21))</f>
        <v/>
      </c>
      <c r="C21" s="59" t="str">
        <f aca="true">IF(A21="","",INDEX(INDIRECT($AZ$1&amp;"$C$5:$C$164"),A21))</f>
        <v/>
      </c>
      <c r="D21" s="61" t="str">
        <f aca="true">IF(A21="","",INDEX(INDIRECT($AZ$1&amp;"$F$5:$F$164"),A21)&amp;"")</f>
        <v/>
      </c>
      <c r="E21" s="61" t="str">
        <f aca="true">IF(A21="","",INDEX(INDIRECT($AZ$1&amp;"$G$5:$G$164"),A21)&amp;"")</f>
        <v/>
      </c>
      <c r="F21" s="61" t="str">
        <f aca="true">IF(A21="","",INDEX(INDIRECT($AZ$1&amp;"$H$5:$H$164"),A21)&amp;"")</f>
        <v/>
      </c>
      <c r="G21" s="13"/>
      <c r="H21" s="41" t="str">
        <f aca="true">IFERROR(IF(I$4="","",MATCH(I$4&amp;"|"&amp;16,INDIRECT($AZ$1&amp;"$J$5:$J$164"),0)),"")</f>
        <v/>
      </c>
      <c r="I21" s="91" t="str">
        <f aca="true">IF(H21="","",SUBSTITUTE(INDEX(INDIRECT($AZ$1&amp;"$A$5:$A$164"),H21),"組","")&amp;"-"&amp;INDEX(INDIRECT($AZ$1&amp;"$B$5:$B$164"),H21))</f>
        <v/>
      </c>
      <c r="J21" s="59" t="str">
        <f aca="true">IF(H21="","",INDEX(INDIRECT($AZ$1&amp;"$C$5:$C$164"),H21))</f>
        <v/>
      </c>
      <c r="K21" s="61" t="str">
        <f aca="true">IF(H21="","",INDEX(INDIRECT($AZ$1&amp;"$F$5:$F$164"),H21)&amp;"")</f>
        <v/>
      </c>
      <c r="L21" s="61" t="str">
        <f aca="true">IF(H21="","",INDEX(INDIRECT($AZ$1&amp;"$G$5:$G$164"),H21)&amp;"")</f>
        <v/>
      </c>
      <c r="M21" s="61" t="str">
        <f aca="true">IF(H21="","",INDEX(INDIRECT($AZ$1&amp;"$H$5:$H$164"),H21)&amp;"")</f>
        <v/>
      </c>
      <c r="N21" s="13"/>
      <c r="O21" s="41" t="str">
        <f aca="true">IFERROR(IF(P$4="","",MATCH(P$4&amp;"|"&amp;16,INDIRECT($AZ$1&amp;"$J$5:$J$164"),0)),"")</f>
        <v/>
      </c>
      <c r="P21" s="91" t="str">
        <f aca="true">IF(O21="","",SUBSTITUTE(INDEX(INDIRECT($AZ$1&amp;"$A$5:$A$164"),O21),"組","")&amp;"-"&amp;INDEX(INDIRECT($AZ$1&amp;"$B$5:$B$164"),O21))</f>
        <v/>
      </c>
      <c r="Q21" s="59" t="str">
        <f aca="true">IF(O21="","",INDEX(INDIRECT($AZ$1&amp;"$C$5:$C$164"),O21))</f>
        <v/>
      </c>
      <c r="R21" s="61" t="str">
        <f aca="true">IF(O21="","",INDEX(INDIRECT($AZ$1&amp;"$F$5:$F$164"),O21)&amp;"")</f>
        <v/>
      </c>
      <c r="S21" s="61" t="str">
        <f aca="true">IF(O21="","",INDEX(INDIRECT($AZ$1&amp;"$G$5:$G$164"),O21)&amp;"")</f>
        <v/>
      </c>
      <c r="T21" s="61" t="str">
        <f aca="true">IF(O21="","",INDEX(INDIRECT($AZ$1&amp;"$H$5:$H$164"),O21)&amp;"")</f>
        <v/>
      </c>
      <c r="U21" s="13"/>
      <c r="V21" s="41" t="str">
        <f aca="true">IFERROR(IF(W$4="","",MATCH(W$4&amp;"|"&amp;16,INDIRECT($AZ$1&amp;"$J$5:$J$164"),0)),"")</f>
        <v/>
      </c>
      <c r="W21" s="91" t="str">
        <f aca="true">IF(V21="","",SUBSTITUTE(INDEX(INDIRECT($AZ$1&amp;"$A$5:$A$164"),V21),"組","")&amp;"-"&amp;INDEX(INDIRECT($AZ$1&amp;"$B$5:$B$164"),V21))</f>
        <v/>
      </c>
      <c r="X21" s="59" t="str">
        <f aca="true">IF(V21="","",INDEX(INDIRECT($AZ$1&amp;"$C$5:$C$164"),V21))</f>
        <v/>
      </c>
      <c r="Y21" s="61" t="str">
        <f aca="true">IF(V21="","",INDEX(INDIRECT($AZ$1&amp;"$F$5:$F$164"),V21)&amp;"")</f>
        <v/>
      </c>
      <c r="Z21" s="61" t="str">
        <f aca="true">IF(V21="","",INDEX(INDIRECT($AZ$1&amp;"$G$5:$G$164"),V21)&amp;"")</f>
        <v/>
      </c>
      <c r="AA21" s="61" t="str">
        <f aca="true">IF(V21="","",INDEX(INDIRECT($AZ$1&amp;"$H$5:$H$164"),V21)&amp;"")</f>
        <v/>
      </c>
      <c r="AB21" s="13"/>
      <c r="AC21" s="41" t="str">
        <f aca="true">IFERROR(IF(AD$4="","",MATCH(AD$4&amp;"|"&amp;16,INDIRECT($AZ$1&amp;"$J$5:$J$164"),0)),"")</f>
        <v/>
      </c>
      <c r="AD21" s="91" t="str">
        <f aca="true">IF(AC21="","",SUBSTITUTE(INDEX(INDIRECT($AZ$1&amp;"$A$5:$A$164"),AC21),"組","")&amp;"-"&amp;INDEX(INDIRECT($AZ$1&amp;"$B$5:$B$164"),AC21))</f>
        <v/>
      </c>
      <c r="AE21" s="59" t="str">
        <f aca="true">IF(AC21="","",INDEX(INDIRECT($AZ$1&amp;"$C$5:$C$164"),AC21))</f>
        <v/>
      </c>
      <c r="AF21" s="61" t="str">
        <f aca="true">IF(AC21="","",INDEX(INDIRECT($AZ$1&amp;"$F$5:$F$164"),AC21)&amp;"")</f>
        <v/>
      </c>
      <c r="AG21" s="61" t="str">
        <f aca="true">IF(AC21="","",INDEX(INDIRECT($AZ$1&amp;"$G$5:$G$164"),AC21)&amp;"")</f>
        <v/>
      </c>
      <c r="AH21" s="61" t="str">
        <f aca="true">IF(AC21="","",INDEX(INDIRECT($AZ$1&amp;"$H$5:$H$164"),AC21)&amp;"")</f>
        <v/>
      </c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</row>
    <row r="22" customFormat="false" ht="18.75" hidden="false" customHeight="true" outlineLevel="0" collapsed="false">
      <c r="A22" s="41" t="str">
        <f aca="true">IFERROR(IF(B$4="","",MATCH(B$4&amp;"|"&amp;17,INDIRECT($AZ$1&amp;"$J$5:$J$164"),0)),"")</f>
        <v/>
      </c>
      <c r="B22" s="91" t="str">
        <f aca="true">IF(A22="","",SUBSTITUTE(INDEX(INDIRECT($AZ$1&amp;"$A$5:$A$164"),A22),"組","")&amp;"-"&amp;INDEX(INDIRECT($AZ$1&amp;"$B$5:$B$164"),A22))</f>
        <v/>
      </c>
      <c r="C22" s="59" t="str">
        <f aca="true">IF(A22="","",INDEX(INDIRECT($AZ$1&amp;"$C$5:$C$164"),A22))</f>
        <v/>
      </c>
      <c r="D22" s="61" t="str">
        <f aca="true">IF(A22="","",INDEX(INDIRECT($AZ$1&amp;"$F$5:$F$164"),A22)&amp;"")</f>
        <v/>
      </c>
      <c r="E22" s="61" t="str">
        <f aca="true">IF(A22="","",INDEX(INDIRECT($AZ$1&amp;"$G$5:$G$164"),A22)&amp;"")</f>
        <v/>
      </c>
      <c r="F22" s="61" t="str">
        <f aca="true">IF(A22="","",INDEX(INDIRECT($AZ$1&amp;"$H$5:$H$164"),A22)&amp;"")</f>
        <v/>
      </c>
      <c r="G22" s="13"/>
      <c r="H22" s="41" t="str">
        <f aca="true">IFERROR(IF(I$4="","",MATCH(I$4&amp;"|"&amp;17,INDIRECT($AZ$1&amp;"$J$5:$J$164"),0)),"")</f>
        <v/>
      </c>
      <c r="I22" s="91" t="str">
        <f aca="true">IF(H22="","",SUBSTITUTE(INDEX(INDIRECT($AZ$1&amp;"$A$5:$A$164"),H22),"組","")&amp;"-"&amp;INDEX(INDIRECT($AZ$1&amp;"$B$5:$B$164"),H22))</f>
        <v/>
      </c>
      <c r="J22" s="59" t="str">
        <f aca="true">IF(H22="","",INDEX(INDIRECT($AZ$1&amp;"$C$5:$C$164"),H22))</f>
        <v/>
      </c>
      <c r="K22" s="61" t="str">
        <f aca="true">IF(H22="","",INDEX(INDIRECT($AZ$1&amp;"$F$5:$F$164"),H22)&amp;"")</f>
        <v/>
      </c>
      <c r="L22" s="61" t="str">
        <f aca="true">IF(H22="","",INDEX(INDIRECT($AZ$1&amp;"$G$5:$G$164"),H22)&amp;"")</f>
        <v/>
      </c>
      <c r="M22" s="61" t="str">
        <f aca="true">IF(H22="","",INDEX(INDIRECT($AZ$1&amp;"$H$5:$H$164"),H22)&amp;"")</f>
        <v/>
      </c>
      <c r="N22" s="13"/>
      <c r="O22" s="41" t="str">
        <f aca="true">IFERROR(IF(P$4="","",MATCH(P$4&amp;"|"&amp;17,INDIRECT($AZ$1&amp;"$J$5:$J$164"),0)),"")</f>
        <v/>
      </c>
      <c r="P22" s="91" t="str">
        <f aca="true">IF(O22="","",SUBSTITUTE(INDEX(INDIRECT($AZ$1&amp;"$A$5:$A$164"),O22),"組","")&amp;"-"&amp;INDEX(INDIRECT($AZ$1&amp;"$B$5:$B$164"),O22))</f>
        <v/>
      </c>
      <c r="Q22" s="59" t="str">
        <f aca="true">IF(O22="","",INDEX(INDIRECT($AZ$1&amp;"$C$5:$C$164"),O22))</f>
        <v/>
      </c>
      <c r="R22" s="61" t="str">
        <f aca="true">IF(O22="","",INDEX(INDIRECT($AZ$1&amp;"$F$5:$F$164"),O22)&amp;"")</f>
        <v/>
      </c>
      <c r="S22" s="61" t="str">
        <f aca="true">IF(O22="","",INDEX(INDIRECT($AZ$1&amp;"$G$5:$G$164"),O22)&amp;"")</f>
        <v/>
      </c>
      <c r="T22" s="61" t="str">
        <f aca="true">IF(O22="","",INDEX(INDIRECT($AZ$1&amp;"$H$5:$H$164"),O22)&amp;"")</f>
        <v/>
      </c>
      <c r="U22" s="13"/>
      <c r="V22" s="41" t="str">
        <f aca="true">IFERROR(IF(W$4="","",MATCH(W$4&amp;"|"&amp;17,INDIRECT($AZ$1&amp;"$J$5:$J$164"),0)),"")</f>
        <v/>
      </c>
      <c r="W22" s="91" t="str">
        <f aca="true">IF(V22="","",SUBSTITUTE(INDEX(INDIRECT($AZ$1&amp;"$A$5:$A$164"),V22),"組","")&amp;"-"&amp;INDEX(INDIRECT($AZ$1&amp;"$B$5:$B$164"),V22))</f>
        <v/>
      </c>
      <c r="X22" s="59" t="str">
        <f aca="true">IF(V22="","",INDEX(INDIRECT($AZ$1&amp;"$C$5:$C$164"),V22))</f>
        <v/>
      </c>
      <c r="Y22" s="61" t="str">
        <f aca="true">IF(V22="","",INDEX(INDIRECT($AZ$1&amp;"$F$5:$F$164"),V22)&amp;"")</f>
        <v/>
      </c>
      <c r="Z22" s="61" t="str">
        <f aca="true">IF(V22="","",INDEX(INDIRECT($AZ$1&amp;"$G$5:$G$164"),V22)&amp;"")</f>
        <v/>
      </c>
      <c r="AA22" s="61" t="str">
        <f aca="true">IF(V22="","",INDEX(INDIRECT($AZ$1&amp;"$H$5:$H$164"),V22)&amp;"")</f>
        <v/>
      </c>
      <c r="AB22" s="13"/>
      <c r="AC22" s="41" t="str">
        <f aca="true">IFERROR(IF(AD$4="","",MATCH(AD$4&amp;"|"&amp;17,INDIRECT($AZ$1&amp;"$J$5:$J$164"),0)),"")</f>
        <v/>
      </c>
      <c r="AD22" s="91" t="str">
        <f aca="true">IF(AC22="","",SUBSTITUTE(INDEX(INDIRECT($AZ$1&amp;"$A$5:$A$164"),AC22),"組","")&amp;"-"&amp;INDEX(INDIRECT($AZ$1&amp;"$B$5:$B$164"),AC22))</f>
        <v/>
      </c>
      <c r="AE22" s="59" t="str">
        <f aca="true">IF(AC22="","",INDEX(INDIRECT($AZ$1&amp;"$C$5:$C$164"),AC22))</f>
        <v/>
      </c>
      <c r="AF22" s="61" t="str">
        <f aca="true">IF(AC22="","",INDEX(INDIRECT($AZ$1&amp;"$F$5:$F$164"),AC22)&amp;"")</f>
        <v/>
      </c>
      <c r="AG22" s="61" t="str">
        <f aca="true">IF(AC22="","",INDEX(INDIRECT($AZ$1&amp;"$G$5:$G$164"),AC22)&amp;"")</f>
        <v/>
      </c>
      <c r="AH22" s="61" t="str">
        <f aca="true">IF(AC22="","",INDEX(INDIRECT($AZ$1&amp;"$H$5:$H$164"),AC22)&amp;"")</f>
        <v/>
      </c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</row>
    <row r="23" customFormat="false" ht="18.75" hidden="false" customHeight="true" outlineLevel="0" collapsed="false">
      <c r="A23" s="41" t="str">
        <f aca="true">IFERROR(IF(B$4="","",MATCH(B$4&amp;"|"&amp;18,INDIRECT($AZ$1&amp;"$J$5:$J$164"),0)),"")</f>
        <v/>
      </c>
      <c r="B23" s="91" t="str">
        <f aca="true">IF(A23="","",SUBSTITUTE(INDEX(INDIRECT($AZ$1&amp;"$A$5:$A$164"),A23),"組","")&amp;"-"&amp;INDEX(INDIRECT($AZ$1&amp;"$B$5:$B$164"),A23))</f>
        <v/>
      </c>
      <c r="C23" s="59" t="str">
        <f aca="true">IF(A23="","",INDEX(INDIRECT($AZ$1&amp;"$C$5:$C$164"),A23))</f>
        <v/>
      </c>
      <c r="D23" s="61" t="str">
        <f aca="true">IF(A23="","",INDEX(INDIRECT($AZ$1&amp;"$F$5:$F$164"),A23)&amp;"")</f>
        <v/>
      </c>
      <c r="E23" s="61" t="str">
        <f aca="true">IF(A23="","",INDEX(INDIRECT($AZ$1&amp;"$G$5:$G$164"),A23)&amp;"")</f>
        <v/>
      </c>
      <c r="F23" s="61" t="str">
        <f aca="true">IF(A23="","",INDEX(INDIRECT($AZ$1&amp;"$H$5:$H$164"),A23)&amp;"")</f>
        <v/>
      </c>
      <c r="G23" s="13"/>
      <c r="H23" s="41" t="str">
        <f aca="true">IFERROR(IF(I$4="","",MATCH(I$4&amp;"|"&amp;18,INDIRECT($AZ$1&amp;"$J$5:$J$164"),0)),"")</f>
        <v/>
      </c>
      <c r="I23" s="91" t="str">
        <f aca="true">IF(H23="","",SUBSTITUTE(INDEX(INDIRECT($AZ$1&amp;"$A$5:$A$164"),H23),"組","")&amp;"-"&amp;INDEX(INDIRECT($AZ$1&amp;"$B$5:$B$164"),H23))</f>
        <v/>
      </c>
      <c r="J23" s="59" t="str">
        <f aca="true">IF(H23="","",INDEX(INDIRECT($AZ$1&amp;"$C$5:$C$164"),H23))</f>
        <v/>
      </c>
      <c r="K23" s="61" t="str">
        <f aca="true">IF(H23="","",INDEX(INDIRECT($AZ$1&amp;"$F$5:$F$164"),H23)&amp;"")</f>
        <v/>
      </c>
      <c r="L23" s="61" t="str">
        <f aca="true">IF(H23="","",INDEX(INDIRECT($AZ$1&amp;"$G$5:$G$164"),H23)&amp;"")</f>
        <v/>
      </c>
      <c r="M23" s="61" t="str">
        <f aca="true">IF(H23="","",INDEX(INDIRECT($AZ$1&amp;"$H$5:$H$164"),H23)&amp;"")</f>
        <v/>
      </c>
      <c r="N23" s="13"/>
      <c r="O23" s="41" t="str">
        <f aca="true">IFERROR(IF(P$4="","",MATCH(P$4&amp;"|"&amp;18,INDIRECT($AZ$1&amp;"$J$5:$J$164"),0)),"")</f>
        <v/>
      </c>
      <c r="P23" s="91" t="str">
        <f aca="true">IF(O23="","",SUBSTITUTE(INDEX(INDIRECT($AZ$1&amp;"$A$5:$A$164"),O23),"組","")&amp;"-"&amp;INDEX(INDIRECT($AZ$1&amp;"$B$5:$B$164"),O23))</f>
        <v/>
      </c>
      <c r="Q23" s="59" t="str">
        <f aca="true">IF(O23="","",INDEX(INDIRECT($AZ$1&amp;"$C$5:$C$164"),O23))</f>
        <v/>
      </c>
      <c r="R23" s="61" t="str">
        <f aca="true">IF(O23="","",INDEX(INDIRECT($AZ$1&amp;"$F$5:$F$164"),O23)&amp;"")</f>
        <v/>
      </c>
      <c r="S23" s="61" t="str">
        <f aca="true">IF(O23="","",INDEX(INDIRECT($AZ$1&amp;"$G$5:$G$164"),O23)&amp;"")</f>
        <v/>
      </c>
      <c r="T23" s="61" t="str">
        <f aca="true">IF(O23="","",INDEX(INDIRECT($AZ$1&amp;"$H$5:$H$164"),O23)&amp;"")</f>
        <v/>
      </c>
      <c r="U23" s="13"/>
      <c r="V23" s="41" t="str">
        <f aca="true">IFERROR(IF(W$4="","",MATCH(W$4&amp;"|"&amp;18,INDIRECT($AZ$1&amp;"$J$5:$J$164"),0)),"")</f>
        <v/>
      </c>
      <c r="W23" s="91" t="str">
        <f aca="true">IF(V23="","",SUBSTITUTE(INDEX(INDIRECT($AZ$1&amp;"$A$5:$A$164"),V23),"組","")&amp;"-"&amp;INDEX(INDIRECT($AZ$1&amp;"$B$5:$B$164"),V23))</f>
        <v/>
      </c>
      <c r="X23" s="59" t="str">
        <f aca="true">IF(V23="","",INDEX(INDIRECT($AZ$1&amp;"$C$5:$C$164"),V23))</f>
        <v/>
      </c>
      <c r="Y23" s="61" t="str">
        <f aca="true">IF(V23="","",INDEX(INDIRECT($AZ$1&amp;"$F$5:$F$164"),V23)&amp;"")</f>
        <v/>
      </c>
      <c r="Z23" s="61" t="str">
        <f aca="true">IF(V23="","",INDEX(INDIRECT($AZ$1&amp;"$G$5:$G$164"),V23)&amp;"")</f>
        <v/>
      </c>
      <c r="AA23" s="61" t="str">
        <f aca="true">IF(V23="","",INDEX(INDIRECT($AZ$1&amp;"$H$5:$H$164"),V23)&amp;"")</f>
        <v/>
      </c>
      <c r="AB23" s="13"/>
      <c r="AC23" s="41" t="str">
        <f aca="true">IFERROR(IF(AD$4="","",MATCH(AD$4&amp;"|"&amp;18,INDIRECT($AZ$1&amp;"$J$5:$J$164"),0)),"")</f>
        <v/>
      </c>
      <c r="AD23" s="91" t="str">
        <f aca="true">IF(AC23="","",SUBSTITUTE(INDEX(INDIRECT($AZ$1&amp;"$A$5:$A$164"),AC23),"組","")&amp;"-"&amp;INDEX(INDIRECT($AZ$1&amp;"$B$5:$B$164"),AC23))</f>
        <v/>
      </c>
      <c r="AE23" s="59" t="str">
        <f aca="true">IF(AC23="","",INDEX(INDIRECT($AZ$1&amp;"$C$5:$C$164"),AC23))</f>
        <v/>
      </c>
      <c r="AF23" s="61" t="str">
        <f aca="true">IF(AC23="","",INDEX(INDIRECT($AZ$1&amp;"$F$5:$F$164"),AC23)&amp;"")</f>
        <v/>
      </c>
      <c r="AG23" s="61" t="str">
        <f aca="true">IF(AC23="","",INDEX(INDIRECT($AZ$1&amp;"$G$5:$G$164"),AC23)&amp;"")</f>
        <v/>
      </c>
      <c r="AH23" s="61" t="str">
        <f aca="true">IF(AC23="","",INDEX(INDIRECT($AZ$1&amp;"$H$5:$H$164"),AC23)&amp;"")</f>
        <v/>
      </c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</row>
    <row r="24" customFormat="false" ht="18.75" hidden="false" customHeight="true" outlineLevel="0" collapsed="false">
      <c r="A24" s="41" t="str">
        <f aca="true">IFERROR(IF(B$4="","",MATCH(B$4&amp;"|"&amp;19,INDIRECT($AZ$1&amp;"$J$5:$J$164"),0)),"")</f>
        <v/>
      </c>
      <c r="B24" s="91" t="str">
        <f aca="true">IF(A24="","",SUBSTITUTE(INDEX(INDIRECT($AZ$1&amp;"$A$5:$A$164"),A24),"組","")&amp;"-"&amp;INDEX(INDIRECT($AZ$1&amp;"$B$5:$B$164"),A24))</f>
        <v/>
      </c>
      <c r="C24" s="59" t="str">
        <f aca="true">IF(A24="","",INDEX(INDIRECT($AZ$1&amp;"$C$5:$C$164"),A24))</f>
        <v/>
      </c>
      <c r="D24" s="61" t="str">
        <f aca="true">IF(A24="","",INDEX(INDIRECT($AZ$1&amp;"$F$5:$F$164"),A24)&amp;"")</f>
        <v/>
      </c>
      <c r="E24" s="61" t="str">
        <f aca="true">IF(A24="","",INDEX(INDIRECT($AZ$1&amp;"$G$5:$G$164"),A24)&amp;"")</f>
        <v/>
      </c>
      <c r="F24" s="61" t="str">
        <f aca="true">IF(A24="","",INDEX(INDIRECT($AZ$1&amp;"$H$5:$H$164"),A24)&amp;"")</f>
        <v/>
      </c>
      <c r="G24" s="13"/>
      <c r="H24" s="41" t="str">
        <f aca="true">IFERROR(IF(I$4="","",MATCH(I$4&amp;"|"&amp;19,INDIRECT($AZ$1&amp;"$J$5:$J$164"),0)),"")</f>
        <v/>
      </c>
      <c r="I24" s="91" t="str">
        <f aca="true">IF(H24="","",SUBSTITUTE(INDEX(INDIRECT($AZ$1&amp;"$A$5:$A$164"),H24),"組","")&amp;"-"&amp;INDEX(INDIRECT($AZ$1&amp;"$B$5:$B$164"),H24))</f>
        <v/>
      </c>
      <c r="J24" s="59" t="str">
        <f aca="true">IF(H24="","",INDEX(INDIRECT($AZ$1&amp;"$C$5:$C$164"),H24))</f>
        <v/>
      </c>
      <c r="K24" s="61" t="str">
        <f aca="true">IF(H24="","",INDEX(INDIRECT($AZ$1&amp;"$F$5:$F$164"),H24)&amp;"")</f>
        <v/>
      </c>
      <c r="L24" s="61" t="str">
        <f aca="true">IF(H24="","",INDEX(INDIRECT($AZ$1&amp;"$G$5:$G$164"),H24)&amp;"")</f>
        <v/>
      </c>
      <c r="M24" s="61" t="str">
        <f aca="true">IF(H24="","",INDEX(INDIRECT($AZ$1&amp;"$H$5:$H$164"),H24)&amp;"")</f>
        <v/>
      </c>
      <c r="N24" s="13"/>
      <c r="O24" s="41" t="str">
        <f aca="true">IFERROR(IF(P$4="","",MATCH(P$4&amp;"|"&amp;19,INDIRECT($AZ$1&amp;"$J$5:$J$164"),0)),"")</f>
        <v/>
      </c>
      <c r="P24" s="91" t="str">
        <f aca="true">IF(O24="","",SUBSTITUTE(INDEX(INDIRECT($AZ$1&amp;"$A$5:$A$164"),O24),"組","")&amp;"-"&amp;INDEX(INDIRECT($AZ$1&amp;"$B$5:$B$164"),O24))</f>
        <v/>
      </c>
      <c r="Q24" s="59" t="str">
        <f aca="true">IF(O24="","",INDEX(INDIRECT($AZ$1&amp;"$C$5:$C$164"),O24))</f>
        <v/>
      </c>
      <c r="R24" s="61" t="str">
        <f aca="true">IF(O24="","",INDEX(INDIRECT($AZ$1&amp;"$F$5:$F$164"),O24)&amp;"")</f>
        <v/>
      </c>
      <c r="S24" s="61" t="str">
        <f aca="true">IF(O24="","",INDEX(INDIRECT($AZ$1&amp;"$G$5:$G$164"),O24)&amp;"")</f>
        <v/>
      </c>
      <c r="T24" s="61" t="str">
        <f aca="true">IF(O24="","",INDEX(INDIRECT($AZ$1&amp;"$H$5:$H$164"),O24)&amp;"")</f>
        <v/>
      </c>
      <c r="U24" s="13"/>
      <c r="V24" s="41" t="str">
        <f aca="true">IFERROR(IF(W$4="","",MATCH(W$4&amp;"|"&amp;19,INDIRECT($AZ$1&amp;"$J$5:$J$164"),0)),"")</f>
        <v/>
      </c>
      <c r="W24" s="91" t="str">
        <f aca="true">IF(V24="","",SUBSTITUTE(INDEX(INDIRECT($AZ$1&amp;"$A$5:$A$164"),V24),"組","")&amp;"-"&amp;INDEX(INDIRECT($AZ$1&amp;"$B$5:$B$164"),V24))</f>
        <v/>
      </c>
      <c r="X24" s="59" t="str">
        <f aca="true">IF(V24="","",INDEX(INDIRECT($AZ$1&amp;"$C$5:$C$164"),V24))</f>
        <v/>
      </c>
      <c r="Y24" s="61" t="str">
        <f aca="true">IF(V24="","",INDEX(INDIRECT($AZ$1&amp;"$F$5:$F$164"),V24)&amp;"")</f>
        <v/>
      </c>
      <c r="Z24" s="61" t="str">
        <f aca="true">IF(V24="","",INDEX(INDIRECT($AZ$1&amp;"$G$5:$G$164"),V24)&amp;"")</f>
        <v/>
      </c>
      <c r="AA24" s="61" t="str">
        <f aca="true">IF(V24="","",INDEX(INDIRECT($AZ$1&amp;"$H$5:$H$164"),V24)&amp;"")</f>
        <v/>
      </c>
      <c r="AB24" s="13"/>
      <c r="AC24" s="41" t="str">
        <f aca="true">IFERROR(IF(AD$4="","",MATCH(AD$4&amp;"|"&amp;19,INDIRECT($AZ$1&amp;"$J$5:$J$164"),0)),"")</f>
        <v/>
      </c>
      <c r="AD24" s="91" t="str">
        <f aca="true">IF(AC24="","",SUBSTITUTE(INDEX(INDIRECT($AZ$1&amp;"$A$5:$A$164"),AC24),"組","")&amp;"-"&amp;INDEX(INDIRECT($AZ$1&amp;"$B$5:$B$164"),AC24))</f>
        <v/>
      </c>
      <c r="AE24" s="59" t="str">
        <f aca="true">IF(AC24="","",INDEX(INDIRECT($AZ$1&amp;"$C$5:$C$164"),AC24))</f>
        <v/>
      </c>
      <c r="AF24" s="61" t="str">
        <f aca="true">IF(AC24="","",INDEX(INDIRECT($AZ$1&amp;"$F$5:$F$164"),AC24)&amp;"")</f>
        <v/>
      </c>
      <c r="AG24" s="61" t="str">
        <f aca="true">IF(AC24="","",INDEX(INDIRECT($AZ$1&amp;"$G$5:$G$164"),AC24)&amp;"")</f>
        <v/>
      </c>
      <c r="AH24" s="61" t="str">
        <f aca="true">IF(AC24="","",INDEX(INDIRECT($AZ$1&amp;"$H$5:$H$164"),AC24)&amp;"")</f>
        <v/>
      </c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</row>
    <row r="25" customFormat="false" ht="18.75" hidden="false" customHeight="true" outlineLevel="0" collapsed="false">
      <c r="A25" s="41" t="str">
        <f aca="true">IFERROR(IF(B$4="","",MATCH(B$4&amp;"|"&amp;20,INDIRECT($AZ$1&amp;"$J$5:$J$164"),0)),"")</f>
        <v/>
      </c>
      <c r="B25" s="91" t="str">
        <f aca="true">IF(A25="","",SUBSTITUTE(INDEX(INDIRECT($AZ$1&amp;"$A$5:$A$164"),A25),"組","")&amp;"-"&amp;INDEX(INDIRECT($AZ$1&amp;"$B$5:$B$164"),A25))</f>
        <v/>
      </c>
      <c r="C25" s="59" t="str">
        <f aca="true">IF(A25="","",INDEX(INDIRECT($AZ$1&amp;"$C$5:$C$164"),A25))</f>
        <v/>
      </c>
      <c r="D25" s="61" t="str">
        <f aca="true">IF(A25="","",INDEX(INDIRECT($AZ$1&amp;"$F$5:$F$164"),A25)&amp;"")</f>
        <v/>
      </c>
      <c r="E25" s="61" t="str">
        <f aca="true">IF(A25="","",INDEX(INDIRECT($AZ$1&amp;"$G$5:$G$164"),A25)&amp;"")</f>
        <v/>
      </c>
      <c r="F25" s="61" t="str">
        <f aca="true">IF(A25="","",INDEX(INDIRECT($AZ$1&amp;"$H$5:$H$164"),A25)&amp;"")</f>
        <v/>
      </c>
      <c r="G25" s="13"/>
      <c r="H25" s="41" t="str">
        <f aca="true">IFERROR(IF(I$4="","",MATCH(I$4&amp;"|"&amp;20,INDIRECT($AZ$1&amp;"$J$5:$J$164"),0)),"")</f>
        <v/>
      </c>
      <c r="I25" s="91" t="str">
        <f aca="true">IF(H25="","",SUBSTITUTE(INDEX(INDIRECT($AZ$1&amp;"$A$5:$A$164"),H25),"組","")&amp;"-"&amp;INDEX(INDIRECT($AZ$1&amp;"$B$5:$B$164"),H25))</f>
        <v/>
      </c>
      <c r="J25" s="59" t="str">
        <f aca="true">IF(H25="","",INDEX(INDIRECT($AZ$1&amp;"$C$5:$C$164"),H25))</f>
        <v/>
      </c>
      <c r="K25" s="61" t="str">
        <f aca="true">IF(H25="","",INDEX(INDIRECT($AZ$1&amp;"$F$5:$F$164"),H25)&amp;"")</f>
        <v/>
      </c>
      <c r="L25" s="61" t="str">
        <f aca="true">IF(H25="","",INDEX(INDIRECT($AZ$1&amp;"$G$5:$G$164"),H25)&amp;"")</f>
        <v/>
      </c>
      <c r="M25" s="61" t="str">
        <f aca="true">IF(H25="","",INDEX(INDIRECT($AZ$1&amp;"$H$5:$H$164"),H25)&amp;"")</f>
        <v/>
      </c>
      <c r="N25" s="13"/>
      <c r="O25" s="41" t="str">
        <f aca="true">IFERROR(IF(P$4="","",MATCH(P$4&amp;"|"&amp;20,INDIRECT($AZ$1&amp;"$J$5:$J$164"),0)),"")</f>
        <v/>
      </c>
      <c r="P25" s="91" t="str">
        <f aca="true">IF(O25="","",SUBSTITUTE(INDEX(INDIRECT($AZ$1&amp;"$A$5:$A$164"),O25),"組","")&amp;"-"&amp;INDEX(INDIRECT($AZ$1&amp;"$B$5:$B$164"),O25))</f>
        <v/>
      </c>
      <c r="Q25" s="59" t="str">
        <f aca="true">IF(O25="","",INDEX(INDIRECT($AZ$1&amp;"$C$5:$C$164"),O25))</f>
        <v/>
      </c>
      <c r="R25" s="61" t="str">
        <f aca="true">IF(O25="","",INDEX(INDIRECT($AZ$1&amp;"$F$5:$F$164"),O25)&amp;"")</f>
        <v/>
      </c>
      <c r="S25" s="61" t="str">
        <f aca="true">IF(O25="","",INDEX(INDIRECT($AZ$1&amp;"$G$5:$G$164"),O25)&amp;"")</f>
        <v/>
      </c>
      <c r="T25" s="61" t="str">
        <f aca="true">IF(O25="","",INDEX(INDIRECT($AZ$1&amp;"$H$5:$H$164"),O25)&amp;"")</f>
        <v/>
      </c>
      <c r="U25" s="13"/>
      <c r="V25" s="41" t="str">
        <f aca="true">IFERROR(IF(W$4="","",MATCH(W$4&amp;"|"&amp;20,INDIRECT($AZ$1&amp;"$J$5:$J$164"),0)),"")</f>
        <v/>
      </c>
      <c r="W25" s="91" t="str">
        <f aca="true">IF(V25="","",SUBSTITUTE(INDEX(INDIRECT($AZ$1&amp;"$A$5:$A$164"),V25),"組","")&amp;"-"&amp;INDEX(INDIRECT($AZ$1&amp;"$B$5:$B$164"),V25))</f>
        <v/>
      </c>
      <c r="X25" s="59" t="str">
        <f aca="true">IF(V25="","",INDEX(INDIRECT($AZ$1&amp;"$C$5:$C$164"),V25))</f>
        <v/>
      </c>
      <c r="Y25" s="61" t="str">
        <f aca="true">IF(V25="","",INDEX(INDIRECT($AZ$1&amp;"$F$5:$F$164"),V25)&amp;"")</f>
        <v/>
      </c>
      <c r="Z25" s="61" t="str">
        <f aca="true">IF(V25="","",INDEX(INDIRECT($AZ$1&amp;"$G$5:$G$164"),V25)&amp;"")</f>
        <v/>
      </c>
      <c r="AA25" s="61" t="str">
        <f aca="true">IF(V25="","",INDEX(INDIRECT($AZ$1&amp;"$H$5:$H$164"),V25)&amp;"")</f>
        <v/>
      </c>
      <c r="AB25" s="13"/>
      <c r="AC25" s="41" t="str">
        <f aca="true">IFERROR(IF(AD$4="","",MATCH(AD$4&amp;"|"&amp;20,INDIRECT($AZ$1&amp;"$J$5:$J$164"),0)),"")</f>
        <v/>
      </c>
      <c r="AD25" s="91" t="str">
        <f aca="true">IF(AC25="","",SUBSTITUTE(INDEX(INDIRECT($AZ$1&amp;"$A$5:$A$164"),AC25),"組","")&amp;"-"&amp;INDEX(INDIRECT($AZ$1&amp;"$B$5:$B$164"),AC25))</f>
        <v/>
      </c>
      <c r="AE25" s="59" t="str">
        <f aca="true">IF(AC25="","",INDEX(INDIRECT($AZ$1&amp;"$C$5:$C$164"),AC25))</f>
        <v/>
      </c>
      <c r="AF25" s="61" t="str">
        <f aca="true">IF(AC25="","",INDEX(INDIRECT($AZ$1&amp;"$F$5:$F$164"),AC25)&amp;"")</f>
        <v/>
      </c>
      <c r="AG25" s="61" t="str">
        <f aca="true">IF(AC25="","",INDEX(INDIRECT($AZ$1&amp;"$G$5:$G$164"),AC25)&amp;"")</f>
        <v/>
      </c>
      <c r="AH25" s="61" t="str">
        <f aca="true">IF(AC25="","",INDEX(INDIRECT($AZ$1&amp;"$H$5:$H$164"),AC25)&amp;"")</f>
        <v/>
      </c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</row>
    <row r="26" customFormat="false" ht="18.75" hidden="false" customHeight="true" outlineLevel="0" collapsed="false">
      <c r="A26" s="41" t="str">
        <f aca="true">IFERROR(IF(B$4="","",MATCH(B$4&amp;"|"&amp;21,INDIRECT($AZ$1&amp;"$J$5:$J$164"),0)),"")</f>
        <v/>
      </c>
      <c r="B26" s="91" t="str">
        <f aca="true">IF(A26="","",SUBSTITUTE(INDEX(INDIRECT($AZ$1&amp;"$A$5:$A$164"),A26),"組","")&amp;"-"&amp;INDEX(INDIRECT($AZ$1&amp;"$B$5:$B$164"),A26))</f>
        <v/>
      </c>
      <c r="C26" s="59" t="str">
        <f aca="true">IF(A26="","",INDEX(INDIRECT($AZ$1&amp;"$C$5:$C$164"),A26))</f>
        <v/>
      </c>
      <c r="D26" s="61" t="str">
        <f aca="true">IF(A26="","",INDEX(INDIRECT($AZ$1&amp;"$F$5:$F$164"),A26)&amp;"")</f>
        <v/>
      </c>
      <c r="E26" s="61" t="str">
        <f aca="true">IF(A26="","",INDEX(INDIRECT($AZ$1&amp;"$G$5:$G$164"),A26)&amp;"")</f>
        <v/>
      </c>
      <c r="F26" s="61" t="str">
        <f aca="true">IF(A26="","",INDEX(INDIRECT($AZ$1&amp;"$H$5:$H$164"),A26)&amp;"")</f>
        <v/>
      </c>
      <c r="G26" s="13"/>
      <c r="H26" s="41" t="str">
        <f aca="true">IFERROR(IF(I$4="","",MATCH(I$4&amp;"|"&amp;21,INDIRECT($AZ$1&amp;"$J$5:$J$164"),0)),"")</f>
        <v/>
      </c>
      <c r="I26" s="91" t="str">
        <f aca="true">IF(H26="","",SUBSTITUTE(INDEX(INDIRECT($AZ$1&amp;"$A$5:$A$164"),H26),"組","")&amp;"-"&amp;INDEX(INDIRECT($AZ$1&amp;"$B$5:$B$164"),H26))</f>
        <v/>
      </c>
      <c r="J26" s="59" t="str">
        <f aca="true">IF(H26="","",INDEX(INDIRECT($AZ$1&amp;"$C$5:$C$164"),H26))</f>
        <v/>
      </c>
      <c r="K26" s="61" t="str">
        <f aca="true">IF(H26="","",INDEX(INDIRECT($AZ$1&amp;"$F$5:$F$164"),H26)&amp;"")</f>
        <v/>
      </c>
      <c r="L26" s="61" t="str">
        <f aca="true">IF(H26="","",INDEX(INDIRECT($AZ$1&amp;"$G$5:$G$164"),H26)&amp;"")</f>
        <v/>
      </c>
      <c r="M26" s="61" t="str">
        <f aca="true">IF(H26="","",INDEX(INDIRECT($AZ$1&amp;"$H$5:$H$164"),H26)&amp;"")</f>
        <v/>
      </c>
      <c r="N26" s="13"/>
      <c r="O26" s="41" t="str">
        <f aca="true">IFERROR(IF(P$4="","",MATCH(P$4&amp;"|"&amp;21,INDIRECT($AZ$1&amp;"$J$5:$J$164"),0)),"")</f>
        <v/>
      </c>
      <c r="P26" s="91" t="str">
        <f aca="true">IF(O26="","",SUBSTITUTE(INDEX(INDIRECT($AZ$1&amp;"$A$5:$A$164"),O26),"組","")&amp;"-"&amp;INDEX(INDIRECT($AZ$1&amp;"$B$5:$B$164"),O26))</f>
        <v/>
      </c>
      <c r="Q26" s="59" t="str">
        <f aca="true">IF(O26="","",INDEX(INDIRECT($AZ$1&amp;"$C$5:$C$164"),O26))</f>
        <v/>
      </c>
      <c r="R26" s="61" t="str">
        <f aca="true">IF(O26="","",INDEX(INDIRECT($AZ$1&amp;"$F$5:$F$164"),O26)&amp;"")</f>
        <v/>
      </c>
      <c r="S26" s="61" t="str">
        <f aca="true">IF(O26="","",INDEX(INDIRECT($AZ$1&amp;"$G$5:$G$164"),O26)&amp;"")</f>
        <v/>
      </c>
      <c r="T26" s="61" t="str">
        <f aca="true">IF(O26="","",INDEX(INDIRECT($AZ$1&amp;"$H$5:$H$164"),O26)&amp;"")</f>
        <v/>
      </c>
      <c r="U26" s="13"/>
      <c r="V26" s="41" t="str">
        <f aca="true">IFERROR(IF(W$4="","",MATCH(W$4&amp;"|"&amp;21,INDIRECT($AZ$1&amp;"$J$5:$J$164"),0)),"")</f>
        <v/>
      </c>
      <c r="W26" s="91" t="str">
        <f aca="true">IF(V26="","",SUBSTITUTE(INDEX(INDIRECT($AZ$1&amp;"$A$5:$A$164"),V26),"組","")&amp;"-"&amp;INDEX(INDIRECT($AZ$1&amp;"$B$5:$B$164"),V26))</f>
        <v/>
      </c>
      <c r="X26" s="59" t="str">
        <f aca="true">IF(V26="","",INDEX(INDIRECT($AZ$1&amp;"$C$5:$C$164"),V26))</f>
        <v/>
      </c>
      <c r="Y26" s="61" t="str">
        <f aca="true">IF(V26="","",INDEX(INDIRECT($AZ$1&amp;"$F$5:$F$164"),V26)&amp;"")</f>
        <v/>
      </c>
      <c r="Z26" s="61" t="str">
        <f aca="true">IF(V26="","",INDEX(INDIRECT($AZ$1&amp;"$G$5:$G$164"),V26)&amp;"")</f>
        <v/>
      </c>
      <c r="AA26" s="61" t="str">
        <f aca="true">IF(V26="","",INDEX(INDIRECT($AZ$1&amp;"$H$5:$H$164"),V26)&amp;"")</f>
        <v/>
      </c>
      <c r="AB26" s="13"/>
      <c r="AC26" s="41" t="str">
        <f aca="true">IFERROR(IF(AD$4="","",MATCH(AD$4&amp;"|"&amp;21,INDIRECT($AZ$1&amp;"$J$5:$J$164"),0)),"")</f>
        <v/>
      </c>
      <c r="AD26" s="91" t="str">
        <f aca="true">IF(AC26="","",SUBSTITUTE(INDEX(INDIRECT($AZ$1&amp;"$A$5:$A$164"),AC26),"組","")&amp;"-"&amp;INDEX(INDIRECT($AZ$1&amp;"$B$5:$B$164"),AC26))</f>
        <v/>
      </c>
      <c r="AE26" s="59" t="str">
        <f aca="true">IF(AC26="","",INDEX(INDIRECT($AZ$1&amp;"$C$5:$C$164"),AC26))</f>
        <v/>
      </c>
      <c r="AF26" s="61" t="str">
        <f aca="true">IF(AC26="","",INDEX(INDIRECT($AZ$1&amp;"$F$5:$F$164"),AC26)&amp;"")</f>
        <v/>
      </c>
      <c r="AG26" s="61" t="str">
        <f aca="true">IF(AC26="","",INDEX(INDIRECT($AZ$1&amp;"$G$5:$G$164"),AC26)&amp;"")</f>
        <v/>
      </c>
      <c r="AH26" s="61" t="str">
        <f aca="true">IF(AC26="","",INDEX(INDIRECT($AZ$1&amp;"$H$5:$H$164"),AC26)&amp;"")</f>
        <v/>
      </c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</row>
    <row r="27" customFormat="false" ht="18.75" hidden="false" customHeight="true" outlineLevel="0" collapsed="false">
      <c r="A27" s="41" t="str">
        <f aca="true">IFERROR(IF(B$4="","",MATCH(B$4&amp;"|"&amp;22,INDIRECT($AZ$1&amp;"$J$5:$J$164"),0)),"")</f>
        <v/>
      </c>
      <c r="B27" s="91" t="str">
        <f aca="true">IF(A27="","",SUBSTITUTE(INDEX(INDIRECT($AZ$1&amp;"$A$5:$A$164"),A27),"組","")&amp;"-"&amp;INDEX(INDIRECT($AZ$1&amp;"$B$5:$B$164"),A27))</f>
        <v/>
      </c>
      <c r="C27" s="59" t="str">
        <f aca="true">IF(A27="","",INDEX(INDIRECT($AZ$1&amp;"$C$5:$C$164"),A27))</f>
        <v/>
      </c>
      <c r="D27" s="61" t="str">
        <f aca="true">IF(A27="","",INDEX(INDIRECT($AZ$1&amp;"$F$5:$F$164"),A27)&amp;"")</f>
        <v/>
      </c>
      <c r="E27" s="61" t="str">
        <f aca="true">IF(A27="","",INDEX(INDIRECT($AZ$1&amp;"$G$5:$G$164"),A27)&amp;"")</f>
        <v/>
      </c>
      <c r="F27" s="61" t="str">
        <f aca="true">IF(A27="","",INDEX(INDIRECT($AZ$1&amp;"$H$5:$H$164"),A27)&amp;"")</f>
        <v/>
      </c>
      <c r="G27" s="13"/>
      <c r="H27" s="41" t="str">
        <f aca="true">IFERROR(IF(I$4="","",MATCH(I$4&amp;"|"&amp;22,INDIRECT($AZ$1&amp;"$J$5:$J$164"),0)),"")</f>
        <v/>
      </c>
      <c r="I27" s="91" t="str">
        <f aca="true">IF(H27="","",SUBSTITUTE(INDEX(INDIRECT($AZ$1&amp;"$A$5:$A$164"),H27),"組","")&amp;"-"&amp;INDEX(INDIRECT($AZ$1&amp;"$B$5:$B$164"),H27))</f>
        <v/>
      </c>
      <c r="J27" s="59" t="str">
        <f aca="true">IF(H27="","",INDEX(INDIRECT($AZ$1&amp;"$C$5:$C$164"),H27))</f>
        <v/>
      </c>
      <c r="K27" s="61" t="str">
        <f aca="true">IF(H27="","",INDEX(INDIRECT($AZ$1&amp;"$F$5:$F$164"),H27)&amp;"")</f>
        <v/>
      </c>
      <c r="L27" s="61" t="str">
        <f aca="true">IF(H27="","",INDEX(INDIRECT($AZ$1&amp;"$G$5:$G$164"),H27)&amp;"")</f>
        <v/>
      </c>
      <c r="M27" s="61" t="str">
        <f aca="true">IF(H27="","",INDEX(INDIRECT($AZ$1&amp;"$H$5:$H$164"),H27)&amp;"")</f>
        <v/>
      </c>
      <c r="N27" s="13"/>
      <c r="O27" s="41" t="str">
        <f aca="true">IFERROR(IF(P$4="","",MATCH(P$4&amp;"|"&amp;22,INDIRECT($AZ$1&amp;"$J$5:$J$164"),0)),"")</f>
        <v/>
      </c>
      <c r="P27" s="91" t="str">
        <f aca="true">IF(O27="","",SUBSTITUTE(INDEX(INDIRECT($AZ$1&amp;"$A$5:$A$164"),O27),"組","")&amp;"-"&amp;INDEX(INDIRECT($AZ$1&amp;"$B$5:$B$164"),O27))</f>
        <v/>
      </c>
      <c r="Q27" s="59" t="str">
        <f aca="true">IF(O27="","",INDEX(INDIRECT($AZ$1&amp;"$C$5:$C$164"),O27))</f>
        <v/>
      </c>
      <c r="R27" s="61" t="str">
        <f aca="true">IF(O27="","",INDEX(INDIRECT($AZ$1&amp;"$F$5:$F$164"),O27)&amp;"")</f>
        <v/>
      </c>
      <c r="S27" s="61" t="str">
        <f aca="true">IF(O27="","",INDEX(INDIRECT($AZ$1&amp;"$G$5:$G$164"),O27)&amp;"")</f>
        <v/>
      </c>
      <c r="T27" s="61" t="str">
        <f aca="true">IF(O27="","",INDEX(INDIRECT($AZ$1&amp;"$H$5:$H$164"),O27)&amp;"")</f>
        <v/>
      </c>
      <c r="U27" s="13"/>
      <c r="V27" s="41" t="str">
        <f aca="true">IFERROR(IF(W$4="","",MATCH(W$4&amp;"|"&amp;22,INDIRECT($AZ$1&amp;"$J$5:$J$164"),0)),"")</f>
        <v/>
      </c>
      <c r="W27" s="91" t="str">
        <f aca="true">IF(V27="","",SUBSTITUTE(INDEX(INDIRECT($AZ$1&amp;"$A$5:$A$164"),V27),"組","")&amp;"-"&amp;INDEX(INDIRECT($AZ$1&amp;"$B$5:$B$164"),V27))</f>
        <v/>
      </c>
      <c r="X27" s="59" t="str">
        <f aca="true">IF(V27="","",INDEX(INDIRECT($AZ$1&amp;"$C$5:$C$164"),V27))</f>
        <v/>
      </c>
      <c r="Y27" s="61" t="str">
        <f aca="true">IF(V27="","",INDEX(INDIRECT($AZ$1&amp;"$F$5:$F$164"),V27)&amp;"")</f>
        <v/>
      </c>
      <c r="Z27" s="61" t="str">
        <f aca="true">IF(V27="","",INDEX(INDIRECT($AZ$1&amp;"$G$5:$G$164"),V27)&amp;"")</f>
        <v/>
      </c>
      <c r="AA27" s="61" t="str">
        <f aca="true">IF(V27="","",INDEX(INDIRECT($AZ$1&amp;"$H$5:$H$164"),V27)&amp;"")</f>
        <v/>
      </c>
      <c r="AB27" s="13"/>
      <c r="AC27" s="41" t="str">
        <f aca="true">IFERROR(IF(AD$4="","",MATCH(AD$4&amp;"|"&amp;22,INDIRECT($AZ$1&amp;"$J$5:$J$164"),0)),"")</f>
        <v/>
      </c>
      <c r="AD27" s="91" t="str">
        <f aca="true">IF(AC27="","",SUBSTITUTE(INDEX(INDIRECT($AZ$1&amp;"$A$5:$A$164"),AC27),"組","")&amp;"-"&amp;INDEX(INDIRECT($AZ$1&amp;"$B$5:$B$164"),AC27))</f>
        <v/>
      </c>
      <c r="AE27" s="59" t="str">
        <f aca="true">IF(AC27="","",INDEX(INDIRECT($AZ$1&amp;"$C$5:$C$164"),AC27))</f>
        <v/>
      </c>
      <c r="AF27" s="61" t="str">
        <f aca="true">IF(AC27="","",INDEX(INDIRECT($AZ$1&amp;"$F$5:$F$164"),AC27)&amp;"")</f>
        <v/>
      </c>
      <c r="AG27" s="61" t="str">
        <f aca="true">IF(AC27="","",INDEX(INDIRECT($AZ$1&amp;"$G$5:$G$164"),AC27)&amp;"")</f>
        <v/>
      </c>
      <c r="AH27" s="61" t="str">
        <f aca="true">IF(AC27="","",INDEX(INDIRECT($AZ$1&amp;"$H$5:$H$164"),AC27)&amp;"")</f>
        <v/>
      </c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</row>
    <row r="28" customFormat="false" ht="18.75" hidden="false" customHeight="true" outlineLevel="0" collapsed="false">
      <c r="A28" s="41" t="str">
        <f aca="true">IFERROR(IF(B$4="","",MATCH(B$4&amp;"|"&amp;23,INDIRECT($AZ$1&amp;"$J$5:$J$164"),0)),"")</f>
        <v/>
      </c>
      <c r="B28" s="91" t="str">
        <f aca="true">IF(A28="","",SUBSTITUTE(INDEX(INDIRECT($AZ$1&amp;"$A$5:$A$164"),A28),"組","")&amp;"-"&amp;INDEX(INDIRECT($AZ$1&amp;"$B$5:$B$164"),A28))</f>
        <v/>
      </c>
      <c r="C28" s="59" t="str">
        <f aca="true">IF(A28="","",INDEX(INDIRECT($AZ$1&amp;"$C$5:$C$164"),A28))</f>
        <v/>
      </c>
      <c r="D28" s="61" t="str">
        <f aca="true">IF(A28="","",INDEX(INDIRECT($AZ$1&amp;"$F$5:$F$164"),A28)&amp;"")</f>
        <v/>
      </c>
      <c r="E28" s="61" t="str">
        <f aca="true">IF(A28="","",INDEX(INDIRECT($AZ$1&amp;"$G$5:$G$164"),A28)&amp;"")</f>
        <v/>
      </c>
      <c r="F28" s="61" t="str">
        <f aca="true">IF(A28="","",INDEX(INDIRECT($AZ$1&amp;"$H$5:$H$164"),A28)&amp;"")</f>
        <v/>
      </c>
      <c r="G28" s="13"/>
      <c r="H28" s="41" t="str">
        <f aca="true">IFERROR(IF(I$4="","",MATCH(I$4&amp;"|"&amp;23,INDIRECT($AZ$1&amp;"$J$5:$J$164"),0)),"")</f>
        <v/>
      </c>
      <c r="I28" s="91" t="str">
        <f aca="true">IF(H28="","",SUBSTITUTE(INDEX(INDIRECT($AZ$1&amp;"$A$5:$A$164"),H28),"組","")&amp;"-"&amp;INDEX(INDIRECT($AZ$1&amp;"$B$5:$B$164"),H28))</f>
        <v/>
      </c>
      <c r="J28" s="59" t="str">
        <f aca="true">IF(H28="","",INDEX(INDIRECT($AZ$1&amp;"$C$5:$C$164"),H28))</f>
        <v/>
      </c>
      <c r="K28" s="61" t="str">
        <f aca="true">IF(H28="","",INDEX(INDIRECT($AZ$1&amp;"$F$5:$F$164"),H28)&amp;"")</f>
        <v/>
      </c>
      <c r="L28" s="61" t="str">
        <f aca="true">IF(H28="","",INDEX(INDIRECT($AZ$1&amp;"$G$5:$G$164"),H28)&amp;"")</f>
        <v/>
      </c>
      <c r="M28" s="61" t="str">
        <f aca="true">IF(H28="","",INDEX(INDIRECT($AZ$1&amp;"$H$5:$H$164"),H28)&amp;"")</f>
        <v/>
      </c>
      <c r="N28" s="13"/>
      <c r="O28" s="41" t="str">
        <f aca="true">IFERROR(IF(P$4="","",MATCH(P$4&amp;"|"&amp;23,INDIRECT($AZ$1&amp;"$J$5:$J$164"),0)),"")</f>
        <v/>
      </c>
      <c r="P28" s="91" t="str">
        <f aca="true">IF(O28="","",SUBSTITUTE(INDEX(INDIRECT($AZ$1&amp;"$A$5:$A$164"),O28),"組","")&amp;"-"&amp;INDEX(INDIRECT($AZ$1&amp;"$B$5:$B$164"),O28))</f>
        <v/>
      </c>
      <c r="Q28" s="59" t="str">
        <f aca="true">IF(O28="","",INDEX(INDIRECT($AZ$1&amp;"$C$5:$C$164"),O28))</f>
        <v/>
      </c>
      <c r="R28" s="61" t="str">
        <f aca="true">IF(O28="","",INDEX(INDIRECT($AZ$1&amp;"$F$5:$F$164"),O28)&amp;"")</f>
        <v/>
      </c>
      <c r="S28" s="61" t="str">
        <f aca="true">IF(O28="","",INDEX(INDIRECT($AZ$1&amp;"$G$5:$G$164"),O28)&amp;"")</f>
        <v/>
      </c>
      <c r="T28" s="61" t="str">
        <f aca="true">IF(O28="","",INDEX(INDIRECT($AZ$1&amp;"$H$5:$H$164"),O28)&amp;"")</f>
        <v/>
      </c>
      <c r="U28" s="13"/>
      <c r="V28" s="41" t="str">
        <f aca="true">IFERROR(IF(W$4="","",MATCH(W$4&amp;"|"&amp;23,INDIRECT($AZ$1&amp;"$J$5:$J$164"),0)),"")</f>
        <v/>
      </c>
      <c r="W28" s="91" t="str">
        <f aca="true">IF(V28="","",SUBSTITUTE(INDEX(INDIRECT($AZ$1&amp;"$A$5:$A$164"),V28),"組","")&amp;"-"&amp;INDEX(INDIRECT($AZ$1&amp;"$B$5:$B$164"),V28))</f>
        <v/>
      </c>
      <c r="X28" s="59" t="str">
        <f aca="true">IF(V28="","",INDEX(INDIRECT($AZ$1&amp;"$C$5:$C$164"),V28))</f>
        <v/>
      </c>
      <c r="Y28" s="61" t="str">
        <f aca="true">IF(V28="","",INDEX(INDIRECT($AZ$1&amp;"$F$5:$F$164"),V28)&amp;"")</f>
        <v/>
      </c>
      <c r="Z28" s="61" t="str">
        <f aca="true">IF(V28="","",INDEX(INDIRECT($AZ$1&amp;"$G$5:$G$164"),V28)&amp;"")</f>
        <v/>
      </c>
      <c r="AA28" s="61" t="str">
        <f aca="true">IF(V28="","",INDEX(INDIRECT($AZ$1&amp;"$H$5:$H$164"),V28)&amp;"")</f>
        <v/>
      </c>
      <c r="AB28" s="13"/>
      <c r="AC28" s="41" t="str">
        <f aca="true">IFERROR(IF(AD$4="","",MATCH(AD$4&amp;"|"&amp;23,INDIRECT($AZ$1&amp;"$J$5:$J$164"),0)),"")</f>
        <v/>
      </c>
      <c r="AD28" s="91" t="str">
        <f aca="true">IF(AC28="","",SUBSTITUTE(INDEX(INDIRECT($AZ$1&amp;"$A$5:$A$164"),AC28),"組","")&amp;"-"&amp;INDEX(INDIRECT($AZ$1&amp;"$B$5:$B$164"),AC28))</f>
        <v/>
      </c>
      <c r="AE28" s="59" t="str">
        <f aca="true">IF(AC28="","",INDEX(INDIRECT($AZ$1&amp;"$C$5:$C$164"),AC28))</f>
        <v/>
      </c>
      <c r="AF28" s="61" t="str">
        <f aca="true">IF(AC28="","",INDEX(INDIRECT($AZ$1&amp;"$F$5:$F$164"),AC28)&amp;"")</f>
        <v/>
      </c>
      <c r="AG28" s="61" t="str">
        <f aca="true">IF(AC28="","",INDEX(INDIRECT($AZ$1&amp;"$G$5:$G$164"),AC28)&amp;"")</f>
        <v/>
      </c>
      <c r="AH28" s="61" t="str">
        <f aca="true">IF(AC28="","",INDEX(INDIRECT($AZ$1&amp;"$H$5:$H$164"),AC28)&amp;"")</f>
        <v/>
      </c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</row>
    <row r="29" customFormat="false" ht="18.75" hidden="false" customHeight="true" outlineLevel="0" collapsed="false">
      <c r="A29" s="41" t="str">
        <f aca="true">IFERROR(IF(B$4="","",MATCH(B$4&amp;"|"&amp;24,INDIRECT($AZ$1&amp;"$J$5:$J$164"),0)),"")</f>
        <v/>
      </c>
      <c r="B29" s="91" t="str">
        <f aca="true">IF(A29="","",SUBSTITUTE(INDEX(INDIRECT($AZ$1&amp;"$A$5:$A$164"),A29),"組","")&amp;"-"&amp;INDEX(INDIRECT($AZ$1&amp;"$B$5:$B$164"),A29))</f>
        <v/>
      </c>
      <c r="C29" s="59" t="str">
        <f aca="true">IF(A29="","",INDEX(INDIRECT($AZ$1&amp;"$C$5:$C$164"),A29))</f>
        <v/>
      </c>
      <c r="D29" s="61" t="str">
        <f aca="true">IF(A29="","",INDEX(INDIRECT($AZ$1&amp;"$F$5:$F$164"),A29)&amp;"")</f>
        <v/>
      </c>
      <c r="E29" s="61" t="str">
        <f aca="true">IF(A29="","",INDEX(INDIRECT($AZ$1&amp;"$G$5:$G$164"),A29)&amp;"")</f>
        <v/>
      </c>
      <c r="F29" s="61" t="str">
        <f aca="true">IF(A29="","",INDEX(INDIRECT($AZ$1&amp;"$H$5:$H$164"),A29)&amp;"")</f>
        <v/>
      </c>
      <c r="G29" s="13"/>
      <c r="H29" s="41" t="str">
        <f aca="true">IFERROR(IF(I$4="","",MATCH(I$4&amp;"|"&amp;24,INDIRECT($AZ$1&amp;"$J$5:$J$164"),0)),"")</f>
        <v/>
      </c>
      <c r="I29" s="91" t="str">
        <f aca="true">IF(H29="","",SUBSTITUTE(INDEX(INDIRECT($AZ$1&amp;"$A$5:$A$164"),H29),"組","")&amp;"-"&amp;INDEX(INDIRECT($AZ$1&amp;"$B$5:$B$164"),H29))</f>
        <v/>
      </c>
      <c r="J29" s="59" t="str">
        <f aca="true">IF(H29="","",INDEX(INDIRECT($AZ$1&amp;"$C$5:$C$164"),H29))</f>
        <v/>
      </c>
      <c r="K29" s="61" t="str">
        <f aca="true">IF(H29="","",INDEX(INDIRECT($AZ$1&amp;"$F$5:$F$164"),H29)&amp;"")</f>
        <v/>
      </c>
      <c r="L29" s="61" t="str">
        <f aca="true">IF(H29="","",INDEX(INDIRECT($AZ$1&amp;"$G$5:$G$164"),H29)&amp;"")</f>
        <v/>
      </c>
      <c r="M29" s="61" t="str">
        <f aca="true">IF(H29="","",INDEX(INDIRECT($AZ$1&amp;"$H$5:$H$164"),H29)&amp;"")</f>
        <v/>
      </c>
      <c r="N29" s="13"/>
      <c r="O29" s="41" t="str">
        <f aca="true">IFERROR(IF(P$4="","",MATCH(P$4&amp;"|"&amp;24,INDIRECT($AZ$1&amp;"$J$5:$J$164"),0)),"")</f>
        <v/>
      </c>
      <c r="P29" s="91" t="str">
        <f aca="true">IF(O29="","",SUBSTITUTE(INDEX(INDIRECT($AZ$1&amp;"$A$5:$A$164"),O29),"組","")&amp;"-"&amp;INDEX(INDIRECT($AZ$1&amp;"$B$5:$B$164"),O29))</f>
        <v/>
      </c>
      <c r="Q29" s="59" t="str">
        <f aca="true">IF(O29="","",INDEX(INDIRECT($AZ$1&amp;"$C$5:$C$164"),O29))</f>
        <v/>
      </c>
      <c r="R29" s="61" t="str">
        <f aca="true">IF(O29="","",INDEX(INDIRECT($AZ$1&amp;"$F$5:$F$164"),O29)&amp;"")</f>
        <v/>
      </c>
      <c r="S29" s="61" t="str">
        <f aca="true">IF(O29="","",INDEX(INDIRECT($AZ$1&amp;"$G$5:$G$164"),O29)&amp;"")</f>
        <v/>
      </c>
      <c r="T29" s="61" t="str">
        <f aca="true">IF(O29="","",INDEX(INDIRECT($AZ$1&amp;"$H$5:$H$164"),O29)&amp;"")</f>
        <v/>
      </c>
      <c r="U29" s="13"/>
      <c r="V29" s="41" t="str">
        <f aca="true">IFERROR(IF(W$4="","",MATCH(W$4&amp;"|"&amp;24,INDIRECT($AZ$1&amp;"$J$5:$J$164"),0)),"")</f>
        <v/>
      </c>
      <c r="W29" s="91" t="str">
        <f aca="true">IF(V29="","",SUBSTITUTE(INDEX(INDIRECT($AZ$1&amp;"$A$5:$A$164"),V29),"組","")&amp;"-"&amp;INDEX(INDIRECT($AZ$1&amp;"$B$5:$B$164"),V29))</f>
        <v/>
      </c>
      <c r="X29" s="59" t="str">
        <f aca="true">IF(V29="","",INDEX(INDIRECT($AZ$1&amp;"$C$5:$C$164"),V29))</f>
        <v/>
      </c>
      <c r="Y29" s="61" t="str">
        <f aca="true">IF(V29="","",INDEX(INDIRECT($AZ$1&amp;"$F$5:$F$164"),V29)&amp;"")</f>
        <v/>
      </c>
      <c r="Z29" s="61" t="str">
        <f aca="true">IF(V29="","",INDEX(INDIRECT($AZ$1&amp;"$G$5:$G$164"),V29)&amp;"")</f>
        <v/>
      </c>
      <c r="AA29" s="61" t="str">
        <f aca="true">IF(V29="","",INDEX(INDIRECT($AZ$1&amp;"$H$5:$H$164"),V29)&amp;"")</f>
        <v/>
      </c>
      <c r="AB29" s="13"/>
      <c r="AC29" s="41" t="str">
        <f aca="true">IFERROR(IF(AD$4="","",MATCH(AD$4&amp;"|"&amp;24,INDIRECT($AZ$1&amp;"$J$5:$J$164"),0)),"")</f>
        <v/>
      </c>
      <c r="AD29" s="91" t="str">
        <f aca="true">IF(AC29="","",SUBSTITUTE(INDEX(INDIRECT($AZ$1&amp;"$A$5:$A$164"),AC29),"組","")&amp;"-"&amp;INDEX(INDIRECT($AZ$1&amp;"$B$5:$B$164"),AC29))</f>
        <v/>
      </c>
      <c r="AE29" s="59" t="str">
        <f aca="true">IF(AC29="","",INDEX(INDIRECT($AZ$1&amp;"$C$5:$C$164"),AC29))</f>
        <v/>
      </c>
      <c r="AF29" s="61" t="str">
        <f aca="true">IF(AC29="","",INDEX(INDIRECT($AZ$1&amp;"$F$5:$F$164"),AC29)&amp;"")</f>
        <v/>
      </c>
      <c r="AG29" s="61" t="str">
        <f aca="true">IF(AC29="","",INDEX(INDIRECT($AZ$1&amp;"$G$5:$G$164"),AC29)&amp;"")</f>
        <v/>
      </c>
      <c r="AH29" s="61" t="str">
        <f aca="true">IF(AC29="","",INDEX(INDIRECT($AZ$1&amp;"$H$5:$H$164"),AC29)&amp;"")</f>
        <v/>
      </c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</row>
    <row r="30" customFormat="false" ht="18.75" hidden="false" customHeight="true" outlineLevel="0" collapsed="false">
      <c r="A30" s="41" t="str">
        <f aca="true">IFERROR(IF(B$4="","",MATCH(B$4&amp;"|"&amp;25,INDIRECT($AZ$1&amp;"$J$5:$J$164"),0)),"")</f>
        <v/>
      </c>
      <c r="B30" s="91" t="str">
        <f aca="true">IF(A30="","",SUBSTITUTE(INDEX(INDIRECT($AZ$1&amp;"$A$5:$A$164"),A30),"組","")&amp;"-"&amp;INDEX(INDIRECT($AZ$1&amp;"$B$5:$B$164"),A30))</f>
        <v/>
      </c>
      <c r="C30" s="59" t="str">
        <f aca="true">IF(A30="","",INDEX(INDIRECT($AZ$1&amp;"$C$5:$C$164"),A30))</f>
        <v/>
      </c>
      <c r="D30" s="61" t="str">
        <f aca="true">IF(A30="","",INDEX(INDIRECT($AZ$1&amp;"$F$5:$F$164"),A30)&amp;"")</f>
        <v/>
      </c>
      <c r="E30" s="61" t="str">
        <f aca="true">IF(A30="","",INDEX(INDIRECT($AZ$1&amp;"$G$5:$G$164"),A30)&amp;"")</f>
        <v/>
      </c>
      <c r="F30" s="61" t="str">
        <f aca="true">IF(A30="","",INDEX(INDIRECT($AZ$1&amp;"$H$5:$H$164"),A30)&amp;"")</f>
        <v/>
      </c>
      <c r="G30" s="13"/>
      <c r="H30" s="41" t="str">
        <f aca="true">IFERROR(IF(I$4="","",MATCH(I$4&amp;"|"&amp;25,INDIRECT($AZ$1&amp;"$J$5:$J$164"),0)),"")</f>
        <v/>
      </c>
      <c r="I30" s="91" t="str">
        <f aca="true">IF(H30="","",SUBSTITUTE(INDEX(INDIRECT($AZ$1&amp;"$A$5:$A$164"),H30),"組","")&amp;"-"&amp;INDEX(INDIRECT($AZ$1&amp;"$B$5:$B$164"),H30))</f>
        <v/>
      </c>
      <c r="J30" s="59" t="str">
        <f aca="true">IF(H30="","",INDEX(INDIRECT($AZ$1&amp;"$C$5:$C$164"),H30))</f>
        <v/>
      </c>
      <c r="K30" s="61" t="str">
        <f aca="true">IF(H30="","",INDEX(INDIRECT($AZ$1&amp;"$F$5:$F$164"),H30)&amp;"")</f>
        <v/>
      </c>
      <c r="L30" s="61" t="str">
        <f aca="true">IF(H30="","",INDEX(INDIRECT($AZ$1&amp;"$G$5:$G$164"),H30)&amp;"")</f>
        <v/>
      </c>
      <c r="M30" s="61" t="str">
        <f aca="true">IF(H30="","",INDEX(INDIRECT($AZ$1&amp;"$H$5:$H$164"),H30)&amp;"")</f>
        <v/>
      </c>
      <c r="N30" s="13"/>
      <c r="O30" s="41" t="str">
        <f aca="true">IFERROR(IF(P$4="","",MATCH(P$4&amp;"|"&amp;25,INDIRECT($AZ$1&amp;"$J$5:$J$164"),0)),"")</f>
        <v/>
      </c>
      <c r="P30" s="91" t="str">
        <f aca="true">IF(O30="","",SUBSTITUTE(INDEX(INDIRECT($AZ$1&amp;"$A$5:$A$164"),O30),"組","")&amp;"-"&amp;INDEX(INDIRECT($AZ$1&amp;"$B$5:$B$164"),O30))</f>
        <v/>
      </c>
      <c r="Q30" s="59" t="str">
        <f aca="true">IF(O30="","",INDEX(INDIRECT($AZ$1&amp;"$C$5:$C$164"),O30))</f>
        <v/>
      </c>
      <c r="R30" s="61" t="str">
        <f aca="true">IF(O30="","",INDEX(INDIRECT($AZ$1&amp;"$F$5:$F$164"),O30)&amp;"")</f>
        <v/>
      </c>
      <c r="S30" s="61" t="str">
        <f aca="true">IF(O30="","",INDEX(INDIRECT($AZ$1&amp;"$G$5:$G$164"),O30)&amp;"")</f>
        <v/>
      </c>
      <c r="T30" s="61" t="str">
        <f aca="true">IF(O30="","",INDEX(INDIRECT($AZ$1&amp;"$H$5:$H$164"),O30)&amp;"")</f>
        <v/>
      </c>
      <c r="U30" s="13"/>
      <c r="V30" s="41" t="str">
        <f aca="true">IFERROR(IF(W$4="","",MATCH(W$4&amp;"|"&amp;25,INDIRECT($AZ$1&amp;"$J$5:$J$164"),0)),"")</f>
        <v/>
      </c>
      <c r="W30" s="91" t="str">
        <f aca="true">IF(V30="","",SUBSTITUTE(INDEX(INDIRECT($AZ$1&amp;"$A$5:$A$164"),V30),"組","")&amp;"-"&amp;INDEX(INDIRECT($AZ$1&amp;"$B$5:$B$164"),V30))</f>
        <v/>
      </c>
      <c r="X30" s="59" t="str">
        <f aca="true">IF(V30="","",INDEX(INDIRECT($AZ$1&amp;"$C$5:$C$164"),V30))</f>
        <v/>
      </c>
      <c r="Y30" s="61" t="str">
        <f aca="true">IF(V30="","",INDEX(INDIRECT($AZ$1&amp;"$F$5:$F$164"),V30)&amp;"")</f>
        <v/>
      </c>
      <c r="Z30" s="61" t="str">
        <f aca="true">IF(V30="","",INDEX(INDIRECT($AZ$1&amp;"$G$5:$G$164"),V30)&amp;"")</f>
        <v/>
      </c>
      <c r="AA30" s="61" t="str">
        <f aca="true">IF(V30="","",INDEX(INDIRECT($AZ$1&amp;"$H$5:$H$164"),V30)&amp;"")</f>
        <v/>
      </c>
      <c r="AB30" s="13"/>
      <c r="AC30" s="41" t="str">
        <f aca="true">IFERROR(IF(AD$4="","",MATCH(AD$4&amp;"|"&amp;25,INDIRECT($AZ$1&amp;"$J$5:$J$164"),0)),"")</f>
        <v/>
      </c>
      <c r="AD30" s="91" t="str">
        <f aca="true">IF(AC30="","",SUBSTITUTE(INDEX(INDIRECT($AZ$1&amp;"$A$5:$A$164"),AC30),"組","")&amp;"-"&amp;INDEX(INDIRECT($AZ$1&amp;"$B$5:$B$164"),AC30))</f>
        <v/>
      </c>
      <c r="AE30" s="59" t="str">
        <f aca="true">IF(AC30="","",INDEX(INDIRECT($AZ$1&amp;"$C$5:$C$164"),AC30))</f>
        <v/>
      </c>
      <c r="AF30" s="61" t="str">
        <f aca="true">IF(AC30="","",INDEX(INDIRECT($AZ$1&amp;"$F$5:$F$164"),AC30)&amp;"")</f>
        <v/>
      </c>
      <c r="AG30" s="61" t="str">
        <f aca="true">IF(AC30="","",INDEX(INDIRECT($AZ$1&amp;"$G$5:$G$164"),AC30)&amp;"")</f>
        <v/>
      </c>
      <c r="AH30" s="61" t="str">
        <f aca="true">IF(AC30="","",INDEX(INDIRECT($AZ$1&amp;"$H$5:$H$164"),AC30)&amp;"")</f>
        <v/>
      </c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</row>
    <row r="31" customFormat="false" ht="18.75" hidden="false" customHeight="true" outlineLevel="0" collapsed="false">
      <c r="A31" s="41" t="str">
        <f aca="true">IFERROR(IF(B$4="","",MATCH(B$4&amp;"|"&amp;26,INDIRECT($AZ$1&amp;"$J$5:$J$164"),0)),"")</f>
        <v/>
      </c>
      <c r="B31" s="91" t="str">
        <f aca="true">IF(A31="","",SUBSTITUTE(INDEX(INDIRECT($AZ$1&amp;"$A$5:$A$164"),A31),"組","")&amp;"-"&amp;INDEX(INDIRECT($AZ$1&amp;"$B$5:$B$164"),A31))</f>
        <v/>
      </c>
      <c r="C31" s="59" t="str">
        <f aca="true">IF(A31="","",INDEX(INDIRECT($AZ$1&amp;"$C$5:$C$164"),A31))</f>
        <v/>
      </c>
      <c r="D31" s="61" t="str">
        <f aca="true">IF(A31="","",INDEX(INDIRECT($AZ$1&amp;"$F$5:$F$164"),A31)&amp;"")</f>
        <v/>
      </c>
      <c r="E31" s="61" t="str">
        <f aca="true">IF(A31="","",INDEX(INDIRECT($AZ$1&amp;"$G$5:$G$164"),A31)&amp;"")</f>
        <v/>
      </c>
      <c r="F31" s="61" t="str">
        <f aca="true">IF(A31="","",INDEX(INDIRECT($AZ$1&amp;"$H$5:$H$164"),A31)&amp;"")</f>
        <v/>
      </c>
      <c r="G31" s="13"/>
      <c r="H31" s="41" t="str">
        <f aca="true">IFERROR(IF(I$4="","",MATCH(I$4&amp;"|"&amp;26,INDIRECT($AZ$1&amp;"$J$5:$J$164"),0)),"")</f>
        <v/>
      </c>
      <c r="I31" s="91" t="str">
        <f aca="true">IF(H31="","",SUBSTITUTE(INDEX(INDIRECT($AZ$1&amp;"$A$5:$A$164"),H31),"組","")&amp;"-"&amp;INDEX(INDIRECT($AZ$1&amp;"$B$5:$B$164"),H31))</f>
        <v/>
      </c>
      <c r="J31" s="59" t="str">
        <f aca="true">IF(H31="","",INDEX(INDIRECT($AZ$1&amp;"$C$5:$C$164"),H31))</f>
        <v/>
      </c>
      <c r="K31" s="61" t="str">
        <f aca="true">IF(H31="","",INDEX(INDIRECT($AZ$1&amp;"$F$5:$F$164"),H31)&amp;"")</f>
        <v/>
      </c>
      <c r="L31" s="61" t="str">
        <f aca="true">IF(H31="","",INDEX(INDIRECT($AZ$1&amp;"$G$5:$G$164"),H31)&amp;"")</f>
        <v/>
      </c>
      <c r="M31" s="61" t="str">
        <f aca="true">IF(H31="","",INDEX(INDIRECT($AZ$1&amp;"$H$5:$H$164"),H31)&amp;"")</f>
        <v/>
      </c>
      <c r="N31" s="13"/>
      <c r="O31" s="41" t="str">
        <f aca="true">IFERROR(IF(P$4="","",MATCH(P$4&amp;"|"&amp;26,INDIRECT($AZ$1&amp;"$J$5:$J$164"),0)),"")</f>
        <v/>
      </c>
      <c r="P31" s="91" t="str">
        <f aca="true">IF(O31="","",SUBSTITUTE(INDEX(INDIRECT($AZ$1&amp;"$A$5:$A$164"),O31),"組","")&amp;"-"&amp;INDEX(INDIRECT($AZ$1&amp;"$B$5:$B$164"),O31))</f>
        <v/>
      </c>
      <c r="Q31" s="59" t="str">
        <f aca="true">IF(O31="","",INDEX(INDIRECT($AZ$1&amp;"$C$5:$C$164"),O31))</f>
        <v/>
      </c>
      <c r="R31" s="61" t="str">
        <f aca="true">IF(O31="","",INDEX(INDIRECT($AZ$1&amp;"$F$5:$F$164"),O31)&amp;"")</f>
        <v/>
      </c>
      <c r="S31" s="61" t="str">
        <f aca="true">IF(O31="","",INDEX(INDIRECT($AZ$1&amp;"$G$5:$G$164"),O31)&amp;"")</f>
        <v/>
      </c>
      <c r="T31" s="61" t="str">
        <f aca="true">IF(O31="","",INDEX(INDIRECT($AZ$1&amp;"$H$5:$H$164"),O31)&amp;"")</f>
        <v/>
      </c>
      <c r="U31" s="13"/>
      <c r="V31" s="41" t="str">
        <f aca="true">IFERROR(IF(W$4="","",MATCH(W$4&amp;"|"&amp;26,INDIRECT($AZ$1&amp;"$J$5:$J$164"),0)),"")</f>
        <v/>
      </c>
      <c r="W31" s="91" t="str">
        <f aca="true">IF(V31="","",SUBSTITUTE(INDEX(INDIRECT($AZ$1&amp;"$A$5:$A$164"),V31),"組","")&amp;"-"&amp;INDEX(INDIRECT($AZ$1&amp;"$B$5:$B$164"),V31))</f>
        <v/>
      </c>
      <c r="X31" s="59" t="str">
        <f aca="true">IF(V31="","",INDEX(INDIRECT($AZ$1&amp;"$C$5:$C$164"),V31))</f>
        <v/>
      </c>
      <c r="Y31" s="61" t="str">
        <f aca="true">IF(V31="","",INDEX(INDIRECT($AZ$1&amp;"$F$5:$F$164"),V31)&amp;"")</f>
        <v/>
      </c>
      <c r="Z31" s="61" t="str">
        <f aca="true">IF(V31="","",INDEX(INDIRECT($AZ$1&amp;"$G$5:$G$164"),V31)&amp;"")</f>
        <v/>
      </c>
      <c r="AA31" s="61" t="str">
        <f aca="true">IF(V31="","",INDEX(INDIRECT($AZ$1&amp;"$H$5:$H$164"),V31)&amp;"")</f>
        <v/>
      </c>
      <c r="AB31" s="13"/>
      <c r="AC31" s="41" t="str">
        <f aca="true">IFERROR(IF(AD$4="","",MATCH(AD$4&amp;"|"&amp;26,INDIRECT($AZ$1&amp;"$J$5:$J$164"),0)),"")</f>
        <v/>
      </c>
      <c r="AD31" s="91" t="str">
        <f aca="true">IF(AC31="","",SUBSTITUTE(INDEX(INDIRECT($AZ$1&amp;"$A$5:$A$164"),AC31),"組","")&amp;"-"&amp;INDEX(INDIRECT($AZ$1&amp;"$B$5:$B$164"),AC31))</f>
        <v/>
      </c>
      <c r="AE31" s="59" t="str">
        <f aca="true">IF(AC31="","",INDEX(INDIRECT($AZ$1&amp;"$C$5:$C$164"),AC31))</f>
        <v/>
      </c>
      <c r="AF31" s="61" t="str">
        <f aca="true">IF(AC31="","",INDEX(INDIRECT($AZ$1&amp;"$F$5:$F$164"),AC31)&amp;"")</f>
        <v/>
      </c>
      <c r="AG31" s="61" t="str">
        <f aca="true">IF(AC31="","",INDEX(INDIRECT($AZ$1&amp;"$G$5:$G$164"),AC31)&amp;"")</f>
        <v/>
      </c>
      <c r="AH31" s="61" t="str">
        <f aca="true">IF(AC31="","",INDEX(INDIRECT($AZ$1&amp;"$H$5:$H$164"),AC31)&amp;"")</f>
        <v/>
      </c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</row>
    <row r="32" customFormat="false" ht="18.75" hidden="false" customHeight="true" outlineLevel="0" collapsed="false">
      <c r="A32" s="41" t="str">
        <f aca="true">IFERROR(IF(B$4="","",MATCH(B$4&amp;"|"&amp;27,INDIRECT($AZ$1&amp;"$J$5:$J$164"),0)),"")</f>
        <v/>
      </c>
      <c r="B32" s="91" t="str">
        <f aca="true">IF(A32="","",SUBSTITUTE(INDEX(INDIRECT($AZ$1&amp;"$A$5:$A$164"),A32),"組","")&amp;"-"&amp;INDEX(INDIRECT($AZ$1&amp;"$B$5:$B$164"),A32))</f>
        <v/>
      </c>
      <c r="C32" s="59" t="str">
        <f aca="true">IF(A32="","",INDEX(INDIRECT($AZ$1&amp;"$C$5:$C$164"),A32))</f>
        <v/>
      </c>
      <c r="D32" s="61" t="str">
        <f aca="true">IF(A32="","",INDEX(INDIRECT($AZ$1&amp;"$F$5:$F$164"),A32)&amp;"")</f>
        <v/>
      </c>
      <c r="E32" s="61" t="str">
        <f aca="true">IF(A32="","",INDEX(INDIRECT($AZ$1&amp;"$G$5:$G$164"),A32)&amp;"")</f>
        <v/>
      </c>
      <c r="F32" s="61" t="str">
        <f aca="true">IF(A32="","",INDEX(INDIRECT($AZ$1&amp;"$H$5:$H$164"),A32)&amp;"")</f>
        <v/>
      </c>
      <c r="G32" s="13"/>
      <c r="H32" s="41" t="str">
        <f aca="true">IFERROR(IF(I$4="","",MATCH(I$4&amp;"|"&amp;27,INDIRECT($AZ$1&amp;"$J$5:$J$164"),0)),"")</f>
        <v/>
      </c>
      <c r="I32" s="91" t="str">
        <f aca="true">IF(H32="","",SUBSTITUTE(INDEX(INDIRECT($AZ$1&amp;"$A$5:$A$164"),H32),"組","")&amp;"-"&amp;INDEX(INDIRECT($AZ$1&amp;"$B$5:$B$164"),H32))</f>
        <v/>
      </c>
      <c r="J32" s="59" t="str">
        <f aca="true">IF(H32="","",INDEX(INDIRECT($AZ$1&amp;"$C$5:$C$164"),H32))</f>
        <v/>
      </c>
      <c r="K32" s="61" t="str">
        <f aca="true">IF(H32="","",INDEX(INDIRECT($AZ$1&amp;"$F$5:$F$164"),H32)&amp;"")</f>
        <v/>
      </c>
      <c r="L32" s="61" t="str">
        <f aca="true">IF(H32="","",INDEX(INDIRECT($AZ$1&amp;"$G$5:$G$164"),H32)&amp;"")</f>
        <v/>
      </c>
      <c r="M32" s="61" t="str">
        <f aca="true">IF(H32="","",INDEX(INDIRECT($AZ$1&amp;"$H$5:$H$164"),H32)&amp;"")</f>
        <v/>
      </c>
      <c r="N32" s="13"/>
      <c r="O32" s="41" t="str">
        <f aca="true">IFERROR(IF(P$4="","",MATCH(P$4&amp;"|"&amp;27,INDIRECT($AZ$1&amp;"$J$5:$J$164"),0)),"")</f>
        <v/>
      </c>
      <c r="P32" s="91" t="str">
        <f aca="true">IF(O32="","",SUBSTITUTE(INDEX(INDIRECT($AZ$1&amp;"$A$5:$A$164"),O32),"組","")&amp;"-"&amp;INDEX(INDIRECT($AZ$1&amp;"$B$5:$B$164"),O32))</f>
        <v/>
      </c>
      <c r="Q32" s="59" t="str">
        <f aca="true">IF(O32="","",INDEX(INDIRECT($AZ$1&amp;"$C$5:$C$164"),O32))</f>
        <v/>
      </c>
      <c r="R32" s="61" t="str">
        <f aca="true">IF(O32="","",INDEX(INDIRECT($AZ$1&amp;"$F$5:$F$164"),O32)&amp;"")</f>
        <v/>
      </c>
      <c r="S32" s="61" t="str">
        <f aca="true">IF(O32="","",INDEX(INDIRECT($AZ$1&amp;"$G$5:$G$164"),O32)&amp;"")</f>
        <v/>
      </c>
      <c r="T32" s="61" t="str">
        <f aca="true">IF(O32="","",INDEX(INDIRECT($AZ$1&amp;"$H$5:$H$164"),O32)&amp;"")</f>
        <v/>
      </c>
      <c r="U32" s="13"/>
      <c r="V32" s="41" t="str">
        <f aca="true">IFERROR(IF(W$4="","",MATCH(W$4&amp;"|"&amp;27,INDIRECT($AZ$1&amp;"$J$5:$J$164"),0)),"")</f>
        <v/>
      </c>
      <c r="W32" s="91" t="str">
        <f aca="true">IF(V32="","",SUBSTITUTE(INDEX(INDIRECT($AZ$1&amp;"$A$5:$A$164"),V32),"組","")&amp;"-"&amp;INDEX(INDIRECT($AZ$1&amp;"$B$5:$B$164"),V32))</f>
        <v/>
      </c>
      <c r="X32" s="59" t="str">
        <f aca="true">IF(V32="","",INDEX(INDIRECT($AZ$1&amp;"$C$5:$C$164"),V32))</f>
        <v/>
      </c>
      <c r="Y32" s="61" t="str">
        <f aca="true">IF(V32="","",INDEX(INDIRECT($AZ$1&amp;"$F$5:$F$164"),V32)&amp;"")</f>
        <v/>
      </c>
      <c r="Z32" s="61" t="str">
        <f aca="true">IF(V32="","",INDEX(INDIRECT($AZ$1&amp;"$G$5:$G$164"),V32)&amp;"")</f>
        <v/>
      </c>
      <c r="AA32" s="61" t="str">
        <f aca="true">IF(V32="","",INDEX(INDIRECT($AZ$1&amp;"$H$5:$H$164"),V32)&amp;"")</f>
        <v/>
      </c>
      <c r="AB32" s="13"/>
      <c r="AC32" s="41" t="str">
        <f aca="true">IFERROR(IF(AD$4="","",MATCH(AD$4&amp;"|"&amp;27,INDIRECT($AZ$1&amp;"$J$5:$J$164"),0)),"")</f>
        <v/>
      </c>
      <c r="AD32" s="91" t="str">
        <f aca="true">IF(AC32="","",SUBSTITUTE(INDEX(INDIRECT($AZ$1&amp;"$A$5:$A$164"),AC32),"組","")&amp;"-"&amp;INDEX(INDIRECT($AZ$1&amp;"$B$5:$B$164"),AC32))</f>
        <v/>
      </c>
      <c r="AE32" s="59" t="str">
        <f aca="true">IF(AC32="","",INDEX(INDIRECT($AZ$1&amp;"$C$5:$C$164"),AC32))</f>
        <v/>
      </c>
      <c r="AF32" s="61" t="str">
        <f aca="true">IF(AC32="","",INDEX(INDIRECT($AZ$1&amp;"$F$5:$F$164"),AC32)&amp;"")</f>
        <v/>
      </c>
      <c r="AG32" s="61" t="str">
        <f aca="true">IF(AC32="","",INDEX(INDIRECT($AZ$1&amp;"$G$5:$G$164"),AC32)&amp;"")</f>
        <v/>
      </c>
      <c r="AH32" s="61" t="str">
        <f aca="true">IF(AC32="","",INDEX(INDIRECT($AZ$1&amp;"$H$5:$H$164"),AC32)&amp;"")</f>
        <v/>
      </c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</row>
    <row r="33" customFormat="false" ht="18.75" hidden="false" customHeight="true" outlineLevel="0" collapsed="false">
      <c r="A33" s="41" t="str">
        <f aca="true">IFERROR(IF(B$4="","",MATCH(B$4&amp;"|"&amp;28,INDIRECT($AZ$1&amp;"$J$5:$J$164"),0)),"")</f>
        <v/>
      </c>
      <c r="B33" s="91" t="str">
        <f aca="true">IF(A33="","",SUBSTITUTE(INDEX(INDIRECT($AZ$1&amp;"$A$5:$A$164"),A33),"組","")&amp;"-"&amp;INDEX(INDIRECT($AZ$1&amp;"$B$5:$B$164"),A33))</f>
        <v/>
      </c>
      <c r="C33" s="59" t="str">
        <f aca="true">IF(A33="","",INDEX(INDIRECT($AZ$1&amp;"$C$5:$C$164"),A33))</f>
        <v/>
      </c>
      <c r="D33" s="61" t="str">
        <f aca="true">IF(A33="","",INDEX(INDIRECT($AZ$1&amp;"$F$5:$F$164"),A33)&amp;"")</f>
        <v/>
      </c>
      <c r="E33" s="61" t="str">
        <f aca="true">IF(A33="","",INDEX(INDIRECT($AZ$1&amp;"$G$5:$G$164"),A33)&amp;"")</f>
        <v/>
      </c>
      <c r="F33" s="61" t="str">
        <f aca="true">IF(A33="","",INDEX(INDIRECT($AZ$1&amp;"$H$5:$H$164"),A33)&amp;"")</f>
        <v/>
      </c>
      <c r="G33" s="13"/>
      <c r="H33" s="41" t="str">
        <f aca="true">IFERROR(IF(I$4="","",MATCH(I$4&amp;"|"&amp;28,INDIRECT($AZ$1&amp;"$J$5:$J$164"),0)),"")</f>
        <v/>
      </c>
      <c r="I33" s="91" t="str">
        <f aca="true">IF(H33="","",SUBSTITUTE(INDEX(INDIRECT($AZ$1&amp;"$A$5:$A$164"),H33),"組","")&amp;"-"&amp;INDEX(INDIRECT($AZ$1&amp;"$B$5:$B$164"),H33))</f>
        <v/>
      </c>
      <c r="J33" s="59" t="str">
        <f aca="true">IF(H33="","",INDEX(INDIRECT($AZ$1&amp;"$C$5:$C$164"),H33))</f>
        <v/>
      </c>
      <c r="K33" s="61" t="str">
        <f aca="true">IF(H33="","",INDEX(INDIRECT($AZ$1&amp;"$F$5:$F$164"),H33)&amp;"")</f>
        <v/>
      </c>
      <c r="L33" s="61" t="str">
        <f aca="true">IF(H33="","",INDEX(INDIRECT($AZ$1&amp;"$G$5:$G$164"),H33)&amp;"")</f>
        <v/>
      </c>
      <c r="M33" s="61" t="str">
        <f aca="true">IF(H33="","",INDEX(INDIRECT($AZ$1&amp;"$H$5:$H$164"),H33)&amp;"")</f>
        <v/>
      </c>
      <c r="N33" s="13"/>
      <c r="O33" s="41" t="str">
        <f aca="true">IFERROR(IF(P$4="","",MATCH(P$4&amp;"|"&amp;28,INDIRECT($AZ$1&amp;"$J$5:$J$164"),0)),"")</f>
        <v/>
      </c>
      <c r="P33" s="91" t="str">
        <f aca="true">IF(O33="","",SUBSTITUTE(INDEX(INDIRECT($AZ$1&amp;"$A$5:$A$164"),O33),"組","")&amp;"-"&amp;INDEX(INDIRECT($AZ$1&amp;"$B$5:$B$164"),O33))</f>
        <v/>
      </c>
      <c r="Q33" s="59" t="str">
        <f aca="true">IF(O33="","",INDEX(INDIRECT($AZ$1&amp;"$C$5:$C$164"),O33))</f>
        <v/>
      </c>
      <c r="R33" s="61" t="str">
        <f aca="true">IF(O33="","",INDEX(INDIRECT($AZ$1&amp;"$F$5:$F$164"),O33)&amp;"")</f>
        <v/>
      </c>
      <c r="S33" s="61" t="str">
        <f aca="true">IF(O33="","",INDEX(INDIRECT($AZ$1&amp;"$G$5:$G$164"),O33)&amp;"")</f>
        <v/>
      </c>
      <c r="T33" s="61" t="str">
        <f aca="true">IF(O33="","",INDEX(INDIRECT($AZ$1&amp;"$H$5:$H$164"),O33)&amp;"")</f>
        <v/>
      </c>
      <c r="U33" s="13"/>
      <c r="V33" s="41" t="str">
        <f aca="true">IFERROR(IF(W$4="","",MATCH(W$4&amp;"|"&amp;28,INDIRECT($AZ$1&amp;"$J$5:$J$164"),0)),"")</f>
        <v/>
      </c>
      <c r="W33" s="91" t="str">
        <f aca="true">IF(V33="","",SUBSTITUTE(INDEX(INDIRECT($AZ$1&amp;"$A$5:$A$164"),V33),"組","")&amp;"-"&amp;INDEX(INDIRECT($AZ$1&amp;"$B$5:$B$164"),V33))</f>
        <v/>
      </c>
      <c r="X33" s="59" t="str">
        <f aca="true">IF(V33="","",INDEX(INDIRECT($AZ$1&amp;"$C$5:$C$164"),V33))</f>
        <v/>
      </c>
      <c r="Y33" s="61" t="str">
        <f aca="true">IF(V33="","",INDEX(INDIRECT($AZ$1&amp;"$F$5:$F$164"),V33)&amp;"")</f>
        <v/>
      </c>
      <c r="Z33" s="61" t="str">
        <f aca="true">IF(V33="","",INDEX(INDIRECT($AZ$1&amp;"$G$5:$G$164"),V33)&amp;"")</f>
        <v/>
      </c>
      <c r="AA33" s="61" t="str">
        <f aca="true">IF(V33="","",INDEX(INDIRECT($AZ$1&amp;"$H$5:$H$164"),V33)&amp;"")</f>
        <v/>
      </c>
      <c r="AB33" s="13"/>
      <c r="AC33" s="41" t="str">
        <f aca="true">IFERROR(IF(AD$4="","",MATCH(AD$4&amp;"|"&amp;28,INDIRECT($AZ$1&amp;"$J$5:$J$164"),0)),"")</f>
        <v/>
      </c>
      <c r="AD33" s="91" t="str">
        <f aca="true">IF(AC33="","",SUBSTITUTE(INDEX(INDIRECT($AZ$1&amp;"$A$5:$A$164"),AC33),"組","")&amp;"-"&amp;INDEX(INDIRECT($AZ$1&amp;"$B$5:$B$164"),AC33))</f>
        <v/>
      </c>
      <c r="AE33" s="59" t="str">
        <f aca="true">IF(AC33="","",INDEX(INDIRECT($AZ$1&amp;"$C$5:$C$164"),AC33))</f>
        <v/>
      </c>
      <c r="AF33" s="61" t="str">
        <f aca="true">IF(AC33="","",INDEX(INDIRECT($AZ$1&amp;"$F$5:$F$164"),AC33)&amp;"")</f>
        <v/>
      </c>
      <c r="AG33" s="61" t="str">
        <f aca="true">IF(AC33="","",INDEX(INDIRECT($AZ$1&amp;"$G$5:$G$164"),AC33)&amp;"")</f>
        <v/>
      </c>
      <c r="AH33" s="61" t="str">
        <f aca="true">IF(AC33="","",INDEX(INDIRECT($AZ$1&amp;"$H$5:$H$164"),AC33)&amp;"")</f>
        <v/>
      </c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</row>
    <row r="34" customFormat="false" ht="18.75" hidden="false" customHeight="true" outlineLevel="0" collapsed="false">
      <c r="A34" s="41" t="str">
        <f aca="true">IFERROR(IF(B$4="","",MATCH(B$4&amp;"|"&amp;29,INDIRECT($AZ$1&amp;"$J$5:$J$164"),0)),"")</f>
        <v/>
      </c>
      <c r="B34" s="91" t="str">
        <f aca="true">IF(A34="","",SUBSTITUTE(INDEX(INDIRECT($AZ$1&amp;"$A$5:$A$164"),A34),"組","")&amp;"-"&amp;INDEX(INDIRECT($AZ$1&amp;"$B$5:$B$164"),A34))</f>
        <v/>
      </c>
      <c r="C34" s="59" t="str">
        <f aca="true">IF(A34="","",INDEX(INDIRECT($AZ$1&amp;"$C$5:$C$164"),A34))</f>
        <v/>
      </c>
      <c r="D34" s="61" t="str">
        <f aca="true">IF(A34="","",INDEX(INDIRECT($AZ$1&amp;"$F$5:$F$164"),A34)&amp;"")</f>
        <v/>
      </c>
      <c r="E34" s="61" t="str">
        <f aca="true">IF(A34="","",INDEX(INDIRECT($AZ$1&amp;"$G$5:$G$164"),A34)&amp;"")</f>
        <v/>
      </c>
      <c r="F34" s="61" t="str">
        <f aca="true">IF(A34="","",INDEX(INDIRECT($AZ$1&amp;"$H$5:$H$164"),A34)&amp;"")</f>
        <v/>
      </c>
      <c r="G34" s="13"/>
      <c r="H34" s="41" t="str">
        <f aca="true">IFERROR(IF(I$4="","",MATCH(I$4&amp;"|"&amp;29,INDIRECT($AZ$1&amp;"$J$5:$J$164"),0)),"")</f>
        <v/>
      </c>
      <c r="I34" s="91" t="str">
        <f aca="true">IF(H34="","",SUBSTITUTE(INDEX(INDIRECT($AZ$1&amp;"$A$5:$A$164"),H34),"組","")&amp;"-"&amp;INDEX(INDIRECT($AZ$1&amp;"$B$5:$B$164"),H34))</f>
        <v/>
      </c>
      <c r="J34" s="59" t="str">
        <f aca="true">IF(H34="","",INDEX(INDIRECT($AZ$1&amp;"$C$5:$C$164"),H34))</f>
        <v/>
      </c>
      <c r="K34" s="61" t="str">
        <f aca="true">IF(H34="","",INDEX(INDIRECT($AZ$1&amp;"$F$5:$F$164"),H34)&amp;"")</f>
        <v/>
      </c>
      <c r="L34" s="61" t="str">
        <f aca="true">IF(H34="","",INDEX(INDIRECT($AZ$1&amp;"$G$5:$G$164"),H34)&amp;"")</f>
        <v/>
      </c>
      <c r="M34" s="61" t="str">
        <f aca="true">IF(H34="","",INDEX(INDIRECT($AZ$1&amp;"$H$5:$H$164"),H34)&amp;"")</f>
        <v/>
      </c>
      <c r="N34" s="13"/>
      <c r="O34" s="41" t="str">
        <f aca="true">IFERROR(IF(P$4="","",MATCH(P$4&amp;"|"&amp;29,INDIRECT($AZ$1&amp;"$J$5:$J$164"),0)),"")</f>
        <v/>
      </c>
      <c r="P34" s="91" t="str">
        <f aca="true">IF(O34="","",SUBSTITUTE(INDEX(INDIRECT($AZ$1&amp;"$A$5:$A$164"),O34),"組","")&amp;"-"&amp;INDEX(INDIRECT($AZ$1&amp;"$B$5:$B$164"),O34))</f>
        <v/>
      </c>
      <c r="Q34" s="59" t="str">
        <f aca="true">IF(O34="","",INDEX(INDIRECT($AZ$1&amp;"$C$5:$C$164"),O34))</f>
        <v/>
      </c>
      <c r="R34" s="61" t="str">
        <f aca="true">IF(O34="","",INDEX(INDIRECT($AZ$1&amp;"$F$5:$F$164"),O34)&amp;"")</f>
        <v/>
      </c>
      <c r="S34" s="61" t="str">
        <f aca="true">IF(O34="","",INDEX(INDIRECT($AZ$1&amp;"$G$5:$G$164"),O34)&amp;"")</f>
        <v/>
      </c>
      <c r="T34" s="61" t="str">
        <f aca="true">IF(O34="","",INDEX(INDIRECT($AZ$1&amp;"$H$5:$H$164"),O34)&amp;"")</f>
        <v/>
      </c>
      <c r="U34" s="13"/>
      <c r="V34" s="41" t="str">
        <f aca="true">IFERROR(IF(W$4="","",MATCH(W$4&amp;"|"&amp;29,INDIRECT($AZ$1&amp;"$J$5:$J$164"),0)),"")</f>
        <v/>
      </c>
      <c r="W34" s="91" t="str">
        <f aca="true">IF(V34="","",SUBSTITUTE(INDEX(INDIRECT($AZ$1&amp;"$A$5:$A$164"),V34),"組","")&amp;"-"&amp;INDEX(INDIRECT($AZ$1&amp;"$B$5:$B$164"),V34))</f>
        <v/>
      </c>
      <c r="X34" s="59" t="str">
        <f aca="true">IF(V34="","",INDEX(INDIRECT($AZ$1&amp;"$C$5:$C$164"),V34))</f>
        <v/>
      </c>
      <c r="Y34" s="61" t="str">
        <f aca="true">IF(V34="","",INDEX(INDIRECT($AZ$1&amp;"$F$5:$F$164"),V34)&amp;"")</f>
        <v/>
      </c>
      <c r="Z34" s="61" t="str">
        <f aca="true">IF(V34="","",INDEX(INDIRECT($AZ$1&amp;"$G$5:$G$164"),V34)&amp;"")</f>
        <v/>
      </c>
      <c r="AA34" s="61" t="str">
        <f aca="true">IF(V34="","",INDEX(INDIRECT($AZ$1&amp;"$H$5:$H$164"),V34)&amp;"")</f>
        <v/>
      </c>
      <c r="AB34" s="13"/>
      <c r="AC34" s="41" t="str">
        <f aca="true">IFERROR(IF(AD$4="","",MATCH(AD$4&amp;"|"&amp;29,INDIRECT($AZ$1&amp;"$J$5:$J$164"),0)),"")</f>
        <v/>
      </c>
      <c r="AD34" s="91" t="str">
        <f aca="true">IF(AC34="","",SUBSTITUTE(INDEX(INDIRECT($AZ$1&amp;"$A$5:$A$164"),AC34),"組","")&amp;"-"&amp;INDEX(INDIRECT($AZ$1&amp;"$B$5:$B$164"),AC34))</f>
        <v/>
      </c>
      <c r="AE34" s="59" t="str">
        <f aca="true">IF(AC34="","",INDEX(INDIRECT($AZ$1&amp;"$C$5:$C$164"),AC34))</f>
        <v/>
      </c>
      <c r="AF34" s="61" t="str">
        <f aca="true">IF(AC34="","",INDEX(INDIRECT($AZ$1&amp;"$F$5:$F$164"),AC34)&amp;"")</f>
        <v/>
      </c>
      <c r="AG34" s="61" t="str">
        <f aca="true">IF(AC34="","",INDEX(INDIRECT($AZ$1&amp;"$G$5:$G$164"),AC34)&amp;"")</f>
        <v/>
      </c>
      <c r="AH34" s="61" t="str">
        <f aca="true">IF(AC34="","",INDEX(INDIRECT($AZ$1&amp;"$H$5:$H$164"),AC34)&amp;"")</f>
        <v/>
      </c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</row>
    <row r="35" customFormat="false" ht="18.75" hidden="false" customHeight="true" outlineLevel="0" collapsed="false">
      <c r="A35" s="41" t="str">
        <f aca="true">IFERROR(IF(B$4="","",MATCH(B$4&amp;"|"&amp;30,INDIRECT($AZ$1&amp;"$J$5:$J$164"),0)),"")</f>
        <v/>
      </c>
      <c r="B35" s="91" t="str">
        <f aca="true">IF(A35="","",SUBSTITUTE(INDEX(INDIRECT($AZ$1&amp;"$A$5:$A$164"),A35),"組","")&amp;"-"&amp;INDEX(INDIRECT($AZ$1&amp;"$B$5:$B$164"),A35))</f>
        <v/>
      </c>
      <c r="C35" s="59" t="str">
        <f aca="true">IF(A35="","",INDEX(INDIRECT($AZ$1&amp;"$C$5:$C$164"),A35))</f>
        <v/>
      </c>
      <c r="D35" s="61" t="str">
        <f aca="true">IF(A35="","",INDEX(INDIRECT($AZ$1&amp;"$F$5:$F$164"),A35)&amp;"")</f>
        <v/>
      </c>
      <c r="E35" s="61" t="str">
        <f aca="true">IF(A35="","",INDEX(INDIRECT($AZ$1&amp;"$G$5:$G$164"),A35)&amp;"")</f>
        <v/>
      </c>
      <c r="F35" s="61" t="str">
        <f aca="true">IF(A35="","",INDEX(INDIRECT($AZ$1&amp;"$H$5:$H$164"),A35)&amp;"")</f>
        <v/>
      </c>
      <c r="G35" s="13"/>
      <c r="H35" s="41" t="str">
        <f aca="true">IFERROR(IF(I$4="","",MATCH(I$4&amp;"|"&amp;30,INDIRECT($AZ$1&amp;"$J$5:$J$164"),0)),"")</f>
        <v/>
      </c>
      <c r="I35" s="91" t="str">
        <f aca="true">IF(H35="","",SUBSTITUTE(INDEX(INDIRECT($AZ$1&amp;"$A$5:$A$164"),H35),"組","")&amp;"-"&amp;INDEX(INDIRECT($AZ$1&amp;"$B$5:$B$164"),H35))</f>
        <v/>
      </c>
      <c r="J35" s="59" t="str">
        <f aca="true">IF(H35="","",INDEX(INDIRECT($AZ$1&amp;"$C$5:$C$164"),H35))</f>
        <v/>
      </c>
      <c r="K35" s="61" t="str">
        <f aca="true">IF(H35="","",INDEX(INDIRECT($AZ$1&amp;"$F$5:$F$164"),H35)&amp;"")</f>
        <v/>
      </c>
      <c r="L35" s="61" t="str">
        <f aca="true">IF(H35="","",INDEX(INDIRECT($AZ$1&amp;"$G$5:$G$164"),H35)&amp;"")</f>
        <v/>
      </c>
      <c r="M35" s="61" t="str">
        <f aca="true">IF(H35="","",INDEX(INDIRECT($AZ$1&amp;"$H$5:$H$164"),H35)&amp;"")</f>
        <v/>
      </c>
      <c r="N35" s="13"/>
      <c r="O35" s="41" t="str">
        <f aca="true">IFERROR(IF(P$4="","",MATCH(P$4&amp;"|"&amp;30,INDIRECT($AZ$1&amp;"$J$5:$J$164"),0)),"")</f>
        <v/>
      </c>
      <c r="P35" s="91" t="str">
        <f aca="true">IF(O35="","",SUBSTITUTE(INDEX(INDIRECT($AZ$1&amp;"$A$5:$A$164"),O35),"組","")&amp;"-"&amp;INDEX(INDIRECT($AZ$1&amp;"$B$5:$B$164"),O35))</f>
        <v/>
      </c>
      <c r="Q35" s="59" t="str">
        <f aca="true">IF(O35="","",INDEX(INDIRECT($AZ$1&amp;"$C$5:$C$164"),O35))</f>
        <v/>
      </c>
      <c r="R35" s="61" t="str">
        <f aca="true">IF(O35="","",INDEX(INDIRECT($AZ$1&amp;"$F$5:$F$164"),O35)&amp;"")</f>
        <v/>
      </c>
      <c r="S35" s="61" t="str">
        <f aca="true">IF(O35="","",INDEX(INDIRECT($AZ$1&amp;"$G$5:$G$164"),O35)&amp;"")</f>
        <v/>
      </c>
      <c r="T35" s="61" t="str">
        <f aca="true">IF(O35="","",INDEX(INDIRECT($AZ$1&amp;"$H$5:$H$164"),O35)&amp;"")</f>
        <v/>
      </c>
      <c r="U35" s="13"/>
      <c r="V35" s="41" t="str">
        <f aca="true">IFERROR(IF(W$4="","",MATCH(W$4&amp;"|"&amp;30,INDIRECT($AZ$1&amp;"$J$5:$J$164"),0)),"")</f>
        <v/>
      </c>
      <c r="W35" s="91" t="str">
        <f aca="true">IF(V35="","",SUBSTITUTE(INDEX(INDIRECT($AZ$1&amp;"$A$5:$A$164"),V35),"組","")&amp;"-"&amp;INDEX(INDIRECT($AZ$1&amp;"$B$5:$B$164"),V35))</f>
        <v/>
      </c>
      <c r="X35" s="59" t="str">
        <f aca="true">IF(V35="","",INDEX(INDIRECT($AZ$1&amp;"$C$5:$C$164"),V35))</f>
        <v/>
      </c>
      <c r="Y35" s="61" t="str">
        <f aca="true">IF(V35="","",INDEX(INDIRECT($AZ$1&amp;"$F$5:$F$164"),V35)&amp;"")</f>
        <v/>
      </c>
      <c r="Z35" s="61" t="str">
        <f aca="true">IF(V35="","",INDEX(INDIRECT($AZ$1&amp;"$G$5:$G$164"),V35)&amp;"")</f>
        <v/>
      </c>
      <c r="AA35" s="61" t="str">
        <f aca="true">IF(V35="","",INDEX(INDIRECT($AZ$1&amp;"$H$5:$H$164"),V35)&amp;"")</f>
        <v/>
      </c>
      <c r="AB35" s="13"/>
      <c r="AC35" s="41" t="str">
        <f aca="true">IFERROR(IF(AD$4="","",MATCH(AD$4&amp;"|"&amp;30,INDIRECT($AZ$1&amp;"$J$5:$J$164"),0)),"")</f>
        <v/>
      </c>
      <c r="AD35" s="91" t="str">
        <f aca="true">IF(AC35="","",SUBSTITUTE(INDEX(INDIRECT($AZ$1&amp;"$A$5:$A$164"),AC35),"組","")&amp;"-"&amp;INDEX(INDIRECT($AZ$1&amp;"$B$5:$B$164"),AC35))</f>
        <v/>
      </c>
      <c r="AE35" s="59" t="str">
        <f aca="true">IF(AC35="","",INDEX(INDIRECT($AZ$1&amp;"$C$5:$C$164"),AC35))</f>
        <v/>
      </c>
      <c r="AF35" s="61" t="str">
        <f aca="true">IF(AC35="","",INDEX(INDIRECT($AZ$1&amp;"$F$5:$F$164"),AC35)&amp;"")</f>
        <v/>
      </c>
      <c r="AG35" s="61" t="str">
        <f aca="true">IF(AC35="","",INDEX(INDIRECT($AZ$1&amp;"$G$5:$G$164"),AC35)&amp;"")</f>
        <v/>
      </c>
      <c r="AH35" s="61" t="str">
        <f aca="true">IF(AC35="","",INDEX(INDIRECT($AZ$1&amp;"$H$5:$H$164"),AC35)&amp;"")</f>
        <v/>
      </c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</row>
    <row r="36" customFormat="false" ht="18.75" hidden="false" customHeight="true" outlineLevel="0" collapsed="false">
      <c r="A36" s="41" t="str">
        <f aca="true">IFERROR(IF(B$4="","",MATCH(B$4&amp;"|"&amp;31,INDIRECT($AZ$1&amp;"$J$5:$J$164"),0)),"")</f>
        <v/>
      </c>
      <c r="B36" s="91" t="str">
        <f aca="true">IF(A36="","",SUBSTITUTE(INDEX(INDIRECT($AZ$1&amp;"$A$5:$A$164"),A36),"組","")&amp;"-"&amp;INDEX(INDIRECT($AZ$1&amp;"$B$5:$B$164"),A36))</f>
        <v/>
      </c>
      <c r="C36" s="59" t="str">
        <f aca="true">IF(A36="","",INDEX(INDIRECT($AZ$1&amp;"$C$5:$C$164"),A36))</f>
        <v/>
      </c>
      <c r="D36" s="61" t="str">
        <f aca="true">IF(A36="","",INDEX(INDIRECT($AZ$1&amp;"$F$5:$F$164"),A36)&amp;"")</f>
        <v/>
      </c>
      <c r="E36" s="61" t="str">
        <f aca="true">IF(A36="","",INDEX(INDIRECT($AZ$1&amp;"$G$5:$G$164"),A36)&amp;"")</f>
        <v/>
      </c>
      <c r="F36" s="61" t="str">
        <f aca="true">IF(A36="","",INDEX(INDIRECT($AZ$1&amp;"$H$5:$H$164"),A36)&amp;"")</f>
        <v/>
      </c>
      <c r="G36" s="13"/>
      <c r="H36" s="41" t="str">
        <f aca="true">IFERROR(IF(I$4="","",MATCH(I$4&amp;"|"&amp;31,INDIRECT($AZ$1&amp;"$J$5:$J$164"),0)),"")</f>
        <v/>
      </c>
      <c r="I36" s="91" t="str">
        <f aca="true">IF(H36="","",SUBSTITUTE(INDEX(INDIRECT($AZ$1&amp;"$A$5:$A$164"),H36),"組","")&amp;"-"&amp;INDEX(INDIRECT($AZ$1&amp;"$B$5:$B$164"),H36))</f>
        <v/>
      </c>
      <c r="J36" s="59" t="str">
        <f aca="true">IF(H36="","",INDEX(INDIRECT($AZ$1&amp;"$C$5:$C$164"),H36))</f>
        <v/>
      </c>
      <c r="K36" s="61" t="str">
        <f aca="true">IF(H36="","",INDEX(INDIRECT($AZ$1&amp;"$F$5:$F$164"),H36)&amp;"")</f>
        <v/>
      </c>
      <c r="L36" s="61" t="str">
        <f aca="true">IF(H36="","",INDEX(INDIRECT($AZ$1&amp;"$G$5:$G$164"),H36)&amp;"")</f>
        <v/>
      </c>
      <c r="M36" s="61" t="str">
        <f aca="true">IF(H36="","",INDEX(INDIRECT($AZ$1&amp;"$H$5:$H$164"),H36)&amp;"")</f>
        <v/>
      </c>
      <c r="N36" s="13"/>
      <c r="O36" s="41" t="str">
        <f aca="true">IFERROR(IF(P$4="","",MATCH(P$4&amp;"|"&amp;31,INDIRECT($AZ$1&amp;"$J$5:$J$164"),0)),"")</f>
        <v/>
      </c>
      <c r="P36" s="91" t="str">
        <f aca="true">IF(O36="","",SUBSTITUTE(INDEX(INDIRECT($AZ$1&amp;"$A$5:$A$164"),O36),"組","")&amp;"-"&amp;INDEX(INDIRECT($AZ$1&amp;"$B$5:$B$164"),O36))</f>
        <v/>
      </c>
      <c r="Q36" s="59" t="str">
        <f aca="true">IF(O36="","",INDEX(INDIRECT($AZ$1&amp;"$C$5:$C$164"),O36))</f>
        <v/>
      </c>
      <c r="R36" s="61" t="str">
        <f aca="true">IF(O36="","",INDEX(INDIRECT($AZ$1&amp;"$F$5:$F$164"),O36)&amp;"")</f>
        <v/>
      </c>
      <c r="S36" s="61" t="str">
        <f aca="true">IF(O36="","",INDEX(INDIRECT($AZ$1&amp;"$G$5:$G$164"),O36)&amp;"")</f>
        <v/>
      </c>
      <c r="T36" s="61" t="str">
        <f aca="true">IF(O36="","",INDEX(INDIRECT($AZ$1&amp;"$H$5:$H$164"),O36)&amp;"")</f>
        <v/>
      </c>
      <c r="U36" s="13"/>
      <c r="V36" s="41" t="str">
        <f aca="true">IFERROR(IF(W$4="","",MATCH(W$4&amp;"|"&amp;31,INDIRECT($AZ$1&amp;"$J$5:$J$164"),0)),"")</f>
        <v/>
      </c>
      <c r="W36" s="91" t="str">
        <f aca="true">IF(V36="","",SUBSTITUTE(INDEX(INDIRECT($AZ$1&amp;"$A$5:$A$164"),V36),"組","")&amp;"-"&amp;INDEX(INDIRECT($AZ$1&amp;"$B$5:$B$164"),V36))</f>
        <v/>
      </c>
      <c r="X36" s="59" t="str">
        <f aca="true">IF(V36="","",INDEX(INDIRECT($AZ$1&amp;"$C$5:$C$164"),V36))</f>
        <v/>
      </c>
      <c r="Y36" s="61" t="str">
        <f aca="true">IF(V36="","",INDEX(INDIRECT($AZ$1&amp;"$F$5:$F$164"),V36)&amp;"")</f>
        <v/>
      </c>
      <c r="Z36" s="61" t="str">
        <f aca="true">IF(V36="","",INDEX(INDIRECT($AZ$1&amp;"$G$5:$G$164"),V36)&amp;"")</f>
        <v/>
      </c>
      <c r="AA36" s="61" t="str">
        <f aca="true">IF(V36="","",INDEX(INDIRECT($AZ$1&amp;"$H$5:$H$164"),V36)&amp;"")</f>
        <v/>
      </c>
      <c r="AB36" s="13"/>
      <c r="AC36" s="41" t="str">
        <f aca="true">IFERROR(IF(AD$4="","",MATCH(AD$4&amp;"|"&amp;31,INDIRECT($AZ$1&amp;"$J$5:$J$164"),0)),"")</f>
        <v/>
      </c>
      <c r="AD36" s="91" t="str">
        <f aca="true">IF(AC36="","",SUBSTITUTE(INDEX(INDIRECT($AZ$1&amp;"$A$5:$A$164"),AC36),"組","")&amp;"-"&amp;INDEX(INDIRECT($AZ$1&amp;"$B$5:$B$164"),AC36))</f>
        <v/>
      </c>
      <c r="AE36" s="59" t="str">
        <f aca="true">IF(AC36="","",INDEX(INDIRECT($AZ$1&amp;"$C$5:$C$164"),AC36))</f>
        <v/>
      </c>
      <c r="AF36" s="61" t="str">
        <f aca="true">IF(AC36="","",INDEX(INDIRECT($AZ$1&amp;"$F$5:$F$164"),AC36)&amp;"")</f>
        <v/>
      </c>
      <c r="AG36" s="61" t="str">
        <f aca="true">IF(AC36="","",INDEX(INDIRECT($AZ$1&amp;"$G$5:$G$164"),AC36)&amp;"")</f>
        <v/>
      </c>
      <c r="AH36" s="61" t="str">
        <f aca="true">IF(AC36="","",INDEX(INDIRECT($AZ$1&amp;"$H$5:$H$164"),AC36)&amp;"")</f>
        <v/>
      </c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</row>
    <row r="37" customFormat="false" ht="18.75" hidden="false" customHeight="true" outlineLevel="0" collapsed="false">
      <c r="A37" s="41" t="str">
        <f aca="true">IFERROR(IF(B$4="","",MATCH(B$4&amp;"|"&amp;32,INDIRECT($AZ$1&amp;"$J$5:$J$164"),0)),"")</f>
        <v/>
      </c>
      <c r="B37" s="91" t="str">
        <f aca="true">IF(A37="","",SUBSTITUTE(INDEX(INDIRECT($AZ$1&amp;"$A$5:$A$164"),A37),"組","")&amp;"-"&amp;INDEX(INDIRECT($AZ$1&amp;"$B$5:$B$164"),A37))</f>
        <v/>
      </c>
      <c r="C37" s="59" t="str">
        <f aca="true">IF(A37="","",INDEX(INDIRECT($AZ$1&amp;"$C$5:$C$164"),A37))</f>
        <v/>
      </c>
      <c r="D37" s="61" t="str">
        <f aca="true">IF(A37="","",INDEX(INDIRECT($AZ$1&amp;"$F$5:$F$164"),A37)&amp;"")</f>
        <v/>
      </c>
      <c r="E37" s="61" t="str">
        <f aca="true">IF(A37="","",INDEX(INDIRECT($AZ$1&amp;"$G$5:$G$164"),A37)&amp;"")</f>
        <v/>
      </c>
      <c r="F37" s="61" t="str">
        <f aca="true">IF(A37="","",INDEX(INDIRECT($AZ$1&amp;"$H$5:$H$164"),A37)&amp;"")</f>
        <v/>
      </c>
      <c r="G37" s="13"/>
      <c r="H37" s="41" t="str">
        <f aca="true">IFERROR(IF(I$4="","",MATCH(I$4&amp;"|"&amp;32,INDIRECT($AZ$1&amp;"$J$5:$J$164"),0)),"")</f>
        <v/>
      </c>
      <c r="I37" s="91" t="str">
        <f aca="true">IF(H37="","",SUBSTITUTE(INDEX(INDIRECT($AZ$1&amp;"$A$5:$A$164"),H37),"組","")&amp;"-"&amp;INDEX(INDIRECT($AZ$1&amp;"$B$5:$B$164"),H37))</f>
        <v/>
      </c>
      <c r="J37" s="59" t="str">
        <f aca="true">IF(H37="","",INDEX(INDIRECT($AZ$1&amp;"$C$5:$C$164"),H37))</f>
        <v/>
      </c>
      <c r="K37" s="61" t="str">
        <f aca="true">IF(H37="","",INDEX(INDIRECT($AZ$1&amp;"$F$5:$F$164"),H37)&amp;"")</f>
        <v/>
      </c>
      <c r="L37" s="61" t="str">
        <f aca="true">IF(H37="","",INDEX(INDIRECT($AZ$1&amp;"$G$5:$G$164"),H37)&amp;"")</f>
        <v/>
      </c>
      <c r="M37" s="61" t="str">
        <f aca="true">IF(H37="","",INDEX(INDIRECT($AZ$1&amp;"$H$5:$H$164"),H37)&amp;"")</f>
        <v/>
      </c>
      <c r="N37" s="13"/>
      <c r="O37" s="41" t="str">
        <f aca="true">IFERROR(IF(P$4="","",MATCH(P$4&amp;"|"&amp;32,INDIRECT($AZ$1&amp;"$J$5:$J$164"),0)),"")</f>
        <v/>
      </c>
      <c r="P37" s="91" t="str">
        <f aca="true">IF(O37="","",SUBSTITUTE(INDEX(INDIRECT($AZ$1&amp;"$A$5:$A$164"),O37),"組","")&amp;"-"&amp;INDEX(INDIRECT($AZ$1&amp;"$B$5:$B$164"),O37))</f>
        <v/>
      </c>
      <c r="Q37" s="59" t="str">
        <f aca="true">IF(O37="","",INDEX(INDIRECT($AZ$1&amp;"$C$5:$C$164"),O37))</f>
        <v/>
      </c>
      <c r="R37" s="61" t="str">
        <f aca="true">IF(O37="","",INDEX(INDIRECT($AZ$1&amp;"$F$5:$F$164"),O37)&amp;"")</f>
        <v/>
      </c>
      <c r="S37" s="61" t="str">
        <f aca="true">IF(O37="","",INDEX(INDIRECT($AZ$1&amp;"$G$5:$G$164"),O37)&amp;"")</f>
        <v/>
      </c>
      <c r="T37" s="61" t="str">
        <f aca="true">IF(O37="","",INDEX(INDIRECT($AZ$1&amp;"$H$5:$H$164"),O37)&amp;"")</f>
        <v/>
      </c>
      <c r="U37" s="13"/>
      <c r="V37" s="41" t="str">
        <f aca="true">IFERROR(IF(W$4="","",MATCH(W$4&amp;"|"&amp;32,INDIRECT($AZ$1&amp;"$J$5:$J$164"),0)),"")</f>
        <v/>
      </c>
      <c r="W37" s="91" t="str">
        <f aca="true">IF(V37="","",SUBSTITUTE(INDEX(INDIRECT($AZ$1&amp;"$A$5:$A$164"),V37),"組","")&amp;"-"&amp;INDEX(INDIRECT($AZ$1&amp;"$B$5:$B$164"),V37))</f>
        <v/>
      </c>
      <c r="X37" s="59" t="str">
        <f aca="true">IF(V37="","",INDEX(INDIRECT($AZ$1&amp;"$C$5:$C$164"),V37))</f>
        <v/>
      </c>
      <c r="Y37" s="61" t="str">
        <f aca="true">IF(V37="","",INDEX(INDIRECT($AZ$1&amp;"$F$5:$F$164"),V37)&amp;"")</f>
        <v/>
      </c>
      <c r="Z37" s="61" t="str">
        <f aca="true">IF(V37="","",INDEX(INDIRECT($AZ$1&amp;"$G$5:$G$164"),V37)&amp;"")</f>
        <v/>
      </c>
      <c r="AA37" s="61" t="str">
        <f aca="true">IF(V37="","",INDEX(INDIRECT($AZ$1&amp;"$H$5:$H$164"),V37)&amp;"")</f>
        <v/>
      </c>
      <c r="AB37" s="13"/>
      <c r="AC37" s="41" t="str">
        <f aca="true">IFERROR(IF(AD$4="","",MATCH(AD$4&amp;"|"&amp;32,INDIRECT($AZ$1&amp;"$J$5:$J$164"),0)),"")</f>
        <v/>
      </c>
      <c r="AD37" s="91" t="str">
        <f aca="true">IF(AC37="","",SUBSTITUTE(INDEX(INDIRECT($AZ$1&amp;"$A$5:$A$164"),AC37),"組","")&amp;"-"&amp;INDEX(INDIRECT($AZ$1&amp;"$B$5:$B$164"),AC37))</f>
        <v/>
      </c>
      <c r="AE37" s="59" t="str">
        <f aca="true">IF(AC37="","",INDEX(INDIRECT($AZ$1&amp;"$C$5:$C$164"),AC37))</f>
        <v/>
      </c>
      <c r="AF37" s="61" t="str">
        <f aca="true">IF(AC37="","",INDEX(INDIRECT($AZ$1&amp;"$F$5:$F$164"),AC37)&amp;"")</f>
        <v/>
      </c>
      <c r="AG37" s="61" t="str">
        <f aca="true">IF(AC37="","",INDEX(INDIRECT($AZ$1&amp;"$G$5:$G$164"),AC37)&amp;"")</f>
        <v/>
      </c>
      <c r="AH37" s="61" t="str">
        <f aca="true">IF(AC37="","",INDEX(INDIRECT($AZ$1&amp;"$H$5:$H$164"),AC37)&amp;"")</f>
        <v/>
      </c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</row>
    <row r="38" customFormat="false" ht="18.75" hidden="false" customHeight="true" outlineLevel="0" collapsed="false">
      <c r="A38" s="41" t="str">
        <f aca="true">IFERROR(IF(B$4="","",MATCH(B$4&amp;"|"&amp;33,INDIRECT($AZ$1&amp;"$J$5:$J$164"),0)),"")</f>
        <v/>
      </c>
      <c r="B38" s="91" t="str">
        <f aca="true">IF(A38="","",SUBSTITUTE(INDEX(INDIRECT($AZ$1&amp;"$A$5:$A$164"),A38),"組","")&amp;"-"&amp;INDEX(INDIRECT($AZ$1&amp;"$B$5:$B$164"),A38))</f>
        <v/>
      </c>
      <c r="C38" s="59" t="str">
        <f aca="true">IF(A38="","",INDEX(INDIRECT($AZ$1&amp;"$C$5:$C$164"),A38))</f>
        <v/>
      </c>
      <c r="D38" s="61" t="str">
        <f aca="true">IF(A38="","",INDEX(INDIRECT($AZ$1&amp;"$F$5:$F$164"),A38)&amp;"")</f>
        <v/>
      </c>
      <c r="E38" s="61" t="str">
        <f aca="true">IF(A38="","",INDEX(INDIRECT($AZ$1&amp;"$G$5:$G$164"),A38)&amp;"")</f>
        <v/>
      </c>
      <c r="F38" s="61" t="str">
        <f aca="true">IF(A38="","",INDEX(INDIRECT($AZ$1&amp;"$H$5:$H$164"),A38)&amp;"")</f>
        <v/>
      </c>
      <c r="G38" s="13"/>
      <c r="H38" s="41" t="str">
        <f aca="true">IFERROR(IF(I$4="","",MATCH(I$4&amp;"|"&amp;33,INDIRECT($AZ$1&amp;"$J$5:$J$164"),0)),"")</f>
        <v/>
      </c>
      <c r="I38" s="91" t="str">
        <f aca="true">IF(H38="","",SUBSTITUTE(INDEX(INDIRECT($AZ$1&amp;"$A$5:$A$164"),H38),"組","")&amp;"-"&amp;INDEX(INDIRECT($AZ$1&amp;"$B$5:$B$164"),H38))</f>
        <v/>
      </c>
      <c r="J38" s="59" t="str">
        <f aca="true">IF(H38="","",INDEX(INDIRECT($AZ$1&amp;"$C$5:$C$164"),H38))</f>
        <v/>
      </c>
      <c r="K38" s="61" t="str">
        <f aca="true">IF(H38="","",INDEX(INDIRECT($AZ$1&amp;"$F$5:$F$164"),H38)&amp;"")</f>
        <v/>
      </c>
      <c r="L38" s="61" t="str">
        <f aca="true">IF(H38="","",INDEX(INDIRECT($AZ$1&amp;"$G$5:$G$164"),H38)&amp;"")</f>
        <v/>
      </c>
      <c r="M38" s="61" t="str">
        <f aca="true">IF(H38="","",INDEX(INDIRECT($AZ$1&amp;"$H$5:$H$164"),H38)&amp;"")</f>
        <v/>
      </c>
      <c r="N38" s="13"/>
      <c r="O38" s="41" t="str">
        <f aca="true">IFERROR(IF(P$4="","",MATCH(P$4&amp;"|"&amp;33,INDIRECT($AZ$1&amp;"$J$5:$J$164"),0)),"")</f>
        <v/>
      </c>
      <c r="P38" s="91" t="str">
        <f aca="true">IF(O38="","",SUBSTITUTE(INDEX(INDIRECT($AZ$1&amp;"$A$5:$A$164"),O38),"組","")&amp;"-"&amp;INDEX(INDIRECT($AZ$1&amp;"$B$5:$B$164"),O38))</f>
        <v/>
      </c>
      <c r="Q38" s="59" t="str">
        <f aca="true">IF(O38="","",INDEX(INDIRECT($AZ$1&amp;"$C$5:$C$164"),O38))</f>
        <v/>
      </c>
      <c r="R38" s="61" t="str">
        <f aca="true">IF(O38="","",INDEX(INDIRECT($AZ$1&amp;"$F$5:$F$164"),O38)&amp;"")</f>
        <v/>
      </c>
      <c r="S38" s="61" t="str">
        <f aca="true">IF(O38="","",INDEX(INDIRECT($AZ$1&amp;"$G$5:$G$164"),O38)&amp;"")</f>
        <v/>
      </c>
      <c r="T38" s="61" t="str">
        <f aca="true">IF(O38="","",INDEX(INDIRECT($AZ$1&amp;"$H$5:$H$164"),O38)&amp;"")</f>
        <v/>
      </c>
      <c r="U38" s="13"/>
      <c r="V38" s="41" t="str">
        <f aca="true">IFERROR(IF(W$4="","",MATCH(W$4&amp;"|"&amp;33,INDIRECT($AZ$1&amp;"$J$5:$J$164"),0)),"")</f>
        <v/>
      </c>
      <c r="W38" s="91" t="str">
        <f aca="true">IF(V38="","",SUBSTITUTE(INDEX(INDIRECT($AZ$1&amp;"$A$5:$A$164"),V38),"組","")&amp;"-"&amp;INDEX(INDIRECT($AZ$1&amp;"$B$5:$B$164"),V38))</f>
        <v/>
      </c>
      <c r="X38" s="59" t="str">
        <f aca="true">IF(V38="","",INDEX(INDIRECT($AZ$1&amp;"$C$5:$C$164"),V38))</f>
        <v/>
      </c>
      <c r="Y38" s="61" t="str">
        <f aca="true">IF(V38="","",INDEX(INDIRECT($AZ$1&amp;"$F$5:$F$164"),V38)&amp;"")</f>
        <v/>
      </c>
      <c r="Z38" s="61" t="str">
        <f aca="true">IF(V38="","",INDEX(INDIRECT($AZ$1&amp;"$G$5:$G$164"),V38)&amp;"")</f>
        <v/>
      </c>
      <c r="AA38" s="61" t="str">
        <f aca="true">IF(V38="","",INDEX(INDIRECT($AZ$1&amp;"$H$5:$H$164"),V38)&amp;"")</f>
        <v/>
      </c>
      <c r="AB38" s="13"/>
      <c r="AC38" s="41" t="str">
        <f aca="true">IFERROR(IF(AD$4="","",MATCH(AD$4&amp;"|"&amp;33,INDIRECT($AZ$1&amp;"$J$5:$J$164"),0)),"")</f>
        <v/>
      </c>
      <c r="AD38" s="91" t="str">
        <f aca="true">IF(AC38="","",SUBSTITUTE(INDEX(INDIRECT($AZ$1&amp;"$A$5:$A$164"),AC38),"組","")&amp;"-"&amp;INDEX(INDIRECT($AZ$1&amp;"$B$5:$B$164"),AC38))</f>
        <v/>
      </c>
      <c r="AE38" s="59" t="str">
        <f aca="true">IF(AC38="","",INDEX(INDIRECT($AZ$1&amp;"$C$5:$C$164"),AC38))</f>
        <v/>
      </c>
      <c r="AF38" s="61" t="str">
        <f aca="true">IF(AC38="","",INDEX(INDIRECT($AZ$1&amp;"$F$5:$F$164"),AC38)&amp;"")</f>
        <v/>
      </c>
      <c r="AG38" s="61" t="str">
        <f aca="true">IF(AC38="","",INDEX(INDIRECT($AZ$1&amp;"$G$5:$G$164"),AC38)&amp;"")</f>
        <v/>
      </c>
      <c r="AH38" s="61" t="str">
        <f aca="true">IF(AC38="","",INDEX(INDIRECT($AZ$1&amp;"$H$5:$H$164"),AC38)&amp;"")</f>
        <v/>
      </c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</row>
    <row r="39" customFormat="false" ht="18.75" hidden="false" customHeight="true" outlineLevel="0" collapsed="false">
      <c r="A39" s="41" t="str">
        <f aca="true">IFERROR(IF(B$4="","",MATCH(B$4&amp;"|"&amp;34,INDIRECT($AZ$1&amp;"$J$5:$J$164"),0)),"")</f>
        <v/>
      </c>
      <c r="B39" s="91" t="str">
        <f aca="true">IF(A39="","",SUBSTITUTE(INDEX(INDIRECT($AZ$1&amp;"$A$5:$A$164"),A39),"組","")&amp;"-"&amp;INDEX(INDIRECT($AZ$1&amp;"$B$5:$B$164"),A39))</f>
        <v/>
      </c>
      <c r="C39" s="59" t="str">
        <f aca="true">IF(A39="","",INDEX(INDIRECT($AZ$1&amp;"$C$5:$C$164"),A39))</f>
        <v/>
      </c>
      <c r="D39" s="61" t="str">
        <f aca="true">IF(A39="","",INDEX(INDIRECT($AZ$1&amp;"$F$5:$F$164"),A39)&amp;"")</f>
        <v/>
      </c>
      <c r="E39" s="61" t="str">
        <f aca="true">IF(A39="","",INDEX(INDIRECT($AZ$1&amp;"$G$5:$G$164"),A39)&amp;"")</f>
        <v/>
      </c>
      <c r="F39" s="61" t="str">
        <f aca="true">IF(A39="","",INDEX(INDIRECT($AZ$1&amp;"$H$5:$H$164"),A39)&amp;"")</f>
        <v/>
      </c>
      <c r="G39" s="13"/>
      <c r="H39" s="41" t="str">
        <f aca="true">IFERROR(IF(I$4="","",MATCH(I$4&amp;"|"&amp;34,INDIRECT($AZ$1&amp;"$J$5:$J$164"),0)),"")</f>
        <v/>
      </c>
      <c r="I39" s="91" t="str">
        <f aca="true">IF(H39="","",SUBSTITUTE(INDEX(INDIRECT($AZ$1&amp;"$A$5:$A$164"),H39),"組","")&amp;"-"&amp;INDEX(INDIRECT($AZ$1&amp;"$B$5:$B$164"),H39))</f>
        <v/>
      </c>
      <c r="J39" s="59" t="str">
        <f aca="true">IF(H39="","",INDEX(INDIRECT($AZ$1&amp;"$C$5:$C$164"),H39))</f>
        <v/>
      </c>
      <c r="K39" s="61" t="str">
        <f aca="true">IF(H39="","",INDEX(INDIRECT($AZ$1&amp;"$F$5:$F$164"),H39)&amp;"")</f>
        <v/>
      </c>
      <c r="L39" s="61" t="str">
        <f aca="true">IF(H39="","",INDEX(INDIRECT($AZ$1&amp;"$G$5:$G$164"),H39)&amp;"")</f>
        <v/>
      </c>
      <c r="M39" s="61" t="str">
        <f aca="true">IF(H39="","",INDEX(INDIRECT($AZ$1&amp;"$H$5:$H$164"),H39)&amp;"")</f>
        <v/>
      </c>
      <c r="N39" s="13"/>
      <c r="O39" s="41" t="str">
        <f aca="true">IFERROR(IF(P$4="","",MATCH(P$4&amp;"|"&amp;34,INDIRECT($AZ$1&amp;"$J$5:$J$164"),0)),"")</f>
        <v/>
      </c>
      <c r="P39" s="91" t="str">
        <f aca="true">IF(O39="","",SUBSTITUTE(INDEX(INDIRECT($AZ$1&amp;"$A$5:$A$164"),O39),"組","")&amp;"-"&amp;INDEX(INDIRECT($AZ$1&amp;"$B$5:$B$164"),O39))</f>
        <v/>
      </c>
      <c r="Q39" s="59" t="str">
        <f aca="true">IF(O39="","",INDEX(INDIRECT($AZ$1&amp;"$C$5:$C$164"),O39))</f>
        <v/>
      </c>
      <c r="R39" s="61" t="str">
        <f aca="true">IF(O39="","",INDEX(INDIRECT($AZ$1&amp;"$F$5:$F$164"),O39)&amp;"")</f>
        <v/>
      </c>
      <c r="S39" s="61" t="str">
        <f aca="true">IF(O39="","",INDEX(INDIRECT($AZ$1&amp;"$G$5:$G$164"),O39)&amp;"")</f>
        <v/>
      </c>
      <c r="T39" s="61" t="str">
        <f aca="true">IF(O39="","",INDEX(INDIRECT($AZ$1&amp;"$H$5:$H$164"),O39)&amp;"")</f>
        <v/>
      </c>
      <c r="U39" s="13"/>
      <c r="V39" s="41" t="str">
        <f aca="true">IFERROR(IF(W$4="","",MATCH(W$4&amp;"|"&amp;34,INDIRECT($AZ$1&amp;"$J$5:$J$164"),0)),"")</f>
        <v/>
      </c>
      <c r="W39" s="91" t="str">
        <f aca="true">IF(V39="","",SUBSTITUTE(INDEX(INDIRECT($AZ$1&amp;"$A$5:$A$164"),V39),"組","")&amp;"-"&amp;INDEX(INDIRECT($AZ$1&amp;"$B$5:$B$164"),V39))</f>
        <v/>
      </c>
      <c r="X39" s="59" t="str">
        <f aca="true">IF(V39="","",INDEX(INDIRECT($AZ$1&amp;"$C$5:$C$164"),V39))</f>
        <v/>
      </c>
      <c r="Y39" s="61" t="str">
        <f aca="true">IF(V39="","",INDEX(INDIRECT($AZ$1&amp;"$F$5:$F$164"),V39)&amp;"")</f>
        <v/>
      </c>
      <c r="Z39" s="61" t="str">
        <f aca="true">IF(V39="","",INDEX(INDIRECT($AZ$1&amp;"$G$5:$G$164"),V39)&amp;"")</f>
        <v/>
      </c>
      <c r="AA39" s="61" t="str">
        <f aca="true">IF(V39="","",INDEX(INDIRECT($AZ$1&amp;"$H$5:$H$164"),V39)&amp;"")</f>
        <v/>
      </c>
      <c r="AB39" s="13"/>
      <c r="AC39" s="41" t="str">
        <f aca="true">IFERROR(IF(AD$4="","",MATCH(AD$4&amp;"|"&amp;34,INDIRECT($AZ$1&amp;"$J$5:$J$164"),0)),"")</f>
        <v/>
      </c>
      <c r="AD39" s="91" t="str">
        <f aca="true">IF(AC39="","",SUBSTITUTE(INDEX(INDIRECT($AZ$1&amp;"$A$5:$A$164"),AC39),"組","")&amp;"-"&amp;INDEX(INDIRECT($AZ$1&amp;"$B$5:$B$164"),AC39))</f>
        <v/>
      </c>
      <c r="AE39" s="59" t="str">
        <f aca="true">IF(AC39="","",INDEX(INDIRECT($AZ$1&amp;"$C$5:$C$164"),AC39))</f>
        <v/>
      </c>
      <c r="AF39" s="61" t="str">
        <f aca="true">IF(AC39="","",INDEX(INDIRECT($AZ$1&amp;"$F$5:$F$164"),AC39)&amp;"")</f>
        <v/>
      </c>
      <c r="AG39" s="61" t="str">
        <f aca="true">IF(AC39="","",INDEX(INDIRECT($AZ$1&amp;"$G$5:$G$164"),AC39)&amp;"")</f>
        <v/>
      </c>
      <c r="AH39" s="61" t="str">
        <f aca="true">IF(AC39="","",INDEX(INDIRECT($AZ$1&amp;"$H$5:$H$164"),AC39)&amp;"")</f>
        <v/>
      </c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</row>
    <row r="40" customFormat="false" ht="18.75" hidden="false" customHeight="true" outlineLevel="0" collapsed="false">
      <c r="A40" s="41" t="str">
        <f aca="true">IFERROR(IF(B$4="","",MATCH(B$4&amp;"|"&amp;35,INDIRECT($AZ$1&amp;"$J$5:$J$164"),0)),"")</f>
        <v/>
      </c>
      <c r="B40" s="91" t="str">
        <f aca="true">IF(A40="","",SUBSTITUTE(INDEX(INDIRECT($AZ$1&amp;"$A$5:$A$164"),A40),"組","")&amp;"-"&amp;INDEX(INDIRECT($AZ$1&amp;"$B$5:$B$164"),A40))</f>
        <v/>
      </c>
      <c r="C40" s="59" t="str">
        <f aca="true">IF(A40="","",INDEX(INDIRECT($AZ$1&amp;"$C$5:$C$164"),A40))</f>
        <v/>
      </c>
      <c r="D40" s="61" t="str">
        <f aca="true">IF(A40="","",INDEX(INDIRECT($AZ$1&amp;"$F$5:$F$164"),A40)&amp;"")</f>
        <v/>
      </c>
      <c r="E40" s="61" t="str">
        <f aca="true">IF(A40="","",INDEX(INDIRECT($AZ$1&amp;"$G$5:$G$164"),A40)&amp;"")</f>
        <v/>
      </c>
      <c r="F40" s="61" t="str">
        <f aca="true">IF(A40="","",INDEX(INDIRECT($AZ$1&amp;"$H$5:$H$164"),A40)&amp;"")</f>
        <v/>
      </c>
      <c r="G40" s="13"/>
      <c r="H40" s="41" t="str">
        <f aca="true">IFERROR(IF(I$4="","",MATCH(I$4&amp;"|"&amp;35,INDIRECT($AZ$1&amp;"$J$5:$J$164"),0)),"")</f>
        <v/>
      </c>
      <c r="I40" s="91" t="str">
        <f aca="true">IF(H40="","",SUBSTITUTE(INDEX(INDIRECT($AZ$1&amp;"$A$5:$A$164"),H40),"組","")&amp;"-"&amp;INDEX(INDIRECT($AZ$1&amp;"$B$5:$B$164"),H40))</f>
        <v/>
      </c>
      <c r="J40" s="59" t="str">
        <f aca="true">IF(H40="","",INDEX(INDIRECT($AZ$1&amp;"$C$5:$C$164"),H40))</f>
        <v/>
      </c>
      <c r="K40" s="61" t="str">
        <f aca="true">IF(H40="","",INDEX(INDIRECT($AZ$1&amp;"$F$5:$F$164"),H40)&amp;"")</f>
        <v/>
      </c>
      <c r="L40" s="61" t="str">
        <f aca="true">IF(H40="","",INDEX(INDIRECT($AZ$1&amp;"$G$5:$G$164"),H40)&amp;"")</f>
        <v/>
      </c>
      <c r="M40" s="61" t="str">
        <f aca="true">IF(H40="","",INDEX(INDIRECT($AZ$1&amp;"$H$5:$H$164"),H40)&amp;"")</f>
        <v/>
      </c>
      <c r="N40" s="13"/>
      <c r="O40" s="41" t="str">
        <f aca="true">IFERROR(IF(P$4="","",MATCH(P$4&amp;"|"&amp;35,INDIRECT($AZ$1&amp;"$J$5:$J$164"),0)),"")</f>
        <v/>
      </c>
      <c r="P40" s="91" t="str">
        <f aca="true">IF(O40="","",SUBSTITUTE(INDEX(INDIRECT($AZ$1&amp;"$A$5:$A$164"),O40),"組","")&amp;"-"&amp;INDEX(INDIRECT($AZ$1&amp;"$B$5:$B$164"),O40))</f>
        <v/>
      </c>
      <c r="Q40" s="59" t="str">
        <f aca="true">IF(O40="","",INDEX(INDIRECT($AZ$1&amp;"$C$5:$C$164"),O40))</f>
        <v/>
      </c>
      <c r="R40" s="61" t="str">
        <f aca="true">IF(O40="","",INDEX(INDIRECT($AZ$1&amp;"$F$5:$F$164"),O40)&amp;"")</f>
        <v/>
      </c>
      <c r="S40" s="61" t="str">
        <f aca="true">IF(O40="","",INDEX(INDIRECT($AZ$1&amp;"$G$5:$G$164"),O40)&amp;"")</f>
        <v/>
      </c>
      <c r="T40" s="61" t="str">
        <f aca="true">IF(O40="","",INDEX(INDIRECT($AZ$1&amp;"$H$5:$H$164"),O40)&amp;"")</f>
        <v/>
      </c>
      <c r="U40" s="13"/>
      <c r="V40" s="41" t="str">
        <f aca="true">IFERROR(IF(W$4="","",MATCH(W$4&amp;"|"&amp;35,INDIRECT($AZ$1&amp;"$J$5:$J$164"),0)),"")</f>
        <v/>
      </c>
      <c r="W40" s="91" t="str">
        <f aca="true">IF(V40="","",SUBSTITUTE(INDEX(INDIRECT($AZ$1&amp;"$A$5:$A$164"),V40),"組","")&amp;"-"&amp;INDEX(INDIRECT($AZ$1&amp;"$B$5:$B$164"),V40))</f>
        <v/>
      </c>
      <c r="X40" s="59" t="str">
        <f aca="true">IF(V40="","",INDEX(INDIRECT($AZ$1&amp;"$C$5:$C$164"),V40))</f>
        <v/>
      </c>
      <c r="Y40" s="61" t="str">
        <f aca="true">IF(V40="","",INDEX(INDIRECT($AZ$1&amp;"$F$5:$F$164"),V40)&amp;"")</f>
        <v/>
      </c>
      <c r="Z40" s="61" t="str">
        <f aca="true">IF(V40="","",INDEX(INDIRECT($AZ$1&amp;"$G$5:$G$164"),V40)&amp;"")</f>
        <v/>
      </c>
      <c r="AA40" s="61" t="str">
        <f aca="true">IF(V40="","",INDEX(INDIRECT($AZ$1&amp;"$H$5:$H$164"),V40)&amp;"")</f>
        <v/>
      </c>
      <c r="AB40" s="13"/>
      <c r="AC40" s="41" t="str">
        <f aca="true">IFERROR(IF(AD$4="","",MATCH(AD$4&amp;"|"&amp;35,INDIRECT($AZ$1&amp;"$J$5:$J$164"),0)),"")</f>
        <v/>
      </c>
      <c r="AD40" s="91" t="str">
        <f aca="true">IF(AC40="","",SUBSTITUTE(INDEX(INDIRECT($AZ$1&amp;"$A$5:$A$164"),AC40),"組","")&amp;"-"&amp;INDEX(INDIRECT($AZ$1&amp;"$B$5:$B$164"),AC40))</f>
        <v/>
      </c>
      <c r="AE40" s="59" t="str">
        <f aca="true">IF(AC40="","",INDEX(INDIRECT($AZ$1&amp;"$C$5:$C$164"),AC40))</f>
        <v/>
      </c>
      <c r="AF40" s="61" t="str">
        <f aca="true">IF(AC40="","",INDEX(INDIRECT($AZ$1&amp;"$F$5:$F$164"),AC40)&amp;"")</f>
        <v/>
      </c>
      <c r="AG40" s="61" t="str">
        <f aca="true">IF(AC40="","",INDEX(INDIRECT($AZ$1&amp;"$G$5:$G$164"),AC40)&amp;"")</f>
        <v/>
      </c>
      <c r="AH40" s="61" t="str">
        <f aca="true">IF(AC40="","",INDEX(INDIRECT($AZ$1&amp;"$H$5:$H$164"),AC40)&amp;"")</f>
        <v/>
      </c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</row>
    <row r="41" customFormat="false" ht="18.75" hidden="false" customHeight="true" outlineLevel="0" collapsed="false">
      <c r="A41" s="41" t="str">
        <f aca="true">IFERROR(IF(B$4="","",MATCH(B$4&amp;"|"&amp;36,INDIRECT($AZ$1&amp;"$J$5:$J$164"),0)),"")</f>
        <v/>
      </c>
      <c r="B41" s="91" t="str">
        <f aca="true">IF(A41="","",SUBSTITUTE(INDEX(INDIRECT($AZ$1&amp;"$A$5:$A$164"),A41),"組","")&amp;"-"&amp;INDEX(INDIRECT($AZ$1&amp;"$B$5:$B$164"),A41))</f>
        <v/>
      </c>
      <c r="C41" s="59" t="str">
        <f aca="true">IF(A41="","",INDEX(INDIRECT($AZ$1&amp;"$C$5:$C$164"),A41))</f>
        <v/>
      </c>
      <c r="D41" s="61" t="str">
        <f aca="true">IF(A41="","",INDEX(INDIRECT($AZ$1&amp;"$F$5:$F$164"),A41)&amp;"")</f>
        <v/>
      </c>
      <c r="E41" s="61" t="str">
        <f aca="true">IF(A41="","",INDEX(INDIRECT($AZ$1&amp;"$G$5:$G$164"),A41)&amp;"")</f>
        <v/>
      </c>
      <c r="F41" s="61" t="str">
        <f aca="true">IF(A41="","",INDEX(INDIRECT($AZ$1&amp;"$H$5:$H$164"),A41)&amp;"")</f>
        <v/>
      </c>
      <c r="G41" s="13"/>
      <c r="H41" s="41" t="str">
        <f aca="true">IFERROR(IF(I$4="","",MATCH(I$4&amp;"|"&amp;36,INDIRECT($AZ$1&amp;"$J$5:$J$164"),0)),"")</f>
        <v/>
      </c>
      <c r="I41" s="91" t="str">
        <f aca="true">IF(H41="","",SUBSTITUTE(INDEX(INDIRECT($AZ$1&amp;"$A$5:$A$164"),H41),"組","")&amp;"-"&amp;INDEX(INDIRECT($AZ$1&amp;"$B$5:$B$164"),H41))</f>
        <v/>
      </c>
      <c r="J41" s="59" t="str">
        <f aca="true">IF(H41="","",INDEX(INDIRECT($AZ$1&amp;"$C$5:$C$164"),H41))</f>
        <v/>
      </c>
      <c r="K41" s="61" t="str">
        <f aca="true">IF(H41="","",INDEX(INDIRECT($AZ$1&amp;"$F$5:$F$164"),H41)&amp;"")</f>
        <v/>
      </c>
      <c r="L41" s="61" t="str">
        <f aca="true">IF(H41="","",INDEX(INDIRECT($AZ$1&amp;"$G$5:$G$164"),H41)&amp;"")</f>
        <v/>
      </c>
      <c r="M41" s="61" t="str">
        <f aca="true">IF(H41="","",INDEX(INDIRECT($AZ$1&amp;"$H$5:$H$164"),H41)&amp;"")</f>
        <v/>
      </c>
      <c r="N41" s="13"/>
      <c r="O41" s="41" t="str">
        <f aca="true">IFERROR(IF(P$4="","",MATCH(P$4&amp;"|"&amp;36,INDIRECT($AZ$1&amp;"$J$5:$J$164"),0)),"")</f>
        <v/>
      </c>
      <c r="P41" s="91" t="str">
        <f aca="true">IF(O41="","",SUBSTITUTE(INDEX(INDIRECT($AZ$1&amp;"$A$5:$A$164"),O41),"組","")&amp;"-"&amp;INDEX(INDIRECT($AZ$1&amp;"$B$5:$B$164"),O41))</f>
        <v/>
      </c>
      <c r="Q41" s="59" t="str">
        <f aca="true">IF(O41="","",INDEX(INDIRECT($AZ$1&amp;"$C$5:$C$164"),O41))</f>
        <v/>
      </c>
      <c r="R41" s="61" t="str">
        <f aca="true">IF(O41="","",INDEX(INDIRECT($AZ$1&amp;"$F$5:$F$164"),O41)&amp;"")</f>
        <v/>
      </c>
      <c r="S41" s="61" t="str">
        <f aca="true">IF(O41="","",INDEX(INDIRECT($AZ$1&amp;"$G$5:$G$164"),O41)&amp;"")</f>
        <v/>
      </c>
      <c r="T41" s="61" t="str">
        <f aca="true">IF(O41="","",INDEX(INDIRECT($AZ$1&amp;"$H$5:$H$164"),O41)&amp;"")</f>
        <v/>
      </c>
      <c r="U41" s="13"/>
      <c r="V41" s="41" t="str">
        <f aca="true">IFERROR(IF(W$4="","",MATCH(W$4&amp;"|"&amp;36,INDIRECT($AZ$1&amp;"$J$5:$J$164"),0)),"")</f>
        <v/>
      </c>
      <c r="W41" s="91" t="str">
        <f aca="true">IF(V41="","",SUBSTITUTE(INDEX(INDIRECT($AZ$1&amp;"$A$5:$A$164"),V41),"組","")&amp;"-"&amp;INDEX(INDIRECT($AZ$1&amp;"$B$5:$B$164"),V41))</f>
        <v/>
      </c>
      <c r="X41" s="59" t="str">
        <f aca="true">IF(V41="","",INDEX(INDIRECT($AZ$1&amp;"$C$5:$C$164"),V41))</f>
        <v/>
      </c>
      <c r="Y41" s="61" t="str">
        <f aca="true">IF(V41="","",INDEX(INDIRECT($AZ$1&amp;"$F$5:$F$164"),V41)&amp;"")</f>
        <v/>
      </c>
      <c r="Z41" s="61" t="str">
        <f aca="true">IF(V41="","",INDEX(INDIRECT($AZ$1&amp;"$G$5:$G$164"),V41)&amp;"")</f>
        <v/>
      </c>
      <c r="AA41" s="61" t="str">
        <f aca="true">IF(V41="","",INDEX(INDIRECT($AZ$1&amp;"$H$5:$H$164"),V41)&amp;"")</f>
        <v/>
      </c>
      <c r="AB41" s="13"/>
      <c r="AC41" s="41" t="str">
        <f aca="true">IFERROR(IF(AD$4="","",MATCH(AD$4&amp;"|"&amp;36,INDIRECT($AZ$1&amp;"$J$5:$J$164"),0)),"")</f>
        <v/>
      </c>
      <c r="AD41" s="91" t="str">
        <f aca="true">IF(AC41="","",SUBSTITUTE(INDEX(INDIRECT($AZ$1&amp;"$A$5:$A$164"),AC41),"組","")&amp;"-"&amp;INDEX(INDIRECT($AZ$1&amp;"$B$5:$B$164"),AC41))</f>
        <v/>
      </c>
      <c r="AE41" s="59" t="str">
        <f aca="true">IF(AC41="","",INDEX(INDIRECT($AZ$1&amp;"$C$5:$C$164"),AC41))</f>
        <v/>
      </c>
      <c r="AF41" s="61" t="str">
        <f aca="true">IF(AC41="","",INDEX(INDIRECT($AZ$1&amp;"$F$5:$F$164"),AC41)&amp;"")</f>
        <v/>
      </c>
      <c r="AG41" s="61" t="str">
        <f aca="true">IF(AC41="","",INDEX(INDIRECT($AZ$1&amp;"$G$5:$G$164"),AC41)&amp;"")</f>
        <v/>
      </c>
      <c r="AH41" s="61" t="str">
        <f aca="true">IF(AC41="","",INDEX(INDIRECT($AZ$1&amp;"$H$5:$H$164"),AC41)&amp;"")</f>
        <v/>
      </c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</row>
    <row r="42" customFormat="false" ht="18.75" hidden="false" customHeight="true" outlineLevel="0" collapsed="false">
      <c r="A42" s="41" t="str">
        <f aca="true">IFERROR(IF(B$4="","",MATCH(B$4&amp;"|"&amp;37,INDIRECT($AZ$1&amp;"$J$5:$J$164"),0)),"")</f>
        <v/>
      </c>
      <c r="B42" s="91" t="str">
        <f aca="true">IF(A42="","",SUBSTITUTE(INDEX(INDIRECT($AZ$1&amp;"$A$5:$A$164"),A42),"組","")&amp;"-"&amp;INDEX(INDIRECT($AZ$1&amp;"$B$5:$B$164"),A42))</f>
        <v/>
      </c>
      <c r="C42" s="59" t="str">
        <f aca="true">IF(A42="","",INDEX(INDIRECT($AZ$1&amp;"$C$5:$C$164"),A42))</f>
        <v/>
      </c>
      <c r="D42" s="61" t="str">
        <f aca="true">IF(A42="","",INDEX(INDIRECT($AZ$1&amp;"$F$5:$F$164"),A42)&amp;"")</f>
        <v/>
      </c>
      <c r="E42" s="61" t="str">
        <f aca="true">IF(A42="","",INDEX(INDIRECT($AZ$1&amp;"$G$5:$G$164"),A42)&amp;"")</f>
        <v/>
      </c>
      <c r="F42" s="61" t="str">
        <f aca="true">IF(A42="","",INDEX(INDIRECT($AZ$1&amp;"$H$5:$H$164"),A42)&amp;"")</f>
        <v/>
      </c>
      <c r="G42" s="13"/>
      <c r="H42" s="41" t="str">
        <f aca="true">IFERROR(IF(I$4="","",MATCH(I$4&amp;"|"&amp;37,INDIRECT($AZ$1&amp;"$J$5:$J$164"),0)),"")</f>
        <v/>
      </c>
      <c r="I42" s="91" t="str">
        <f aca="true">IF(H42="","",SUBSTITUTE(INDEX(INDIRECT($AZ$1&amp;"$A$5:$A$164"),H42),"組","")&amp;"-"&amp;INDEX(INDIRECT($AZ$1&amp;"$B$5:$B$164"),H42))</f>
        <v/>
      </c>
      <c r="J42" s="59" t="str">
        <f aca="true">IF(H42="","",INDEX(INDIRECT($AZ$1&amp;"$C$5:$C$164"),H42))</f>
        <v/>
      </c>
      <c r="K42" s="61" t="str">
        <f aca="true">IF(H42="","",INDEX(INDIRECT($AZ$1&amp;"$F$5:$F$164"),H42)&amp;"")</f>
        <v/>
      </c>
      <c r="L42" s="61" t="str">
        <f aca="true">IF(H42="","",INDEX(INDIRECT($AZ$1&amp;"$G$5:$G$164"),H42)&amp;"")</f>
        <v/>
      </c>
      <c r="M42" s="61" t="str">
        <f aca="true">IF(H42="","",INDEX(INDIRECT($AZ$1&amp;"$H$5:$H$164"),H42)&amp;"")</f>
        <v/>
      </c>
      <c r="N42" s="13"/>
      <c r="O42" s="41" t="str">
        <f aca="true">IFERROR(IF(P$4="","",MATCH(P$4&amp;"|"&amp;37,INDIRECT($AZ$1&amp;"$J$5:$J$164"),0)),"")</f>
        <v/>
      </c>
      <c r="P42" s="91" t="str">
        <f aca="true">IF(O42="","",SUBSTITUTE(INDEX(INDIRECT($AZ$1&amp;"$A$5:$A$164"),O42),"組","")&amp;"-"&amp;INDEX(INDIRECT($AZ$1&amp;"$B$5:$B$164"),O42))</f>
        <v/>
      </c>
      <c r="Q42" s="59" t="str">
        <f aca="true">IF(O42="","",INDEX(INDIRECT($AZ$1&amp;"$C$5:$C$164"),O42))</f>
        <v/>
      </c>
      <c r="R42" s="61" t="str">
        <f aca="true">IF(O42="","",INDEX(INDIRECT($AZ$1&amp;"$F$5:$F$164"),O42)&amp;"")</f>
        <v/>
      </c>
      <c r="S42" s="61" t="str">
        <f aca="true">IF(O42="","",INDEX(INDIRECT($AZ$1&amp;"$G$5:$G$164"),O42)&amp;"")</f>
        <v/>
      </c>
      <c r="T42" s="61" t="str">
        <f aca="true">IF(O42="","",INDEX(INDIRECT($AZ$1&amp;"$H$5:$H$164"),O42)&amp;"")</f>
        <v/>
      </c>
      <c r="U42" s="13"/>
      <c r="V42" s="41" t="str">
        <f aca="true">IFERROR(IF(W$4="","",MATCH(W$4&amp;"|"&amp;37,INDIRECT($AZ$1&amp;"$J$5:$J$164"),0)),"")</f>
        <v/>
      </c>
      <c r="W42" s="91" t="str">
        <f aca="true">IF(V42="","",SUBSTITUTE(INDEX(INDIRECT($AZ$1&amp;"$A$5:$A$164"),V42),"組","")&amp;"-"&amp;INDEX(INDIRECT($AZ$1&amp;"$B$5:$B$164"),V42))</f>
        <v/>
      </c>
      <c r="X42" s="59" t="str">
        <f aca="true">IF(V42="","",INDEX(INDIRECT($AZ$1&amp;"$C$5:$C$164"),V42))</f>
        <v/>
      </c>
      <c r="Y42" s="61" t="str">
        <f aca="true">IF(V42="","",INDEX(INDIRECT($AZ$1&amp;"$F$5:$F$164"),V42)&amp;"")</f>
        <v/>
      </c>
      <c r="Z42" s="61" t="str">
        <f aca="true">IF(V42="","",INDEX(INDIRECT($AZ$1&amp;"$G$5:$G$164"),V42)&amp;"")</f>
        <v/>
      </c>
      <c r="AA42" s="61" t="str">
        <f aca="true">IF(V42="","",INDEX(INDIRECT($AZ$1&amp;"$H$5:$H$164"),V42)&amp;"")</f>
        <v/>
      </c>
      <c r="AB42" s="13"/>
      <c r="AC42" s="41" t="str">
        <f aca="true">IFERROR(IF(AD$4="","",MATCH(AD$4&amp;"|"&amp;37,INDIRECT($AZ$1&amp;"$J$5:$J$164"),0)),"")</f>
        <v/>
      </c>
      <c r="AD42" s="91" t="str">
        <f aca="true">IF(AC42="","",SUBSTITUTE(INDEX(INDIRECT($AZ$1&amp;"$A$5:$A$164"),AC42),"組","")&amp;"-"&amp;INDEX(INDIRECT($AZ$1&amp;"$B$5:$B$164"),AC42))</f>
        <v/>
      </c>
      <c r="AE42" s="59" t="str">
        <f aca="true">IF(AC42="","",INDEX(INDIRECT($AZ$1&amp;"$C$5:$C$164"),AC42))</f>
        <v/>
      </c>
      <c r="AF42" s="61" t="str">
        <f aca="true">IF(AC42="","",INDEX(INDIRECT($AZ$1&amp;"$F$5:$F$164"),AC42)&amp;"")</f>
        <v/>
      </c>
      <c r="AG42" s="61" t="str">
        <f aca="true">IF(AC42="","",INDEX(INDIRECT($AZ$1&amp;"$G$5:$G$164"),AC42)&amp;"")</f>
        <v/>
      </c>
      <c r="AH42" s="61" t="str">
        <f aca="true">IF(AC42="","",INDEX(INDIRECT($AZ$1&amp;"$H$5:$H$164"),AC42)&amp;"")</f>
        <v/>
      </c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</row>
    <row r="43" customFormat="false" ht="18.75" hidden="false" customHeight="true" outlineLevel="0" collapsed="false">
      <c r="A43" s="41" t="str">
        <f aca="true">IFERROR(IF(B$4="","",MATCH(B$4&amp;"|"&amp;38,INDIRECT($AZ$1&amp;"$J$5:$J$164"),0)),"")</f>
        <v/>
      </c>
      <c r="B43" s="91" t="str">
        <f aca="true">IF(A43="","",SUBSTITUTE(INDEX(INDIRECT($AZ$1&amp;"$A$5:$A$164"),A43),"組","")&amp;"-"&amp;INDEX(INDIRECT($AZ$1&amp;"$B$5:$B$164"),A43))</f>
        <v/>
      </c>
      <c r="C43" s="59" t="str">
        <f aca="true">IF(A43="","",INDEX(INDIRECT($AZ$1&amp;"$C$5:$C$164"),A43))</f>
        <v/>
      </c>
      <c r="D43" s="61" t="str">
        <f aca="true">IF(A43="","",INDEX(INDIRECT($AZ$1&amp;"$F$5:$F$164"),A43)&amp;"")</f>
        <v/>
      </c>
      <c r="E43" s="61" t="str">
        <f aca="true">IF(A43="","",INDEX(INDIRECT($AZ$1&amp;"$G$5:$G$164"),A43)&amp;"")</f>
        <v/>
      </c>
      <c r="F43" s="61" t="str">
        <f aca="true">IF(A43="","",INDEX(INDIRECT($AZ$1&amp;"$H$5:$H$164"),A43)&amp;"")</f>
        <v/>
      </c>
      <c r="G43" s="13"/>
      <c r="H43" s="41" t="str">
        <f aca="true">IFERROR(IF(I$4="","",MATCH(I$4&amp;"|"&amp;38,INDIRECT($AZ$1&amp;"$J$5:$J$164"),0)),"")</f>
        <v/>
      </c>
      <c r="I43" s="91" t="str">
        <f aca="true">IF(H43="","",SUBSTITUTE(INDEX(INDIRECT($AZ$1&amp;"$A$5:$A$164"),H43),"組","")&amp;"-"&amp;INDEX(INDIRECT($AZ$1&amp;"$B$5:$B$164"),H43))</f>
        <v/>
      </c>
      <c r="J43" s="59" t="str">
        <f aca="true">IF(H43="","",INDEX(INDIRECT($AZ$1&amp;"$C$5:$C$164"),H43))</f>
        <v/>
      </c>
      <c r="K43" s="61" t="str">
        <f aca="true">IF(H43="","",INDEX(INDIRECT($AZ$1&amp;"$F$5:$F$164"),H43)&amp;"")</f>
        <v/>
      </c>
      <c r="L43" s="61" t="str">
        <f aca="true">IF(H43="","",INDEX(INDIRECT($AZ$1&amp;"$G$5:$G$164"),H43)&amp;"")</f>
        <v/>
      </c>
      <c r="M43" s="61" t="str">
        <f aca="true">IF(H43="","",INDEX(INDIRECT($AZ$1&amp;"$H$5:$H$164"),H43)&amp;"")</f>
        <v/>
      </c>
      <c r="N43" s="13"/>
      <c r="O43" s="41" t="str">
        <f aca="true">IFERROR(IF(P$4="","",MATCH(P$4&amp;"|"&amp;38,INDIRECT($AZ$1&amp;"$J$5:$J$164"),0)),"")</f>
        <v/>
      </c>
      <c r="P43" s="91" t="str">
        <f aca="true">IF(O43="","",SUBSTITUTE(INDEX(INDIRECT($AZ$1&amp;"$A$5:$A$164"),O43),"組","")&amp;"-"&amp;INDEX(INDIRECT($AZ$1&amp;"$B$5:$B$164"),O43))</f>
        <v/>
      </c>
      <c r="Q43" s="59" t="str">
        <f aca="true">IF(O43="","",INDEX(INDIRECT($AZ$1&amp;"$C$5:$C$164"),O43))</f>
        <v/>
      </c>
      <c r="R43" s="61" t="str">
        <f aca="true">IF(O43="","",INDEX(INDIRECT($AZ$1&amp;"$F$5:$F$164"),O43)&amp;"")</f>
        <v/>
      </c>
      <c r="S43" s="61" t="str">
        <f aca="true">IF(O43="","",INDEX(INDIRECT($AZ$1&amp;"$G$5:$G$164"),O43)&amp;"")</f>
        <v/>
      </c>
      <c r="T43" s="61" t="str">
        <f aca="true">IF(O43="","",INDEX(INDIRECT($AZ$1&amp;"$H$5:$H$164"),O43)&amp;"")</f>
        <v/>
      </c>
      <c r="U43" s="13"/>
      <c r="V43" s="41" t="str">
        <f aca="true">IFERROR(IF(W$4="","",MATCH(W$4&amp;"|"&amp;38,INDIRECT($AZ$1&amp;"$J$5:$J$164"),0)),"")</f>
        <v/>
      </c>
      <c r="W43" s="91" t="str">
        <f aca="true">IF(V43="","",SUBSTITUTE(INDEX(INDIRECT($AZ$1&amp;"$A$5:$A$164"),V43),"組","")&amp;"-"&amp;INDEX(INDIRECT($AZ$1&amp;"$B$5:$B$164"),V43))</f>
        <v/>
      </c>
      <c r="X43" s="59" t="str">
        <f aca="true">IF(V43="","",INDEX(INDIRECT($AZ$1&amp;"$C$5:$C$164"),V43))</f>
        <v/>
      </c>
      <c r="Y43" s="61" t="str">
        <f aca="true">IF(V43="","",INDEX(INDIRECT($AZ$1&amp;"$F$5:$F$164"),V43)&amp;"")</f>
        <v/>
      </c>
      <c r="Z43" s="61" t="str">
        <f aca="true">IF(V43="","",INDEX(INDIRECT($AZ$1&amp;"$G$5:$G$164"),V43)&amp;"")</f>
        <v/>
      </c>
      <c r="AA43" s="61" t="str">
        <f aca="true">IF(V43="","",INDEX(INDIRECT($AZ$1&amp;"$H$5:$H$164"),V43)&amp;"")</f>
        <v/>
      </c>
      <c r="AB43" s="13"/>
      <c r="AC43" s="41" t="str">
        <f aca="true">IFERROR(IF(AD$4="","",MATCH(AD$4&amp;"|"&amp;38,INDIRECT($AZ$1&amp;"$J$5:$J$164"),0)),"")</f>
        <v/>
      </c>
      <c r="AD43" s="91" t="str">
        <f aca="true">IF(AC43="","",SUBSTITUTE(INDEX(INDIRECT($AZ$1&amp;"$A$5:$A$164"),AC43),"組","")&amp;"-"&amp;INDEX(INDIRECT($AZ$1&amp;"$B$5:$B$164"),AC43))</f>
        <v/>
      </c>
      <c r="AE43" s="59" t="str">
        <f aca="true">IF(AC43="","",INDEX(INDIRECT($AZ$1&amp;"$C$5:$C$164"),AC43))</f>
        <v/>
      </c>
      <c r="AF43" s="61" t="str">
        <f aca="true">IF(AC43="","",INDEX(INDIRECT($AZ$1&amp;"$F$5:$F$164"),AC43)&amp;"")</f>
        <v/>
      </c>
      <c r="AG43" s="61" t="str">
        <f aca="true">IF(AC43="","",INDEX(INDIRECT($AZ$1&amp;"$G$5:$G$164"),AC43)&amp;"")</f>
        <v/>
      </c>
      <c r="AH43" s="61" t="str">
        <f aca="true">IF(AC43="","",INDEX(INDIRECT($AZ$1&amp;"$H$5:$H$164"),AC43)&amp;"")</f>
        <v/>
      </c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</row>
    <row r="44" customFormat="false" ht="18.75" hidden="false" customHeight="true" outlineLevel="0" collapsed="false">
      <c r="A44" s="41" t="str">
        <f aca="true">IFERROR(IF(B$4="","",MATCH(B$4&amp;"|"&amp;39,INDIRECT($AZ$1&amp;"$J$5:$J$164"),0)),"")</f>
        <v/>
      </c>
      <c r="B44" s="91" t="str">
        <f aca="true">IF(A44="","",SUBSTITUTE(INDEX(INDIRECT($AZ$1&amp;"$A$5:$A$164"),A44),"組","")&amp;"-"&amp;INDEX(INDIRECT($AZ$1&amp;"$B$5:$B$164"),A44))</f>
        <v/>
      </c>
      <c r="C44" s="59" t="str">
        <f aca="true">IF(A44="","",INDEX(INDIRECT($AZ$1&amp;"$C$5:$C$164"),A44))</f>
        <v/>
      </c>
      <c r="D44" s="61" t="str">
        <f aca="true">IF(A44="","",INDEX(INDIRECT($AZ$1&amp;"$F$5:$F$164"),A44)&amp;"")</f>
        <v/>
      </c>
      <c r="E44" s="61" t="str">
        <f aca="true">IF(A44="","",INDEX(INDIRECT($AZ$1&amp;"$G$5:$G$164"),A44)&amp;"")</f>
        <v/>
      </c>
      <c r="F44" s="61" t="str">
        <f aca="true">IF(A44="","",INDEX(INDIRECT($AZ$1&amp;"$H$5:$H$164"),A44)&amp;"")</f>
        <v/>
      </c>
      <c r="G44" s="13"/>
      <c r="H44" s="41" t="str">
        <f aca="true">IFERROR(IF(I$4="","",MATCH(I$4&amp;"|"&amp;39,INDIRECT($AZ$1&amp;"$J$5:$J$164"),0)),"")</f>
        <v/>
      </c>
      <c r="I44" s="91" t="str">
        <f aca="true">IF(H44="","",SUBSTITUTE(INDEX(INDIRECT($AZ$1&amp;"$A$5:$A$164"),H44),"組","")&amp;"-"&amp;INDEX(INDIRECT($AZ$1&amp;"$B$5:$B$164"),H44))</f>
        <v/>
      </c>
      <c r="J44" s="59" t="str">
        <f aca="true">IF(H44="","",INDEX(INDIRECT($AZ$1&amp;"$C$5:$C$164"),H44))</f>
        <v/>
      </c>
      <c r="K44" s="61" t="str">
        <f aca="true">IF(H44="","",INDEX(INDIRECT($AZ$1&amp;"$F$5:$F$164"),H44)&amp;"")</f>
        <v/>
      </c>
      <c r="L44" s="61" t="str">
        <f aca="true">IF(H44="","",INDEX(INDIRECT($AZ$1&amp;"$G$5:$G$164"),H44)&amp;"")</f>
        <v/>
      </c>
      <c r="M44" s="61" t="str">
        <f aca="true">IF(H44="","",INDEX(INDIRECT($AZ$1&amp;"$H$5:$H$164"),H44)&amp;"")</f>
        <v/>
      </c>
      <c r="N44" s="13"/>
      <c r="O44" s="41" t="str">
        <f aca="true">IFERROR(IF(P$4="","",MATCH(P$4&amp;"|"&amp;39,INDIRECT($AZ$1&amp;"$J$5:$J$164"),0)),"")</f>
        <v/>
      </c>
      <c r="P44" s="91" t="str">
        <f aca="true">IF(O44="","",SUBSTITUTE(INDEX(INDIRECT($AZ$1&amp;"$A$5:$A$164"),O44),"組","")&amp;"-"&amp;INDEX(INDIRECT($AZ$1&amp;"$B$5:$B$164"),O44))</f>
        <v/>
      </c>
      <c r="Q44" s="59" t="str">
        <f aca="true">IF(O44="","",INDEX(INDIRECT($AZ$1&amp;"$C$5:$C$164"),O44))</f>
        <v/>
      </c>
      <c r="R44" s="61" t="str">
        <f aca="true">IF(O44="","",INDEX(INDIRECT($AZ$1&amp;"$F$5:$F$164"),O44)&amp;"")</f>
        <v/>
      </c>
      <c r="S44" s="61" t="str">
        <f aca="true">IF(O44="","",INDEX(INDIRECT($AZ$1&amp;"$G$5:$G$164"),O44)&amp;"")</f>
        <v/>
      </c>
      <c r="T44" s="61" t="str">
        <f aca="true">IF(O44="","",INDEX(INDIRECT($AZ$1&amp;"$H$5:$H$164"),O44)&amp;"")</f>
        <v/>
      </c>
      <c r="U44" s="13"/>
      <c r="V44" s="41" t="str">
        <f aca="true">IFERROR(IF(W$4="","",MATCH(W$4&amp;"|"&amp;39,INDIRECT($AZ$1&amp;"$J$5:$J$164"),0)),"")</f>
        <v/>
      </c>
      <c r="W44" s="91" t="str">
        <f aca="true">IF(V44="","",SUBSTITUTE(INDEX(INDIRECT($AZ$1&amp;"$A$5:$A$164"),V44),"組","")&amp;"-"&amp;INDEX(INDIRECT($AZ$1&amp;"$B$5:$B$164"),V44))</f>
        <v/>
      </c>
      <c r="X44" s="59" t="str">
        <f aca="true">IF(V44="","",INDEX(INDIRECT($AZ$1&amp;"$C$5:$C$164"),V44))</f>
        <v/>
      </c>
      <c r="Y44" s="61" t="str">
        <f aca="true">IF(V44="","",INDEX(INDIRECT($AZ$1&amp;"$F$5:$F$164"),V44)&amp;"")</f>
        <v/>
      </c>
      <c r="Z44" s="61" t="str">
        <f aca="true">IF(V44="","",INDEX(INDIRECT($AZ$1&amp;"$G$5:$G$164"),V44)&amp;"")</f>
        <v/>
      </c>
      <c r="AA44" s="61" t="str">
        <f aca="true">IF(V44="","",INDEX(INDIRECT($AZ$1&amp;"$H$5:$H$164"),V44)&amp;"")</f>
        <v/>
      </c>
      <c r="AB44" s="13"/>
      <c r="AC44" s="41" t="str">
        <f aca="true">IFERROR(IF(AD$4="","",MATCH(AD$4&amp;"|"&amp;39,INDIRECT($AZ$1&amp;"$J$5:$J$164"),0)),"")</f>
        <v/>
      </c>
      <c r="AD44" s="91" t="str">
        <f aca="true">IF(AC44="","",SUBSTITUTE(INDEX(INDIRECT($AZ$1&amp;"$A$5:$A$164"),AC44),"組","")&amp;"-"&amp;INDEX(INDIRECT($AZ$1&amp;"$B$5:$B$164"),AC44))</f>
        <v/>
      </c>
      <c r="AE44" s="59" t="str">
        <f aca="true">IF(AC44="","",INDEX(INDIRECT($AZ$1&amp;"$C$5:$C$164"),AC44))</f>
        <v/>
      </c>
      <c r="AF44" s="61" t="str">
        <f aca="true">IF(AC44="","",INDEX(INDIRECT($AZ$1&amp;"$F$5:$F$164"),AC44)&amp;"")</f>
        <v/>
      </c>
      <c r="AG44" s="61" t="str">
        <f aca="true">IF(AC44="","",INDEX(INDIRECT($AZ$1&amp;"$G$5:$G$164"),AC44)&amp;"")</f>
        <v/>
      </c>
      <c r="AH44" s="61" t="str">
        <f aca="true">IF(AC44="","",INDEX(INDIRECT($AZ$1&amp;"$H$5:$H$164"),AC44)&amp;"")</f>
        <v/>
      </c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</row>
    <row r="45" customFormat="false" ht="18.75" hidden="false" customHeight="true" outlineLevel="0" collapsed="false">
      <c r="A45" s="41" t="str">
        <f aca="true">IFERROR(IF(B$4="","",MATCH(B$4&amp;"|"&amp;40,INDIRECT($AZ$1&amp;"$J$5:$J$164"),0)),"")</f>
        <v/>
      </c>
      <c r="B45" s="91" t="str">
        <f aca="true">IF(A45="","",SUBSTITUTE(INDEX(INDIRECT($AZ$1&amp;"$A$5:$A$164"),A45),"組","")&amp;"-"&amp;INDEX(INDIRECT($AZ$1&amp;"$B$5:$B$164"),A45))</f>
        <v/>
      </c>
      <c r="C45" s="59" t="str">
        <f aca="true">IF(A45="","",INDEX(INDIRECT($AZ$1&amp;"$C$5:$C$164"),A45))</f>
        <v/>
      </c>
      <c r="D45" s="61" t="str">
        <f aca="true">IF(A45="","",INDEX(INDIRECT($AZ$1&amp;"$F$5:$F$164"),A45)&amp;"")</f>
        <v/>
      </c>
      <c r="E45" s="61" t="str">
        <f aca="true">IF(A45="","",INDEX(INDIRECT($AZ$1&amp;"$G$5:$G$164"),A45)&amp;"")</f>
        <v/>
      </c>
      <c r="F45" s="61" t="str">
        <f aca="true">IF(A45="","",INDEX(INDIRECT($AZ$1&amp;"$H$5:$H$164"),A45)&amp;"")</f>
        <v/>
      </c>
      <c r="G45" s="13"/>
      <c r="H45" s="41" t="str">
        <f aca="true">IFERROR(IF(I$4="","",MATCH(I$4&amp;"|"&amp;40,INDIRECT($AZ$1&amp;"$J$5:$J$164"),0)),"")</f>
        <v/>
      </c>
      <c r="I45" s="91" t="str">
        <f aca="true">IF(H45="","",SUBSTITUTE(INDEX(INDIRECT($AZ$1&amp;"$A$5:$A$164"),H45),"組","")&amp;"-"&amp;INDEX(INDIRECT($AZ$1&amp;"$B$5:$B$164"),H45))</f>
        <v/>
      </c>
      <c r="J45" s="59" t="str">
        <f aca="true">IF(H45="","",INDEX(INDIRECT($AZ$1&amp;"$C$5:$C$164"),H45))</f>
        <v/>
      </c>
      <c r="K45" s="61" t="str">
        <f aca="true">IF(H45="","",INDEX(INDIRECT($AZ$1&amp;"$F$5:$F$164"),H45)&amp;"")</f>
        <v/>
      </c>
      <c r="L45" s="61" t="str">
        <f aca="true">IF(H45="","",INDEX(INDIRECT($AZ$1&amp;"$G$5:$G$164"),H45)&amp;"")</f>
        <v/>
      </c>
      <c r="M45" s="61" t="str">
        <f aca="true">IF(H45="","",INDEX(INDIRECT($AZ$1&amp;"$H$5:$H$164"),H45)&amp;"")</f>
        <v/>
      </c>
      <c r="N45" s="13"/>
      <c r="O45" s="41" t="str">
        <f aca="true">IFERROR(IF(P$4="","",MATCH(P$4&amp;"|"&amp;40,INDIRECT($AZ$1&amp;"$J$5:$J$164"),0)),"")</f>
        <v/>
      </c>
      <c r="P45" s="91" t="str">
        <f aca="true">IF(O45="","",SUBSTITUTE(INDEX(INDIRECT($AZ$1&amp;"$A$5:$A$164"),O45),"組","")&amp;"-"&amp;INDEX(INDIRECT($AZ$1&amp;"$B$5:$B$164"),O45))</f>
        <v/>
      </c>
      <c r="Q45" s="59" t="str">
        <f aca="true">IF(O45="","",INDEX(INDIRECT($AZ$1&amp;"$C$5:$C$164"),O45))</f>
        <v/>
      </c>
      <c r="R45" s="61" t="str">
        <f aca="true">IF(O45="","",INDEX(INDIRECT($AZ$1&amp;"$F$5:$F$164"),O45)&amp;"")</f>
        <v/>
      </c>
      <c r="S45" s="61" t="str">
        <f aca="true">IF(O45="","",INDEX(INDIRECT($AZ$1&amp;"$G$5:$G$164"),O45)&amp;"")</f>
        <v/>
      </c>
      <c r="T45" s="61" t="str">
        <f aca="true">IF(O45="","",INDEX(INDIRECT($AZ$1&amp;"$H$5:$H$164"),O45)&amp;"")</f>
        <v/>
      </c>
      <c r="U45" s="13"/>
      <c r="V45" s="41" t="str">
        <f aca="true">IFERROR(IF(W$4="","",MATCH(W$4&amp;"|"&amp;40,INDIRECT($AZ$1&amp;"$J$5:$J$164"),0)),"")</f>
        <v/>
      </c>
      <c r="W45" s="91" t="str">
        <f aca="true">IF(V45="","",SUBSTITUTE(INDEX(INDIRECT($AZ$1&amp;"$A$5:$A$164"),V45),"組","")&amp;"-"&amp;INDEX(INDIRECT($AZ$1&amp;"$B$5:$B$164"),V45))</f>
        <v/>
      </c>
      <c r="X45" s="59" t="str">
        <f aca="true">IF(V45="","",INDEX(INDIRECT($AZ$1&amp;"$C$5:$C$164"),V45))</f>
        <v/>
      </c>
      <c r="Y45" s="61" t="str">
        <f aca="true">IF(V45="","",INDEX(INDIRECT($AZ$1&amp;"$F$5:$F$164"),V45)&amp;"")</f>
        <v/>
      </c>
      <c r="Z45" s="61" t="str">
        <f aca="true">IF(V45="","",INDEX(INDIRECT($AZ$1&amp;"$G$5:$G$164"),V45)&amp;"")</f>
        <v/>
      </c>
      <c r="AA45" s="61" t="str">
        <f aca="true">IF(V45="","",INDEX(INDIRECT($AZ$1&amp;"$H$5:$H$164"),V45)&amp;"")</f>
        <v/>
      </c>
      <c r="AB45" s="13"/>
      <c r="AC45" s="41" t="str">
        <f aca="true">IFERROR(IF(AD$4="","",MATCH(AD$4&amp;"|"&amp;40,INDIRECT($AZ$1&amp;"$J$5:$J$164"),0)),"")</f>
        <v/>
      </c>
      <c r="AD45" s="91" t="str">
        <f aca="true">IF(AC45="","",SUBSTITUTE(INDEX(INDIRECT($AZ$1&amp;"$A$5:$A$164"),AC45),"組","")&amp;"-"&amp;INDEX(INDIRECT($AZ$1&amp;"$B$5:$B$164"),AC45))</f>
        <v/>
      </c>
      <c r="AE45" s="59" t="str">
        <f aca="true">IF(AC45="","",INDEX(INDIRECT($AZ$1&amp;"$C$5:$C$164"),AC45))</f>
        <v/>
      </c>
      <c r="AF45" s="61" t="str">
        <f aca="true">IF(AC45="","",INDEX(INDIRECT($AZ$1&amp;"$F$5:$F$164"),AC45)&amp;"")</f>
        <v/>
      </c>
      <c r="AG45" s="61" t="str">
        <f aca="true">IF(AC45="","",INDEX(INDIRECT($AZ$1&amp;"$G$5:$G$164"),AC45)&amp;"")</f>
        <v/>
      </c>
      <c r="AH45" s="61" t="str">
        <f aca="true">IF(AC45="","",INDEX(INDIRECT($AZ$1&amp;"$H$5:$H$164"),AC45)&amp;"")</f>
        <v/>
      </c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</row>
    <row r="46" customFormat="false" ht="18.75" hidden="false" customHeight="true" outlineLevel="0" collapsed="false">
      <c r="A46" s="41" t="str">
        <f aca="true">IFERROR(IF(B$4="","",MATCH(B$4&amp;"|"&amp;41,INDIRECT($AZ$1&amp;"$J$5:$J$164"),0)),"")</f>
        <v/>
      </c>
      <c r="B46" s="91" t="str">
        <f aca="true">IF(A46="","",SUBSTITUTE(INDEX(INDIRECT($AZ$1&amp;"$A$5:$A$164"),A46),"組","")&amp;"-"&amp;INDEX(INDIRECT($AZ$1&amp;"$B$5:$B$164"),A46))</f>
        <v/>
      </c>
      <c r="C46" s="59" t="str">
        <f aca="true">IF(A46="","",INDEX(INDIRECT($AZ$1&amp;"$C$5:$C$164"),A46))</f>
        <v/>
      </c>
      <c r="D46" s="61" t="str">
        <f aca="true">IF(A46="","",INDEX(INDIRECT($AZ$1&amp;"$F$5:$F$164"),A46)&amp;"")</f>
        <v/>
      </c>
      <c r="E46" s="61" t="str">
        <f aca="true">IF(A46="","",INDEX(INDIRECT($AZ$1&amp;"$G$5:$G$164"),A46)&amp;"")</f>
        <v/>
      </c>
      <c r="F46" s="61" t="str">
        <f aca="true">IF(A46="","",INDEX(INDIRECT($AZ$1&amp;"$H$5:$H$164"),A46)&amp;"")</f>
        <v/>
      </c>
      <c r="G46" s="13"/>
      <c r="H46" s="41" t="str">
        <f aca="true">IFERROR(IF(I$4="","",MATCH(I$4&amp;"|"&amp;41,INDIRECT($AZ$1&amp;"$J$5:$J$164"),0)),"")</f>
        <v/>
      </c>
      <c r="I46" s="91" t="str">
        <f aca="true">IF(H46="","",SUBSTITUTE(INDEX(INDIRECT($AZ$1&amp;"$A$5:$A$164"),H46),"組","")&amp;"-"&amp;INDEX(INDIRECT($AZ$1&amp;"$B$5:$B$164"),H46))</f>
        <v/>
      </c>
      <c r="J46" s="59" t="str">
        <f aca="true">IF(H46="","",INDEX(INDIRECT($AZ$1&amp;"$C$5:$C$164"),H46))</f>
        <v/>
      </c>
      <c r="K46" s="61" t="str">
        <f aca="true">IF(H46="","",INDEX(INDIRECT($AZ$1&amp;"$F$5:$F$164"),H46)&amp;"")</f>
        <v/>
      </c>
      <c r="L46" s="61" t="str">
        <f aca="true">IF(H46="","",INDEX(INDIRECT($AZ$1&amp;"$G$5:$G$164"),H46)&amp;"")</f>
        <v/>
      </c>
      <c r="M46" s="61" t="str">
        <f aca="true">IF(H46="","",INDEX(INDIRECT($AZ$1&amp;"$H$5:$H$164"),H46)&amp;"")</f>
        <v/>
      </c>
      <c r="N46" s="13"/>
      <c r="O46" s="41" t="str">
        <f aca="true">IFERROR(IF(P$4="","",MATCH(P$4&amp;"|"&amp;41,INDIRECT($AZ$1&amp;"$J$5:$J$164"),0)),"")</f>
        <v/>
      </c>
      <c r="P46" s="91" t="str">
        <f aca="true">IF(O46="","",SUBSTITUTE(INDEX(INDIRECT($AZ$1&amp;"$A$5:$A$164"),O46),"組","")&amp;"-"&amp;INDEX(INDIRECT($AZ$1&amp;"$B$5:$B$164"),O46))</f>
        <v/>
      </c>
      <c r="Q46" s="59" t="str">
        <f aca="true">IF(O46="","",INDEX(INDIRECT($AZ$1&amp;"$C$5:$C$164"),O46))</f>
        <v/>
      </c>
      <c r="R46" s="61" t="str">
        <f aca="true">IF(O46="","",INDEX(INDIRECT($AZ$1&amp;"$F$5:$F$164"),O46)&amp;"")</f>
        <v/>
      </c>
      <c r="S46" s="61" t="str">
        <f aca="true">IF(O46="","",INDEX(INDIRECT($AZ$1&amp;"$G$5:$G$164"),O46)&amp;"")</f>
        <v/>
      </c>
      <c r="T46" s="61" t="str">
        <f aca="true">IF(O46="","",INDEX(INDIRECT($AZ$1&amp;"$H$5:$H$164"),O46)&amp;"")</f>
        <v/>
      </c>
      <c r="U46" s="13"/>
      <c r="V46" s="41" t="str">
        <f aca="true">IFERROR(IF(W$4="","",MATCH(W$4&amp;"|"&amp;41,INDIRECT($AZ$1&amp;"$J$5:$J$164"),0)),"")</f>
        <v/>
      </c>
      <c r="W46" s="91" t="str">
        <f aca="true">IF(V46="","",SUBSTITUTE(INDEX(INDIRECT($AZ$1&amp;"$A$5:$A$164"),V46),"組","")&amp;"-"&amp;INDEX(INDIRECT($AZ$1&amp;"$B$5:$B$164"),V46))</f>
        <v/>
      </c>
      <c r="X46" s="59" t="str">
        <f aca="true">IF(V46="","",INDEX(INDIRECT($AZ$1&amp;"$C$5:$C$164"),V46))</f>
        <v/>
      </c>
      <c r="Y46" s="61" t="str">
        <f aca="true">IF(V46="","",INDEX(INDIRECT($AZ$1&amp;"$F$5:$F$164"),V46)&amp;"")</f>
        <v/>
      </c>
      <c r="Z46" s="61" t="str">
        <f aca="true">IF(V46="","",INDEX(INDIRECT($AZ$1&amp;"$G$5:$G$164"),V46)&amp;"")</f>
        <v/>
      </c>
      <c r="AA46" s="61" t="str">
        <f aca="true">IF(V46="","",INDEX(INDIRECT($AZ$1&amp;"$H$5:$H$164"),V46)&amp;"")</f>
        <v/>
      </c>
      <c r="AB46" s="13"/>
      <c r="AC46" s="41" t="str">
        <f aca="true">IFERROR(IF(AD$4="","",MATCH(AD$4&amp;"|"&amp;41,INDIRECT($AZ$1&amp;"$J$5:$J$164"),0)),"")</f>
        <v/>
      </c>
      <c r="AD46" s="91" t="str">
        <f aca="true">IF(AC46="","",SUBSTITUTE(INDEX(INDIRECT($AZ$1&amp;"$A$5:$A$164"),AC46),"組","")&amp;"-"&amp;INDEX(INDIRECT($AZ$1&amp;"$B$5:$B$164"),AC46))</f>
        <v/>
      </c>
      <c r="AE46" s="59" t="str">
        <f aca="true">IF(AC46="","",INDEX(INDIRECT($AZ$1&amp;"$C$5:$C$164"),AC46))</f>
        <v/>
      </c>
      <c r="AF46" s="61" t="str">
        <f aca="true">IF(AC46="","",INDEX(INDIRECT($AZ$1&amp;"$F$5:$F$164"),AC46)&amp;"")</f>
        <v/>
      </c>
      <c r="AG46" s="61" t="str">
        <f aca="true">IF(AC46="","",INDEX(INDIRECT($AZ$1&amp;"$G$5:$G$164"),AC46)&amp;"")</f>
        <v/>
      </c>
      <c r="AH46" s="61" t="str">
        <f aca="true">IF(AC46="","",INDEX(INDIRECT($AZ$1&amp;"$H$5:$H$164"),AC46)&amp;"")</f>
        <v/>
      </c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</row>
    <row r="47" customFormat="false" ht="18.75" hidden="false" customHeight="true" outlineLevel="0" collapsed="false">
      <c r="A47" s="41" t="str">
        <f aca="true">IFERROR(IF(B$4="","",MATCH(B$4&amp;"|"&amp;42,INDIRECT($AZ$1&amp;"$J$5:$J$164"),0)),"")</f>
        <v/>
      </c>
      <c r="B47" s="91" t="str">
        <f aca="true">IF(A47="","",SUBSTITUTE(INDEX(INDIRECT($AZ$1&amp;"$A$5:$A$164"),A47),"組","")&amp;"-"&amp;INDEX(INDIRECT($AZ$1&amp;"$B$5:$B$164"),A47))</f>
        <v/>
      </c>
      <c r="C47" s="59" t="str">
        <f aca="true">IF(A47="","",INDEX(INDIRECT($AZ$1&amp;"$C$5:$C$164"),A47))</f>
        <v/>
      </c>
      <c r="D47" s="61" t="str">
        <f aca="true">IF(A47="","",INDEX(INDIRECT($AZ$1&amp;"$F$5:$F$164"),A47)&amp;"")</f>
        <v/>
      </c>
      <c r="E47" s="61" t="str">
        <f aca="true">IF(A47="","",INDEX(INDIRECT($AZ$1&amp;"$G$5:$G$164"),A47)&amp;"")</f>
        <v/>
      </c>
      <c r="F47" s="61" t="str">
        <f aca="true">IF(A47="","",INDEX(INDIRECT($AZ$1&amp;"$H$5:$H$164"),A47)&amp;"")</f>
        <v/>
      </c>
      <c r="G47" s="13"/>
      <c r="H47" s="41" t="str">
        <f aca="true">IFERROR(IF(I$4="","",MATCH(I$4&amp;"|"&amp;42,INDIRECT($AZ$1&amp;"$J$5:$J$164"),0)),"")</f>
        <v/>
      </c>
      <c r="I47" s="91" t="str">
        <f aca="true">IF(H47="","",SUBSTITUTE(INDEX(INDIRECT($AZ$1&amp;"$A$5:$A$164"),H47),"組","")&amp;"-"&amp;INDEX(INDIRECT($AZ$1&amp;"$B$5:$B$164"),H47))</f>
        <v/>
      </c>
      <c r="J47" s="59" t="str">
        <f aca="true">IF(H47="","",INDEX(INDIRECT($AZ$1&amp;"$C$5:$C$164"),H47))</f>
        <v/>
      </c>
      <c r="K47" s="61" t="str">
        <f aca="true">IF(H47="","",INDEX(INDIRECT($AZ$1&amp;"$F$5:$F$164"),H47)&amp;"")</f>
        <v/>
      </c>
      <c r="L47" s="61" t="str">
        <f aca="true">IF(H47="","",INDEX(INDIRECT($AZ$1&amp;"$G$5:$G$164"),H47)&amp;"")</f>
        <v/>
      </c>
      <c r="M47" s="61" t="str">
        <f aca="true">IF(H47="","",INDEX(INDIRECT($AZ$1&amp;"$H$5:$H$164"),H47)&amp;"")</f>
        <v/>
      </c>
      <c r="N47" s="13"/>
      <c r="O47" s="41" t="str">
        <f aca="true">IFERROR(IF(P$4="","",MATCH(P$4&amp;"|"&amp;42,INDIRECT($AZ$1&amp;"$J$5:$J$164"),0)),"")</f>
        <v/>
      </c>
      <c r="P47" s="91" t="str">
        <f aca="true">IF(O47="","",SUBSTITUTE(INDEX(INDIRECT($AZ$1&amp;"$A$5:$A$164"),O47),"組","")&amp;"-"&amp;INDEX(INDIRECT($AZ$1&amp;"$B$5:$B$164"),O47))</f>
        <v/>
      </c>
      <c r="Q47" s="59" t="str">
        <f aca="true">IF(O47="","",INDEX(INDIRECT($AZ$1&amp;"$C$5:$C$164"),O47))</f>
        <v/>
      </c>
      <c r="R47" s="61" t="str">
        <f aca="true">IF(O47="","",INDEX(INDIRECT($AZ$1&amp;"$F$5:$F$164"),O47)&amp;"")</f>
        <v/>
      </c>
      <c r="S47" s="61" t="str">
        <f aca="true">IF(O47="","",INDEX(INDIRECT($AZ$1&amp;"$G$5:$G$164"),O47)&amp;"")</f>
        <v/>
      </c>
      <c r="T47" s="61" t="str">
        <f aca="true">IF(O47="","",INDEX(INDIRECT($AZ$1&amp;"$H$5:$H$164"),O47)&amp;"")</f>
        <v/>
      </c>
      <c r="U47" s="13"/>
      <c r="V47" s="41" t="str">
        <f aca="true">IFERROR(IF(W$4="","",MATCH(W$4&amp;"|"&amp;42,INDIRECT($AZ$1&amp;"$J$5:$J$164"),0)),"")</f>
        <v/>
      </c>
      <c r="W47" s="91" t="str">
        <f aca="true">IF(V47="","",SUBSTITUTE(INDEX(INDIRECT($AZ$1&amp;"$A$5:$A$164"),V47),"組","")&amp;"-"&amp;INDEX(INDIRECT($AZ$1&amp;"$B$5:$B$164"),V47))</f>
        <v/>
      </c>
      <c r="X47" s="59" t="str">
        <f aca="true">IF(V47="","",INDEX(INDIRECT($AZ$1&amp;"$C$5:$C$164"),V47))</f>
        <v/>
      </c>
      <c r="Y47" s="61" t="str">
        <f aca="true">IF(V47="","",INDEX(INDIRECT($AZ$1&amp;"$F$5:$F$164"),V47)&amp;"")</f>
        <v/>
      </c>
      <c r="Z47" s="61" t="str">
        <f aca="true">IF(V47="","",INDEX(INDIRECT($AZ$1&amp;"$G$5:$G$164"),V47)&amp;"")</f>
        <v/>
      </c>
      <c r="AA47" s="61" t="str">
        <f aca="true">IF(V47="","",INDEX(INDIRECT($AZ$1&amp;"$H$5:$H$164"),V47)&amp;"")</f>
        <v/>
      </c>
      <c r="AB47" s="13"/>
      <c r="AC47" s="41" t="str">
        <f aca="true">IFERROR(IF(AD$4="","",MATCH(AD$4&amp;"|"&amp;42,INDIRECT($AZ$1&amp;"$J$5:$J$164"),0)),"")</f>
        <v/>
      </c>
      <c r="AD47" s="91" t="str">
        <f aca="true">IF(AC47="","",SUBSTITUTE(INDEX(INDIRECT($AZ$1&amp;"$A$5:$A$164"),AC47),"組","")&amp;"-"&amp;INDEX(INDIRECT($AZ$1&amp;"$B$5:$B$164"),AC47))</f>
        <v/>
      </c>
      <c r="AE47" s="59" t="str">
        <f aca="true">IF(AC47="","",INDEX(INDIRECT($AZ$1&amp;"$C$5:$C$164"),AC47))</f>
        <v/>
      </c>
      <c r="AF47" s="61" t="str">
        <f aca="true">IF(AC47="","",INDEX(INDIRECT($AZ$1&amp;"$F$5:$F$164"),AC47)&amp;"")</f>
        <v/>
      </c>
      <c r="AG47" s="61" t="str">
        <f aca="true">IF(AC47="","",INDEX(INDIRECT($AZ$1&amp;"$G$5:$G$164"),AC47)&amp;"")</f>
        <v/>
      </c>
      <c r="AH47" s="61" t="str">
        <f aca="true">IF(AC47="","",INDEX(INDIRECT($AZ$1&amp;"$H$5:$H$164"),AC47)&amp;"")</f>
        <v/>
      </c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</row>
    <row r="48" customFormat="false" ht="18.75" hidden="false" customHeight="true" outlineLevel="0" collapsed="false">
      <c r="A48" s="41" t="str">
        <f aca="true">IFERROR(IF(B$4="","",MATCH(B$4&amp;"|"&amp;43,INDIRECT($AZ$1&amp;"$J$5:$J$164"),0)),"")</f>
        <v/>
      </c>
      <c r="B48" s="91" t="str">
        <f aca="true">IF(A48="","",SUBSTITUTE(INDEX(INDIRECT($AZ$1&amp;"$A$5:$A$164"),A48),"組","")&amp;"-"&amp;INDEX(INDIRECT($AZ$1&amp;"$B$5:$B$164"),A48))</f>
        <v/>
      </c>
      <c r="C48" s="59" t="str">
        <f aca="true">IF(A48="","",INDEX(INDIRECT($AZ$1&amp;"$C$5:$C$164"),A48))</f>
        <v/>
      </c>
      <c r="D48" s="61" t="str">
        <f aca="true">IF(A48="","",INDEX(INDIRECT($AZ$1&amp;"$F$5:$F$164"),A48)&amp;"")</f>
        <v/>
      </c>
      <c r="E48" s="61" t="str">
        <f aca="true">IF(A48="","",INDEX(INDIRECT($AZ$1&amp;"$G$5:$G$164"),A48)&amp;"")</f>
        <v/>
      </c>
      <c r="F48" s="61" t="str">
        <f aca="true">IF(A48="","",INDEX(INDIRECT($AZ$1&amp;"$H$5:$H$164"),A48)&amp;"")</f>
        <v/>
      </c>
      <c r="G48" s="13"/>
      <c r="H48" s="41" t="str">
        <f aca="true">IFERROR(IF(I$4="","",MATCH(I$4&amp;"|"&amp;43,INDIRECT($AZ$1&amp;"$J$5:$J$164"),0)),"")</f>
        <v/>
      </c>
      <c r="I48" s="91" t="str">
        <f aca="true">IF(H48="","",SUBSTITUTE(INDEX(INDIRECT($AZ$1&amp;"$A$5:$A$164"),H48),"組","")&amp;"-"&amp;INDEX(INDIRECT($AZ$1&amp;"$B$5:$B$164"),H48))</f>
        <v/>
      </c>
      <c r="J48" s="59" t="str">
        <f aca="true">IF(H48="","",INDEX(INDIRECT($AZ$1&amp;"$C$5:$C$164"),H48))</f>
        <v/>
      </c>
      <c r="K48" s="61" t="str">
        <f aca="true">IF(H48="","",INDEX(INDIRECT($AZ$1&amp;"$F$5:$F$164"),H48)&amp;"")</f>
        <v/>
      </c>
      <c r="L48" s="61" t="str">
        <f aca="true">IF(H48="","",INDEX(INDIRECT($AZ$1&amp;"$G$5:$G$164"),H48)&amp;"")</f>
        <v/>
      </c>
      <c r="M48" s="61" t="str">
        <f aca="true">IF(H48="","",INDEX(INDIRECT($AZ$1&amp;"$H$5:$H$164"),H48)&amp;"")</f>
        <v/>
      </c>
      <c r="N48" s="13"/>
      <c r="O48" s="41" t="str">
        <f aca="true">IFERROR(IF(P$4="","",MATCH(P$4&amp;"|"&amp;43,INDIRECT($AZ$1&amp;"$J$5:$J$164"),0)),"")</f>
        <v/>
      </c>
      <c r="P48" s="91" t="str">
        <f aca="true">IF(O48="","",SUBSTITUTE(INDEX(INDIRECT($AZ$1&amp;"$A$5:$A$164"),O48),"組","")&amp;"-"&amp;INDEX(INDIRECT($AZ$1&amp;"$B$5:$B$164"),O48))</f>
        <v/>
      </c>
      <c r="Q48" s="59" t="str">
        <f aca="true">IF(O48="","",INDEX(INDIRECT($AZ$1&amp;"$C$5:$C$164"),O48))</f>
        <v/>
      </c>
      <c r="R48" s="61" t="str">
        <f aca="true">IF(O48="","",INDEX(INDIRECT($AZ$1&amp;"$F$5:$F$164"),O48)&amp;"")</f>
        <v/>
      </c>
      <c r="S48" s="61" t="str">
        <f aca="true">IF(O48="","",INDEX(INDIRECT($AZ$1&amp;"$G$5:$G$164"),O48)&amp;"")</f>
        <v/>
      </c>
      <c r="T48" s="61" t="str">
        <f aca="true">IF(O48="","",INDEX(INDIRECT($AZ$1&amp;"$H$5:$H$164"),O48)&amp;"")</f>
        <v/>
      </c>
      <c r="U48" s="13"/>
      <c r="V48" s="41" t="str">
        <f aca="true">IFERROR(IF(W$4="","",MATCH(W$4&amp;"|"&amp;43,INDIRECT($AZ$1&amp;"$J$5:$J$164"),0)),"")</f>
        <v/>
      </c>
      <c r="W48" s="91" t="str">
        <f aca="true">IF(V48="","",SUBSTITUTE(INDEX(INDIRECT($AZ$1&amp;"$A$5:$A$164"),V48),"組","")&amp;"-"&amp;INDEX(INDIRECT($AZ$1&amp;"$B$5:$B$164"),V48))</f>
        <v/>
      </c>
      <c r="X48" s="59" t="str">
        <f aca="true">IF(V48="","",INDEX(INDIRECT($AZ$1&amp;"$C$5:$C$164"),V48))</f>
        <v/>
      </c>
      <c r="Y48" s="61" t="str">
        <f aca="true">IF(V48="","",INDEX(INDIRECT($AZ$1&amp;"$F$5:$F$164"),V48)&amp;"")</f>
        <v/>
      </c>
      <c r="Z48" s="61" t="str">
        <f aca="true">IF(V48="","",INDEX(INDIRECT($AZ$1&amp;"$G$5:$G$164"),V48)&amp;"")</f>
        <v/>
      </c>
      <c r="AA48" s="61" t="str">
        <f aca="true">IF(V48="","",INDEX(INDIRECT($AZ$1&amp;"$H$5:$H$164"),V48)&amp;"")</f>
        <v/>
      </c>
      <c r="AB48" s="13"/>
      <c r="AC48" s="41" t="str">
        <f aca="true">IFERROR(IF(AD$4="","",MATCH(AD$4&amp;"|"&amp;43,INDIRECT($AZ$1&amp;"$J$5:$J$164"),0)),"")</f>
        <v/>
      </c>
      <c r="AD48" s="91" t="str">
        <f aca="true">IF(AC48="","",SUBSTITUTE(INDEX(INDIRECT($AZ$1&amp;"$A$5:$A$164"),AC48),"組","")&amp;"-"&amp;INDEX(INDIRECT($AZ$1&amp;"$B$5:$B$164"),AC48))</f>
        <v/>
      </c>
      <c r="AE48" s="59" t="str">
        <f aca="true">IF(AC48="","",INDEX(INDIRECT($AZ$1&amp;"$C$5:$C$164"),AC48))</f>
        <v/>
      </c>
      <c r="AF48" s="61" t="str">
        <f aca="true">IF(AC48="","",INDEX(INDIRECT($AZ$1&amp;"$F$5:$F$164"),AC48)&amp;"")</f>
        <v/>
      </c>
      <c r="AG48" s="61" t="str">
        <f aca="true">IF(AC48="","",INDEX(INDIRECT($AZ$1&amp;"$G$5:$G$164"),AC48)&amp;"")</f>
        <v/>
      </c>
      <c r="AH48" s="61" t="str">
        <f aca="true">IF(AC48="","",INDEX(INDIRECT($AZ$1&amp;"$H$5:$H$164"),AC48)&amp;"")</f>
        <v/>
      </c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</row>
    <row r="49" customFormat="false" ht="18.75" hidden="false" customHeight="true" outlineLevel="0" collapsed="false">
      <c r="A49" s="41" t="str">
        <f aca="true">IFERROR(IF(B$4="","",MATCH(B$4&amp;"|"&amp;44,INDIRECT($AZ$1&amp;"$J$5:$J$164"),0)),"")</f>
        <v/>
      </c>
      <c r="B49" s="91" t="str">
        <f aca="true">IF(A49="","",SUBSTITUTE(INDEX(INDIRECT($AZ$1&amp;"$A$5:$A$164"),A49),"組","")&amp;"-"&amp;INDEX(INDIRECT($AZ$1&amp;"$B$5:$B$164"),A49))</f>
        <v/>
      </c>
      <c r="C49" s="59" t="str">
        <f aca="true">IF(A49="","",INDEX(INDIRECT($AZ$1&amp;"$C$5:$C$164"),A49))</f>
        <v/>
      </c>
      <c r="D49" s="61" t="str">
        <f aca="true">IF(A49="","",INDEX(INDIRECT($AZ$1&amp;"$F$5:$F$164"),A49)&amp;"")</f>
        <v/>
      </c>
      <c r="E49" s="61" t="str">
        <f aca="true">IF(A49="","",INDEX(INDIRECT($AZ$1&amp;"$G$5:$G$164"),A49)&amp;"")</f>
        <v/>
      </c>
      <c r="F49" s="61" t="str">
        <f aca="true">IF(A49="","",INDEX(INDIRECT($AZ$1&amp;"$H$5:$H$164"),A49)&amp;"")</f>
        <v/>
      </c>
      <c r="G49" s="13"/>
      <c r="H49" s="41" t="str">
        <f aca="true">IFERROR(IF(I$4="","",MATCH(I$4&amp;"|"&amp;44,INDIRECT($AZ$1&amp;"$J$5:$J$164"),0)),"")</f>
        <v/>
      </c>
      <c r="I49" s="91" t="str">
        <f aca="true">IF(H49="","",SUBSTITUTE(INDEX(INDIRECT($AZ$1&amp;"$A$5:$A$164"),H49),"組","")&amp;"-"&amp;INDEX(INDIRECT($AZ$1&amp;"$B$5:$B$164"),H49))</f>
        <v/>
      </c>
      <c r="J49" s="59" t="str">
        <f aca="true">IF(H49="","",INDEX(INDIRECT($AZ$1&amp;"$C$5:$C$164"),H49))</f>
        <v/>
      </c>
      <c r="K49" s="61" t="str">
        <f aca="true">IF(H49="","",INDEX(INDIRECT($AZ$1&amp;"$F$5:$F$164"),H49)&amp;"")</f>
        <v/>
      </c>
      <c r="L49" s="61" t="str">
        <f aca="true">IF(H49="","",INDEX(INDIRECT($AZ$1&amp;"$G$5:$G$164"),H49)&amp;"")</f>
        <v/>
      </c>
      <c r="M49" s="61" t="str">
        <f aca="true">IF(H49="","",INDEX(INDIRECT($AZ$1&amp;"$H$5:$H$164"),H49)&amp;"")</f>
        <v/>
      </c>
      <c r="N49" s="13"/>
      <c r="O49" s="41" t="str">
        <f aca="true">IFERROR(IF(P$4="","",MATCH(P$4&amp;"|"&amp;44,INDIRECT($AZ$1&amp;"$J$5:$J$164"),0)),"")</f>
        <v/>
      </c>
      <c r="P49" s="91" t="str">
        <f aca="true">IF(O49="","",SUBSTITUTE(INDEX(INDIRECT($AZ$1&amp;"$A$5:$A$164"),O49),"組","")&amp;"-"&amp;INDEX(INDIRECT($AZ$1&amp;"$B$5:$B$164"),O49))</f>
        <v/>
      </c>
      <c r="Q49" s="59" t="str">
        <f aca="true">IF(O49="","",INDEX(INDIRECT($AZ$1&amp;"$C$5:$C$164"),O49))</f>
        <v/>
      </c>
      <c r="R49" s="61" t="str">
        <f aca="true">IF(O49="","",INDEX(INDIRECT($AZ$1&amp;"$F$5:$F$164"),O49)&amp;"")</f>
        <v/>
      </c>
      <c r="S49" s="61" t="str">
        <f aca="true">IF(O49="","",INDEX(INDIRECT($AZ$1&amp;"$G$5:$G$164"),O49)&amp;"")</f>
        <v/>
      </c>
      <c r="T49" s="61" t="str">
        <f aca="true">IF(O49="","",INDEX(INDIRECT($AZ$1&amp;"$H$5:$H$164"),O49)&amp;"")</f>
        <v/>
      </c>
      <c r="U49" s="13"/>
      <c r="V49" s="41" t="str">
        <f aca="true">IFERROR(IF(W$4="","",MATCH(W$4&amp;"|"&amp;44,INDIRECT($AZ$1&amp;"$J$5:$J$164"),0)),"")</f>
        <v/>
      </c>
      <c r="W49" s="91" t="str">
        <f aca="true">IF(V49="","",SUBSTITUTE(INDEX(INDIRECT($AZ$1&amp;"$A$5:$A$164"),V49),"組","")&amp;"-"&amp;INDEX(INDIRECT($AZ$1&amp;"$B$5:$B$164"),V49))</f>
        <v/>
      </c>
      <c r="X49" s="59" t="str">
        <f aca="true">IF(V49="","",INDEX(INDIRECT($AZ$1&amp;"$C$5:$C$164"),V49))</f>
        <v/>
      </c>
      <c r="Y49" s="61" t="str">
        <f aca="true">IF(V49="","",INDEX(INDIRECT($AZ$1&amp;"$F$5:$F$164"),V49)&amp;"")</f>
        <v/>
      </c>
      <c r="Z49" s="61" t="str">
        <f aca="true">IF(V49="","",INDEX(INDIRECT($AZ$1&amp;"$G$5:$G$164"),V49)&amp;"")</f>
        <v/>
      </c>
      <c r="AA49" s="61" t="str">
        <f aca="true">IF(V49="","",INDEX(INDIRECT($AZ$1&amp;"$H$5:$H$164"),V49)&amp;"")</f>
        <v/>
      </c>
      <c r="AB49" s="13"/>
      <c r="AC49" s="41" t="str">
        <f aca="true">IFERROR(IF(AD$4="","",MATCH(AD$4&amp;"|"&amp;44,INDIRECT($AZ$1&amp;"$J$5:$J$164"),0)),"")</f>
        <v/>
      </c>
      <c r="AD49" s="91" t="str">
        <f aca="true">IF(AC49="","",SUBSTITUTE(INDEX(INDIRECT($AZ$1&amp;"$A$5:$A$164"),AC49),"組","")&amp;"-"&amp;INDEX(INDIRECT($AZ$1&amp;"$B$5:$B$164"),AC49))</f>
        <v/>
      </c>
      <c r="AE49" s="59" t="str">
        <f aca="true">IF(AC49="","",INDEX(INDIRECT($AZ$1&amp;"$C$5:$C$164"),AC49))</f>
        <v/>
      </c>
      <c r="AF49" s="61" t="str">
        <f aca="true">IF(AC49="","",INDEX(INDIRECT($AZ$1&amp;"$F$5:$F$164"),AC49)&amp;"")</f>
        <v/>
      </c>
      <c r="AG49" s="61" t="str">
        <f aca="true">IF(AC49="","",INDEX(INDIRECT($AZ$1&amp;"$G$5:$G$164"),AC49)&amp;"")</f>
        <v/>
      </c>
      <c r="AH49" s="61" t="str">
        <f aca="true">IF(AC49="","",INDEX(INDIRECT($AZ$1&amp;"$H$5:$H$164"),AC49)&amp;"")</f>
        <v/>
      </c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</row>
    <row r="50" customFormat="false" ht="18.75" hidden="false" customHeight="true" outlineLevel="0" collapsed="false">
      <c r="A50" s="41" t="str">
        <f aca="true">IFERROR(IF(B$4="","",MATCH(B$4&amp;"|"&amp;45,INDIRECT($AZ$1&amp;"$J$5:$J$164"),0)),"")</f>
        <v/>
      </c>
      <c r="B50" s="91" t="str">
        <f aca="true">IF(A50="","",SUBSTITUTE(INDEX(INDIRECT($AZ$1&amp;"$A$5:$A$164"),A50),"組","")&amp;"-"&amp;INDEX(INDIRECT($AZ$1&amp;"$B$5:$B$164"),A50))</f>
        <v/>
      </c>
      <c r="C50" s="59" t="str">
        <f aca="true">IF(A50="","",INDEX(INDIRECT($AZ$1&amp;"$C$5:$C$164"),A50))</f>
        <v/>
      </c>
      <c r="D50" s="61" t="str">
        <f aca="true">IF(A50="","",INDEX(INDIRECT($AZ$1&amp;"$F$5:$F$164"),A50)&amp;"")</f>
        <v/>
      </c>
      <c r="E50" s="61" t="str">
        <f aca="true">IF(A50="","",INDEX(INDIRECT($AZ$1&amp;"$G$5:$G$164"),A50)&amp;"")</f>
        <v/>
      </c>
      <c r="F50" s="61" t="str">
        <f aca="true">IF(A50="","",INDEX(INDIRECT($AZ$1&amp;"$H$5:$H$164"),A50)&amp;"")</f>
        <v/>
      </c>
      <c r="G50" s="13"/>
      <c r="H50" s="41" t="str">
        <f aca="true">IFERROR(IF(I$4="","",MATCH(I$4&amp;"|"&amp;45,INDIRECT($AZ$1&amp;"$J$5:$J$164"),0)),"")</f>
        <v/>
      </c>
      <c r="I50" s="91" t="str">
        <f aca="true">IF(H50="","",SUBSTITUTE(INDEX(INDIRECT($AZ$1&amp;"$A$5:$A$164"),H50),"組","")&amp;"-"&amp;INDEX(INDIRECT($AZ$1&amp;"$B$5:$B$164"),H50))</f>
        <v/>
      </c>
      <c r="J50" s="59" t="str">
        <f aca="true">IF(H50="","",INDEX(INDIRECT($AZ$1&amp;"$C$5:$C$164"),H50))</f>
        <v/>
      </c>
      <c r="K50" s="61" t="str">
        <f aca="true">IF(H50="","",INDEX(INDIRECT($AZ$1&amp;"$F$5:$F$164"),H50)&amp;"")</f>
        <v/>
      </c>
      <c r="L50" s="61" t="str">
        <f aca="true">IF(H50="","",INDEX(INDIRECT($AZ$1&amp;"$G$5:$G$164"),H50)&amp;"")</f>
        <v/>
      </c>
      <c r="M50" s="61" t="str">
        <f aca="true">IF(H50="","",INDEX(INDIRECT($AZ$1&amp;"$H$5:$H$164"),H50)&amp;"")</f>
        <v/>
      </c>
      <c r="N50" s="13"/>
      <c r="O50" s="41" t="str">
        <f aca="true">IFERROR(IF(P$4="","",MATCH(P$4&amp;"|"&amp;45,INDIRECT($AZ$1&amp;"$J$5:$J$164"),0)),"")</f>
        <v/>
      </c>
      <c r="P50" s="91" t="str">
        <f aca="true">IF(O50="","",SUBSTITUTE(INDEX(INDIRECT($AZ$1&amp;"$A$5:$A$164"),O50),"組","")&amp;"-"&amp;INDEX(INDIRECT($AZ$1&amp;"$B$5:$B$164"),O50))</f>
        <v/>
      </c>
      <c r="Q50" s="59" t="str">
        <f aca="true">IF(O50="","",INDEX(INDIRECT($AZ$1&amp;"$C$5:$C$164"),O50))</f>
        <v/>
      </c>
      <c r="R50" s="61" t="str">
        <f aca="true">IF(O50="","",INDEX(INDIRECT($AZ$1&amp;"$F$5:$F$164"),O50)&amp;"")</f>
        <v/>
      </c>
      <c r="S50" s="61" t="str">
        <f aca="true">IF(O50="","",INDEX(INDIRECT($AZ$1&amp;"$G$5:$G$164"),O50)&amp;"")</f>
        <v/>
      </c>
      <c r="T50" s="61" t="str">
        <f aca="true">IF(O50="","",INDEX(INDIRECT($AZ$1&amp;"$H$5:$H$164"),O50)&amp;"")</f>
        <v/>
      </c>
      <c r="U50" s="13"/>
      <c r="V50" s="41" t="str">
        <f aca="true">IFERROR(IF(W$4="","",MATCH(W$4&amp;"|"&amp;45,INDIRECT($AZ$1&amp;"$J$5:$J$164"),0)),"")</f>
        <v/>
      </c>
      <c r="W50" s="91" t="str">
        <f aca="true">IF(V50="","",SUBSTITUTE(INDEX(INDIRECT($AZ$1&amp;"$A$5:$A$164"),V50),"組","")&amp;"-"&amp;INDEX(INDIRECT($AZ$1&amp;"$B$5:$B$164"),V50))</f>
        <v/>
      </c>
      <c r="X50" s="59" t="str">
        <f aca="true">IF(V50="","",INDEX(INDIRECT($AZ$1&amp;"$C$5:$C$164"),V50))</f>
        <v/>
      </c>
      <c r="Y50" s="61" t="str">
        <f aca="true">IF(V50="","",INDEX(INDIRECT($AZ$1&amp;"$F$5:$F$164"),V50)&amp;"")</f>
        <v/>
      </c>
      <c r="Z50" s="61" t="str">
        <f aca="true">IF(V50="","",INDEX(INDIRECT($AZ$1&amp;"$G$5:$G$164"),V50)&amp;"")</f>
        <v/>
      </c>
      <c r="AA50" s="61" t="str">
        <f aca="true">IF(V50="","",INDEX(INDIRECT($AZ$1&amp;"$H$5:$H$164"),V50)&amp;"")</f>
        <v/>
      </c>
      <c r="AB50" s="13"/>
      <c r="AC50" s="41" t="str">
        <f aca="true">IFERROR(IF(AD$4="","",MATCH(AD$4&amp;"|"&amp;45,INDIRECT($AZ$1&amp;"$J$5:$J$164"),0)),"")</f>
        <v/>
      </c>
      <c r="AD50" s="91" t="str">
        <f aca="true">IF(AC50="","",SUBSTITUTE(INDEX(INDIRECT($AZ$1&amp;"$A$5:$A$164"),AC50),"組","")&amp;"-"&amp;INDEX(INDIRECT($AZ$1&amp;"$B$5:$B$164"),AC50))</f>
        <v/>
      </c>
      <c r="AE50" s="59" t="str">
        <f aca="true">IF(AC50="","",INDEX(INDIRECT($AZ$1&amp;"$C$5:$C$164"),AC50))</f>
        <v/>
      </c>
      <c r="AF50" s="61" t="str">
        <f aca="true">IF(AC50="","",INDEX(INDIRECT($AZ$1&amp;"$F$5:$F$164"),AC50)&amp;"")</f>
        <v/>
      </c>
      <c r="AG50" s="61" t="str">
        <f aca="true">IF(AC50="","",INDEX(INDIRECT($AZ$1&amp;"$G$5:$G$164"),AC50)&amp;"")</f>
        <v/>
      </c>
      <c r="AH50" s="61" t="str">
        <f aca="true">IF(AC50="","",INDEX(INDIRECT($AZ$1&amp;"$H$5:$H$164"),AC50)&amp;"")</f>
        <v/>
      </c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</row>
  </sheetData>
  <sheetProtection sheet="true" formatColumns="false" formatRows="false"/>
  <mergeCells count="17">
    <mergeCell ref="A1:AI1"/>
    <mergeCell ref="D2:AI2"/>
    <mergeCell ref="B4:C4"/>
    <mergeCell ref="D4:F4"/>
    <mergeCell ref="I4:J4"/>
    <mergeCell ref="K4:M4"/>
    <mergeCell ref="P4:Q4"/>
    <mergeCell ref="R4:T4"/>
    <mergeCell ref="W4:X4"/>
    <mergeCell ref="Y4:AA4"/>
    <mergeCell ref="AD4:AE4"/>
    <mergeCell ref="AF4:AH4"/>
    <mergeCell ref="B5:C5"/>
    <mergeCell ref="I5:J5"/>
    <mergeCell ref="P5:Q5"/>
    <mergeCell ref="W5:X5"/>
    <mergeCell ref="AD5:AE5"/>
  </mergeCells>
  <conditionalFormatting sqref="B4:F5">
    <cfRule type="expression" priority="2" aboveAverage="0" equalAverage="0" bottom="0" percent="0" rank="0" text="" dxfId="14">
      <formula>$B$4=""</formula>
    </cfRule>
  </conditionalFormatting>
  <conditionalFormatting sqref="D6:F50">
    <cfRule type="expression" priority="3" aboveAverage="0" equalAverage="0" bottom="0" percent="0" rank="0" text="" dxfId="12">
      <formula>AND(D6&lt;&gt;"",D6=設定!$G$10)</formula>
    </cfRule>
    <cfRule type="expression" priority="4" aboveAverage="0" equalAverage="0" bottom="0" percent="0" rank="0" text="" dxfId="15">
      <formula>AND(D6&lt;&gt;"",D6=設定!$G$8,MOD(ROW(),2)=1)</formula>
    </cfRule>
    <cfRule type="expression" priority="5" aboveAverage="0" equalAverage="0" bottom="0" percent="0" rank="0" text="" dxfId="16">
      <formula>AND(D6&lt;&gt;"",D6=設定!$G$8)</formula>
    </cfRule>
    <cfRule type="expression" priority="6" aboveAverage="0" equalAverage="0" bottom="0" percent="0" rank="0" text="" dxfId="17">
      <formula>AND($B6&lt;&gt;"",MOD(ROW(),2)=1)</formula>
    </cfRule>
    <cfRule type="expression" priority="7" aboveAverage="0" equalAverage="0" bottom="0" percent="0" rank="0" text="" dxfId="8">
      <formula>$B6&lt;&gt;""</formula>
    </cfRule>
  </conditionalFormatting>
  <conditionalFormatting sqref="B6:C50">
    <cfRule type="expression" priority="8" aboveAverage="0" equalAverage="0" bottom="0" percent="0" rank="0" text="" dxfId="17">
      <formula>AND($B6&lt;&gt;"",MOD(ROW(),2)=1)</formula>
    </cfRule>
    <cfRule type="expression" priority="9" aboveAverage="0" equalAverage="0" bottom="0" percent="0" rank="0" text="" dxfId="8">
      <formula>$B6&lt;&gt;""</formula>
    </cfRule>
  </conditionalFormatting>
  <conditionalFormatting sqref="I4:M5">
    <cfRule type="expression" priority="10" aboveAverage="0" equalAverage="0" bottom="0" percent="0" rank="0" text="" dxfId="14">
      <formula>$I$4=""</formula>
    </cfRule>
  </conditionalFormatting>
  <conditionalFormatting sqref="K6:M50">
    <cfRule type="expression" priority="11" aboveAverage="0" equalAverage="0" bottom="0" percent="0" rank="0" text="" dxfId="12">
      <formula>AND(K6&lt;&gt;"",K6=設定!$G$10)</formula>
    </cfRule>
    <cfRule type="expression" priority="12" aboveAverage="0" equalAverage="0" bottom="0" percent="0" rank="0" text="" dxfId="15">
      <formula>AND(K6&lt;&gt;"",K6=設定!$G$8,MOD(ROW(),2)=1)</formula>
    </cfRule>
    <cfRule type="expression" priority="13" aboveAverage="0" equalAverage="0" bottom="0" percent="0" rank="0" text="" dxfId="16">
      <formula>AND(K6&lt;&gt;"",K6=設定!$G$8)</formula>
    </cfRule>
    <cfRule type="expression" priority="14" aboveAverage="0" equalAverage="0" bottom="0" percent="0" rank="0" text="" dxfId="17">
      <formula>AND($I6&lt;&gt;"",MOD(ROW(),2)=1)</formula>
    </cfRule>
    <cfRule type="expression" priority="15" aboveAverage="0" equalAverage="0" bottom="0" percent="0" rank="0" text="" dxfId="8">
      <formula>$I6&lt;&gt;""</formula>
    </cfRule>
  </conditionalFormatting>
  <conditionalFormatting sqref="I6:J50">
    <cfRule type="expression" priority="16" aboveAverage="0" equalAverage="0" bottom="0" percent="0" rank="0" text="" dxfId="17">
      <formula>AND($I6&lt;&gt;"",MOD(ROW(),2)=1)</formula>
    </cfRule>
    <cfRule type="expression" priority="17" aboveAverage="0" equalAverage="0" bottom="0" percent="0" rank="0" text="" dxfId="8">
      <formula>$I6&lt;&gt;""</formula>
    </cfRule>
  </conditionalFormatting>
  <conditionalFormatting sqref="P4:T5">
    <cfRule type="expression" priority="18" aboveAverage="0" equalAverage="0" bottom="0" percent="0" rank="0" text="" dxfId="14">
      <formula>$P$4=""</formula>
    </cfRule>
  </conditionalFormatting>
  <conditionalFormatting sqref="R6:T50">
    <cfRule type="expression" priority="19" aboveAverage="0" equalAverage="0" bottom="0" percent="0" rank="0" text="" dxfId="12">
      <formula>AND(R6&lt;&gt;"",R6=設定!$G$10)</formula>
    </cfRule>
    <cfRule type="expression" priority="20" aboveAverage="0" equalAverage="0" bottom="0" percent="0" rank="0" text="" dxfId="15">
      <formula>AND(R6&lt;&gt;"",R6=設定!$G$8,MOD(ROW(),2)=1)</formula>
    </cfRule>
    <cfRule type="expression" priority="21" aboveAverage="0" equalAverage="0" bottom="0" percent="0" rank="0" text="" dxfId="16">
      <formula>AND(R6&lt;&gt;"",R6=設定!$G$8)</formula>
    </cfRule>
    <cfRule type="expression" priority="22" aboveAverage="0" equalAverage="0" bottom="0" percent="0" rank="0" text="" dxfId="17">
      <formula>AND($P6&lt;&gt;"",MOD(ROW(),2)=1)</formula>
    </cfRule>
    <cfRule type="expression" priority="23" aboveAverage="0" equalAverage="0" bottom="0" percent="0" rank="0" text="" dxfId="8">
      <formula>$P6&lt;&gt;""</formula>
    </cfRule>
  </conditionalFormatting>
  <conditionalFormatting sqref="P6:Q50">
    <cfRule type="expression" priority="24" aboveAverage="0" equalAverage="0" bottom="0" percent="0" rank="0" text="" dxfId="17">
      <formula>AND($P6&lt;&gt;"",MOD(ROW(),2)=1)</formula>
    </cfRule>
    <cfRule type="expression" priority="25" aboveAverage="0" equalAverage="0" bottom="0" percent="0" rank="0" text="" dxfId="8">
      <formula>$P6&lt;&gt;""</formula>
    </cfRule>
  </conditionalFormatting>
  <conditionalFormatting sqref="W4:AA5">
    <cfRule type="expression" priority="26" aboveAverage="0" equalAverage="0" bottom="0" percent="0" rank="0" text="" dxfId="14">
      <formula>$W$4=""</formula>
    </cfRule>
  </conditionalFormatting>
  <conditionalFormatting sqref="Y6:AA50">
    <cfRule type="expression" priority="27" aboveAverage="0" equalAverage="0" bottom="0" percent="0" rank="0" text="" dxfId="12">
      <formula>AND(Y6&lt;&gt;"",Y6=設定!$G$10)</formula>
    </cfRule>
    <cfRule type="expression" priority="28" aboveAverage="0" equalAverage="0" bottom="0" percent="0" rank="0" text="" dxfId="15">
      <formula>AND(Y6&lt;&gt;"",Y6=設定!$G$8,MOD(ROW(),2)=1)</formula>
    </cfRule>
    <cfRule type="expression" priority="29" aboveAverage="0" equalAverage="0" bottom="0" percent="0" rank="0" text="" dxfId="16">
      <formula>AND(Y6&lt;&gt;"",Y6=設定!$G$8)</formula>
    </cfRule>
    <cfRule type="expression" priority="30" aboveAverage="0" equalAverage="0" bottom="0" percent="0" rank="0" text="" dxfId="17">
      <formula>AND($W6&lt;&gt;"",MOD(ROW(),2)=1)</formula>
    </cfRule>
    <cfRule type="expression" priority="31" aboveAverage="0" equalAverage="0" bottom="0" percent="0" rank="0" text="" dxfId="8">
      <formula>$W6&lt;&gt;""</formula>
    </cfRule>
  </conditionalFormatting>
  <conditionalFormatting sqref="W6:X50">
    <cfRule type="expression" priority="32" aboveAverage="0" equalAverage="0" bottom="0" percent="0" rank="0" text="" dxfId="17">
      <formula>AND($W6&lt;&gt;"",MOD(ROW(),2)=1)</formula>
    </cfRule>
    <cfRule type="expression" priority="33" aboveAverage="0" equalAverage="0" bottom="0" percent="0" rank="0" text="" dxfId="8">
      <formula>$W6&lt;&gt;""</formula>
    </cfRule>
  </conditionalFormatting>
  <conditionalFormatting sqref="AD4:AH5">
    <cfRule type="expression" priority="34" aboveAverage="0" equalAverage="0" bottom="0" percent="0" rank="0" text="" dxfId="14">
      <formula>$AD$4=""</formula>
    </cfRule>
  </conditionalFormatting>
  <conditionalFormatting sqref="AF6:AH50">
    <cfRule type="expression" priority="35" aboveAverage="0" equalAverage="0" bottom="0" percent="0" rank="0" text="" dxfId="12">
      <formula>AND(AF6&lt;&gt;"",AF6=設定!$G$10)</formula>
    </cfRule>
    <cfRule type="expression" priority="36" aboveAverage="0" equalAverage="0" bottom="0" percent="0" rank="0" text="" dxfId="15">
      <formula>AND(AF6&lt;&gt;"",AF6=設定!$G$8,MOD(ROW(),2)=1)</formula>
    </cfRule>
    <cfRule type="expression" priority="37" aboveAverage="0" equalAverage="0" bottom="0" percent="0" rank="0" text="" dxfId="16">
      <formula>AND(AF6&lt;&gt;"",AF6=設定!$G$8)</formula>
    </cfRule>
    <cfRule type="expression" priority="38" aboveAverage="0" equalAverage="0" bottom="0" percent="0" rank="0" text="" dxfId="17">
      <formula>AND($AD6&lt;&gt;"",MOD(ROW(),2)=1)</formula>
    </cfRule>
    <cfRule type="expression" priority="39" aboveAverage="0" equalAverage="0" bottom="0" percent="0" rank="0" text="" dxfId="8">
      <formula>$AD6&lt;&gt;""</formula>
    </cfRule>
  </conditionalFormatting>
  <conditionalFormatting sqref="AD6:AE50">
    <cfRule type="expression" priority="40" aboveAverage="0" equalAverage="0" bottom="0" percent="0" rank="0" text="" dxfId="17">
      <formula>AND($AD6&lt;&gt;"",MOD(ROW(),2)=1)</formula>
    </cfRule>
    <cfRule type="expression" priority="41" aboveAverage="0" equalAverage="0" bottom="0" percent="0" rank="0" text="" dxfId="8">
      <formula>$AD6&lt;&gt;""</formula>
    </cfRule>
  </conditionalFormatting>
  <dataValidations count="1">
    <dataValidation allowBlank="false" error="一覧から選んでください。" errorStyle="stop" errorTitle="入力エラー" operator="between" showDropDown="false" showErrorMessage="true" showInputMessage="false" sqref="C2" type="list">
      <formula1>"1,2,3,4,5,6,7,8,9,10,11,12,13,14,15,16,17,18,19,20"</formula1>
      <formula2>0</formula2>
    </dataValidation>
  </dataValidations>
  <printOptions headings="false" gridLines="false" gridLinesSet="true" horizontalCentered="true" verticalCentered="false"/>
  <pageMargins left="0.3" right="0.3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X51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pane xSplit="16" ySplit="6" topLeftCell="Q7" activePane="bottomRight" state="frozen"/>
      <selection pane="topLeft" activeCell="A1" activeCellId="0" sqref="A1"/>
      <selection pane="topRight" activeCell="Q1" activeCellId="0" sqref="Q1"/>
      <selection pane="bottomLeft" activeCell="A7" activeCellId="0" sqref="A7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"/>
    <col collapsed="false" customWidth="true" hidden="false" outlineLevel="0" max="2" min="2" style="0" width="16"/>
    <col collapsed="false" customWidth="true" hidden="true" outlineLevel="0" max="3" min="3" style="0" width="13"/>
    <col collapsed="false" customWidth="true" hidden="false" outlineLevel="0" max="12" min="4" style="0" width="4"/>
    <col collapsed="false" customWidth="true" hidden="false" outlineLevel="0" max="15" min="13" style="0" width="4.5"/>
    <col collapsed="false" customWidth="true" hidden="false" outlineLevel="0" max="16" min="16" style="0" width="2"/>
    <col collapsed="false" customWidth="true" hidden="false" outlineLevel="0" max="76" min="17" style="0" width="3.8"/>
  </cols>
  <sheetData>
    <row r="1" customFormat="false" ht="33.75" hidden="false" customHeight="true" outlineLevel="0" collapsed="false">
      <c r="A1" s="14" t="s">
        <v>143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</row>
    <row r="2" customFormat="false" ht="27.75" hidden="false" customHeight="true" outlineLevel="0" collapsed="false">
      <c r="A2" s="16" t="s">
        <v>121</v>
      </c>
      <c r="B2" s="69" t="s">
        <v>144</v>
      </c>
      <c r="C2" s="13"/>
      <c r="D2" s="16" t="s">
        <v>72</v>
      </c>
      <c r="E2" s="16"/>
      <c r="F2" s="92" t="s">
        <v>79</v>
      </c>
      <c r="G2" s="92"/>
      <c r="H2" s="92"/>
      <c r="I2" s="35" t="s">
        <v>145</v>
      </c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</row>
    <row r="3" customFormat="false" ht="15" hidden="true" customHeight="false" outlineLevel="0" collapsed="false">
      <c r="A3" s="13"/>
      <c r="B3" s="13"/>
      <c r="C3" s="13"/>
      <c r="D3" s="68" t="str">
        <f aca="false">設定!$I$8</f>
        <v>知</v>
      </c>
      <c r="E3" s="68" t="str">
        <f aca="false">設定!$I$8</f>
        <v>知</v>
      </c>
      <c r="F3" s="68" t="str">
        <f aca="false">設定!$I$8</f>
        <v>知</v>
      </c>
      <c r="G3" s="68" t="str">
        <f aca="false">設定!$I$9</f>
        <v>思</v>
      </c>
      <c r="H3" s="68" t="str">
        <f aca="false">設定!$I$9</f>
        <v>思</v>
      </c>
      <c r="I3" s="68" t="str">
        <f aca="false">設定!$I$9</f>
        <v>思</v>
      </c>
      <c r="J3" s="68" t="str">
        <f aca="false">設定!$I$10</f>
        <v>態</v>
      </c>
      <c r="K3" s="68" t="str">
        <f aca="false">設定!$I$10</f>
        <v>態</v>
      </c>
      <c r="L3" s="68" t="str">
        <f aca="false">設定!$I$10</f>
        <v>態</v>
      </c>
      <c r="M3" s="13"/>
      <c r="N3" s="13"/>
      <c r="O3" s="13"/>
      <c r="P3" s="13"/>
      <c r="Q3" s="68" t="str">
        <f aca="false">設定!$C$17&amp;""</f>
        <v/>
      </c>
      <c r="R3" s="68" t="str">
        <f aca="false">設定!$C$17&amp;""</f>
        <v/>
      </c>
      <c r="S3" s="68" t="str">
        <f aca="false">設定!$C$17&amp;""</f>
        <v/>
      </c>
      <c r="T3" s="68" t="str">
        <f aca="false">設定!$C$18&amp;""</f>
        <v/>
      </c>
      <c r="U3" s="68" t="str">
        <f aca="false">設定!$C$18&amp;""</f>
        <v/>
      </c>
      <c r="V3" s="68" t="str">
        <f aca="false">設定!$C$18&amp;""</f>
        <v/>
      </c>
      <c r="W3" s="68" t="str">
        <f aca="false">設定!$C$19&amp;""</f>
        <v/>
      </c>
      <c r="X3" s="68" t="str">
        <f aca="false">設定!$C$19&amp;""</f>
        <v/>
      </c>
      <c r="Y3" s="68" t="str">
        <f aca="false">設定!$C$19&amp;""</f>
        <v/>
      </c>
      <c r="Z3" s="68" t="str">
        <f aca="false">設定!$C$20&amp;""</f>
        <v/>
      </c>
      <c r="AA3" s="68" t="str">
        <f aca="false">設定!$C$20&amp;""</f>
        <v/>
      </c>
      <c r="AB3" s="68" t="str">
        <f aca="false">設定!$C$20&amp;""</f>
        <v/>
      </c>
      <c r="AC3" s="68" t="str">
        <f aca="false">設定!$C$21&amp;""</f>
        <v/>
      </c>
      <c r="AD3" s="68" t="str">
        <f aca="false">設定!$C$21&amp;""</f>
        <v/>
      </c>
      <c r="AE3" s="68" t="str">
        <f aca="false">設定!$C$21&amp;""</f>
        <v/>
      </c>
      <c r="AF3" s="68" t="str">
        <f aca="false">設定!$C$22&amp;""</f>
        <v/>
      </c>
      <c r="AG3" s="68" t="str">
        <f aca="false">設定!$C$22&amp;""</f>
        <v/>
      </c>
      <c r="AH3" s="68" t="str">
        <f aca="false">設定!$C$22&amp;""</f>
        <v/>
      </c>
      <c r="AI3" s="68" t="str">
        <f aca="false">設定!$C$23&amp;""</f>
        <v/>
      </c>
      <c r="AJ3" s="68" t="str">
        <f aca="false">設定!$C$23&amp;""</f>
        <v/>
      </c>
      <c r="AK3" s="68" t="str">
        <f aca="false">設定!$C$23&amp;""</f>
        <v/>
      </c>
      <c r="AL3" s="68" t="str">
        <f aca="false">設定!$C$24&amp;""</f>
        <v/>
      </c>
      <c r="AM3" s="68" t="str">
        <f aca="false">設定!$C$24&amp;""</f>
        <v/>
      </c>
      <c r="AN3" s="68" t="str">
        <f aca="false">設定!$C$24&amp;""</f>
        <v/>
      </c>
      <c r="AO3" s="68" t="str">
        <f aca="false">設定!$C$25&amp;""</f>
        <v/>
      </c>
      <c r="AP3" s="68" t="str">
        <f aca="false">設定!$C$25&amp;""</f>
        <v/>
      </c>
      <c r="AQ3" s="68" t="str">
        <f aca="false">設定!$C$25&amp;""</f>
        <v/>
      </c>
      <c r="AR3" s="68" t="str">
        <f aca="false">設定!$C$26&amp;""</f>
        <v/>
      </c>
      <c r="AS3" s="68" t="str">
        <f aca="false">設定!$C$26&amp;""</f>
        <v/>
      </c>
      <c r="AT3" s="68" t="str">
        <f aca="false">設定!$C$26&amp;""</f>
        <v/>
      </c>
      <c r="AU3" s="68" t="str">
        <f aca="false">設定!$C$27&amp;""</f>
        <v/>
      </c>
      <c r="AV3" s="68" t="str">
        <f aca="false">設定!$C$27&amp;""</f>
        <v/>
      </c>
      <c r="AW3" s="68" t="str">
        <f aca="false">設定!$C$27&amp;""</f>
        <v/>
      </c>
      <c r="AX3" s="68" t="str">
        <f aca="false">設定!$C$28&amp;""</f>
        <v/>
      </c>
      <c r="AY3" s="68" t="str">
        <f aca="false">設定!$C$28&amp;""</f>
        <v/>
      </c>
      <c r="AZ3" s="68" t="str">
        <f aca="false">設定!$C$28&amp;""</f>
        <v/>
      </c>
      <c r="BA3" s="68" t="str">
        <f aca="false">設定!$C$29&amp;""</f>
        <v/>
      </c>
      <c r="BB3" s="68" t="str">
        <f aca="false">設定!$C$29&amp;""</f>
        <v/>
      </c>
      <c r="BC3" s="68" t="str">
        <f aca="false">設定!$C$29&amp;""</f>
        <v/>
      </c>
      <c r="BD3" s="68" t="str">
        <f aca="false">設定!$C$30&amp;""</f>
        <v/>
      </c>
      <c r="BE3" s="68" t="str">
        <f aca="false">設定!$C$30&amp;""</f>
        <v/>
      </c>
      <c r="BF3" s="68" t="str">
        <f aca="false">設定!$C$30&amp;""</f>
        <v/>
      </c>
      <c r="BG3" s="68" t="str">
        <f aca="false">設定!$C$31&amp;""</f>
        <v/>
      </c>
      <c r="BH3" s="68" t="str">
        <f aca="false">設定!$C$31&amp;""</f>
        <v/>
      </c>
      <c r="BI3" s="68" t="str">
        <f aca="false">設定!$C$31&amp;""</f>
        <v/>
      </c>
      <c r="BJ3" s="68" t="str">
        <f aca="false">設定!$C$32&amp;""</f>
        <v/>
      </c>
      <c r="BK3" s="68" t="str">
        <f aca="false">設定!$C$32&amp;""</f>
        <v/>
      </c>
      <c r="BL3" s="68" t="str">
        <f aca="false">設定!$C$32&amp;""</f>
        <v/>
      </c>
      <c r="BM3" s="68" t="str">
        <f aca="false">設定!$C$33&amp;""</f>
        <v/>
      </c>
      <c r="BN3" s="68" t="str">
        <f aca="false">設定!$C$33&amp;""</f>
        <v/>
      </c>
      <c r="BO3" s="68" t="str">
        <f aca="false">設定!$C$33&amp;""</f>
        <v/>
      </c>
      <c r="BP3" s="68" t="str">
        <f aca="false">設定!$C$34&amp;""</f>
        <v/>
      </c>
      <c r="BQ3" s="68" t="str">
        <f aca="false">設定!$C$34&amp;""</f>
        <v/>
      </c>
      <c r="BR3" s="68" t="str">
        <f aca="false">設定!$C$34&amp;""</f>
        <v/>
      </c>
      <c r="BS3" s="68" t="str">
        <f aca="false">設定!$C$35&amp;""</f>
        <v/>
      </c>
      <c r="BT3" s="68" t="str">
        <f aca="false">設定!$C$35&amp;""</f>
        <v/>
      </c>
      <c r="BU3" s="68" t="str">
        <f aca="false">設定!$C$35&amp;""</f>
        <v/>
      </c>
      <c r="BV3" s="68" t="str">
        <f aca="false">設定!$C$36&amp;""</f>
        <v/>
      </c>
      <c r="BW3" s="68" t="str">
        <f aca="false">設定!$C$36&amp;""</f>
        <v/>
      </c>
      <c r="BX3" s="68" t="str">
        <f aca="false">設定!$C$36&amp;""</f>
        <v/>
      </c>
    </row>
    <row r="4" customFormat="false" ht="42" hidden="false" customHeight="true" outlineLevel="0" collapsed="false">
      <c r="A4" s="47" t="s">
        <v>122</v>
      </c>
      <c r="B4" s="47" t="s">
        <v>123</v>
      </c>
      <c r="D4" s="93" t="str">
        <f aca="false">"A・B・Cの数（"&amp;IF(($F$2&amp;"")="通年","通年",($F$2&amp;"")&amp;IF(ISNUMBER($F$2),"学期",""))&amp;"）"</f>
        <v>A・B・Cの数（通年）</v>
      </c>
      <c r="E4" s="93"/>
      <c r="F4" s="93"/>
      <c r="G4" s="93"/>
      <c r="H4" s="93"/>
      <c r="I4" s="93"/>
      <c r="J4" s="93"/>
      <c r="K4" s="93"/>
      <c r="L4" s="93"/>
      <c r="M4" s="94" t="s">
        <v>146</v>
      </c>
      <c r="N4" s="94"/>
      <c r="O4" s="94"/>
      <c r="Q4" s="95" t="str">
        <f aca="false">"1"&amp;IF(設定!$D$17="","",CHAR(10)&amp;設定!$D$17)</f>
        <v>1</v>
      </c>
      <c r="R4" s="95"/>
      <c r="S4" s="95"/>
      <c r="T4" s="96" t="str">
        <f aca="false">"2"&amp;IF(設定!$D$18="","",CHAR(10)&amp;設定!$D$18)</f>
        <v>2</v>
      </c>
      <c r="U4" s="96"/>
      <c r="V4" s="96"/>
      <c r="W4" s="95" t="str">
        <f aca="false">"3"&amp;IF(設定!$D$19="","",CHAR(10)&amp;設定!$D$19)</f>
        <v>3</v>
      </c>
      <c r="X4" s="95"/>
      <c r="Y4" s="95"/>
      <c r="Z4" s="96" t="str">
        <f aca="false">"4"&amp;IF(設定!$D$20="","",CHAR(10)&amp;設定!$D$20)</f>
        <v>4</v>
      </c>
      <c r="AA4" s="96"/>
      <c r="AB4" s="96"/>
      <c r="AC4" s="95" t="str">
        <f aca="false">"5"&amp;IF(設定!$D$21="","",CHAR(10)&amp;設定!$D$21)</f>
        <v>5</v>
      </c>
      <c r="AD4" s="95"/>
      <c r="AE4" s="95"/>
      <c r="AF4" s="96" t="str">
        <f aca="false">"6"&amp;IF(設定!$D$22="","",CHAR(10)&amp;設定!$D$22)</f>
        <v>6</v>
      </c>
      <c r="AG4" s="96"/>
      <c r="AH4" s="96"/>
      <c r="AI4" s="95" t="str">
        <f aca="false">"7"&amp;IF(設定!$D$23="","",CHAR(10)&amp;設定!$D$23)</f>
        <v>7</v>
      </c>
      <c r="AJ4" s="95"/>
      <c r="AK4" s="95"/>
      <c r="AL4" s="96" t="str">
        <f aca="false">"8"&amp;IF(設定!$D$24="","",CHAR(10)&amp;設定!$D$24)</f>
        <v>8</v>
      </c>
      <c r="AM4" s="96"/>
      <c r="AN4" s="96"/>
      <c r="AO4" s="95" t="str">
        <f aca="false">"9"&amp;IF(設定!$D$25="","",CHAR(10)&amp;設定!$D$25)</f>
        <v>9</v>
      </c>
      <c r="AP4" s="95"/>
      <c r="AQ4" s="95"/>
      <c r="AR4" s="96" t="str">
        <f aca="false">"10"&amp;IF(設定!$D$26="","",CHAR(10)&amp;設定!$D$26)</f>
        <v>10</v>
      </c>
      <c r="AS4" s="96"/>
      <c r="AT4" s="96"/>
      <c r="AU4" s="95" t="str">
        <f aca="false">"11"&amp;IF(設定!$D$27="","",CHAR(10)&amp;設定!$D$27)</f>
        <v>11</v>
      </c>
      <c r="AV4" s="95"/>
      <c r="AW4" s="95"/>
      <c r="AX4" s="96" t="str">
        <f aca="false">"12"&amp;IF(設定!$D$28="","",CHAR(10)&amp;設定!$D$28)</f>
        <v>12</v>
      </c>
      <c r="AY4" s="96"/>
      <c r="AZ4" s="96"/>
      <c r="BA4" s="95" t="str">
        <f aca="false">"13"&amp;IF(設定!$D$29="","",CHAR(10)&amp;設定!$D$29)</f>
        <v>13</v>
      </c>
      <c r="BB4" s="95"/>
      <c r="BC4" s="95"/>
      <c r="BD4" s="96" t="str">
        <f aca="false">"14"&amp;IF(設定!$D$30="","",CHAR(10)&amp;設定!$D$30)</f>
        <v>14</v>
      </c>
      <c r="BE4" s="96"/>
      <c r="BF4" s="96"/>
      <c r="BG4" s="95" t="str">
        <f aca="false">"15"&amp;IF(設定!$D$31="","",CHAR(10)&amp;設定!$D$31)</f>
        <v>15</v>
      </c>
      <c r="BH4" s="95"/>
      <c r="BI4" s="95"/>
      <c r="BJ4" s="96" t="str">
        <f aca="false">"16"&amp;IF(設定!$D$32="","",CHAR(10)&amp;設定!$D$32)</f>
        <v>16</v>
      </c>
      <c r="BK4" s="96"/>
      <c r="BL4" s="96"/>
      <c r="BM4" s="95" t="str">
        <f aca="false">"17"&amp;IF(設定!$D$33="","",CHAR(10)&amp;設定!$D$33)</f>
        <v>17</v>
      </c>
      <c r="BN4" s="95"/>
      <c r="BO4" s="95"/>
      <c r="BP4" s="96" t="str">
        <f aca="false">"18"&amp;IF(設定!$D$34="","",CHAR(10)&amp;設定!$D$34)</f>
        <v>18</v>
      </c>
      <c r="BQ4" s="96"/>
      <c r="BR4" s="96"/>
      <c r="BS4" s="95" t="str">
        <f aca="false">"19"&amp;IF(設定!$D$35="","",CHAR(10)&amp;設定!$D$35)</f>
        <v>19</v>
      </c>
      <c r="BT4" s="95"/>
      <c r="BU4" s="95"/>
      <c r="BV4" s="96" t="str">
        <f aca="false">"20"&amp;IF(設定!$D$36="","",CHAR(10)&amp;設定!$D$36)</f>
        <v>20</v>
      </c>
      <c r="BW4" s="96"/>
      <c r="BX4" s="96"/>
    </row>
    <row r="5" customFormat="false" ht="18" hidden="false" customHeight="true" outlineLevel="0" collapsed="false">
      <c r="A5" s="47"/>
      <c r="B5" s="47"/>
      <c r="C5" s="13"/>
      <c r="D5" s="97" t="str">
        <f aca="false">設定!$I$8</f>
        <v>知</v>
      </c>
      <c r="E5" s="97"/>
      <c r="F5" s="97"/>
      <c r="G5" s="97" t="str">
        <f aca="false">設定!$I$9</f>
        <v>思</v>
      </c>
      <c r="H5" s="97"/>
      <c r="I5" s="97"/>
      <c r="J5" s="97" t="str">
        <f aca="false">設定!$I$10</f>
        <v>態</v>
      </c>
      <c r="K5" s="97"/>
      <c r="L5" s="97"/>
      <c r="M5" s="98" t="str">
        <f aca="false">IF(($F$2&amp;"")="通年","（通年）","（"&amp;($F$2&amp;"")&amp;IF(ISNUMBER($F$2),"学期","")&amp;"）")</f>
        <v>（通年）</v>
      </c>
      <c r="N5" s="98"/>
      <c r="O5" s="98"/>
      <c r="P5" s="13"/>
      <c r="Q5" s="99" t="str">
        <f aca="false">IF(設定!$C$17="","",設定!$C$17&amp;IF(ISNUMBER(設定!$C$17),"学期",""))</f>
        <v/>
      </c>
      <c r="R5" s="99"/>
      <c r="S5" s="99"/>
      <c r="T5" s="99" t="str">
        <f aca="false">IF(設定!$C$18="","",設定!$C$18&amp;IF(ISNUMBER(設定!$C$18),"学期",""))</f>
        <v/>
      </c>
      <c r="U5" s="99"/>
      <c r="V5" s="99"/>
      <c r="W5" s="99" t="str">
        <f aca="false">IF(設定!$C$19="","",設定!$C$19&amp;IF(ISNUMBER(設定!$C$19),"学期",""))</f>
        <v/>
      </c>
      <c r="X5" s="99"/>
      <c r="Y5" s="99"/>
      <c r="Z5" s="99" t="str">
        <f aca="false">IF(設定!$C$20="","",設定!$C$20&amp;IF(ISNUMBER(設定!$C$20),"学期",""))</f>
        <v/>
      </c>
      <c r="AA5" s="99"/>
      <c r="AB5" s="99"/>
      <c r="AC5" s="99" t="str">
        <f aca="false">IF(設定!$C$21="","",設定!$C$21&amp;IF(ISNUMBER(設定!$C$21),"学期",""))</f>
        <v/>
      </c>
      <c r="AD5" s="99"/>
      <c r="AE5" s="99"/>
      <c r="AF5" s="99" t="str">
        <f aca="false">IF(設定!$C$22="","",設定!$C$22&amp;IF(ISNUMBER(設定!$C$22),"学期",""))</f>
        <v/>
      </c>
      <c r="AG5" s="99"/>
      <c r="AH5" s="99"/>
      <c r="AI5" s="99" t="str">
        <f aca="false">IF(設定!$C$23="","",設定!$C$23&amp;IF(ISNUMBER(設定!$C$23),"学期",""))</f>
        <v/>
      </c>
      <c r="AJ5" s="99"/>
      <c r="AK5" s="99"/>
      <c r="AL5" s="99" t="str">
        <f aca="false">IF(設定!$C$24="","",設定!$C$24&amp;IF(ISNUMBER(設定!$C$24),"学期",""))</f>
        <v/>
      </c>
      <c r="AM5" s="99"/>
      <c r="AN5" s="99"/>
      <c r="AO5" s="99" t="str">
        <f aca="false">IF(設定!$C$25="","",設定!$C$25&amp;IF(ISNUMBER(設定!$C$25),"学期",""))</f>
        <v/>
      </c>
      <c r="AP5" s="99"/>
      <c r="AQ5" s="99"/>
      <c r="AR5" s="99" t="str">
        <f aca="false">IF(設定!$C$26="","",設定!$C$26&amp;IF(ISNUMBER(設定!$C$26),"学期",""))</f>
        <v/>
      </c>
      <c r="AS5" s="99"/>
      <c r="AT5" s="99"/>
      <c r="AU5" s="99" t="str">
        <f aca="false">IF(設定!$C$27="","",設定!$C$27&amp;IF(ISNUMBER(設定!$C$27),"学期",""))</f>
        <v/>
      </c>
      <c r="AV5" s="99"/>
      <c r="AW5" s="99"/>
      <c r="AX5" s="99" t="str">
        <f aca="false">IF(設定!$C$28="","",設定!$C$28&amp;IF(ISNUMBER(設定!$C$28),"学期",""))</f>
        <v/>
      </c>
      <c r="AY5" s="99"/>
      <c r="AZ5" s="99"/>
      <c r="BA5" s="99" t="str">
        <f aca="false">IF(設定!$C$29="","",設定!$C$29&amp;IF(ISNUMBER(設定!$C$29),"学期",""))</f>
        <v/>
      </c>
      <c r="BB5" s="99"/>
      <c r="BC5" s="99"/>
      <c r="BD5" s="99" t="str">
        <f aca="false">IF(設定!$C$30="","",設定!$C$30&amp;IF(ISNUMBER(設定!$C$30),"学期",""))</f>
        <v/>
      </c>
      <c r="BE5" s="99"/>
      <c r="BF5" s="99"/>
      <c r="BG5" s="99" t="str">
        <f aca="false">IF(設定!$C$31="","",設定!$C$31&amp;IF(ISNUMBER(設定!$C$31),"学期",""))</f>
        <v/>
      </c>
      <c r="BH5" s="99"/>
      <c r="BI5" s="99"/>
      <c r="BJ5" s="99" t="str">
        <f aca="false">IF(設定!$C$32="","",設定!$C$32&amp;IF(ISNUMBER(設定!$C$32),"学期",""))</f>
        <v/>
      </c>
      <c r="BK5" s="99"/>
      <c r="BL5" s="99"/>
      <c r="BM5" s="99" t="str">
        <f aca="false">IF(設定!$C$33="","",設定!$C$33&amp;IF(ISNUMBER(設定!$C$33),"学期",""))</f>
        <v/>
      </c>
      <c r="BN5" s="99"/>
      <c r="BO5" s="99"/>
      <c r="BP5" s="99" t="str">
        <f aca="false">IF(設定!$C$34="","",設定!$C$34&amp;IF(ISNUMBER(設定!$C$34),"学期",""))</f>
        <v/>
      </c>
      <c r="BQ5" s="99"/>
      <c r="BR5" s="99"/>
      <c r="BS5" s="99" t="str">
        <f aca="false">IF(設定!$C$35="","",設定!$C$35&amp;IF(ISNUMBER(設定!$C$35),"学期",""))</f>
        <v/>
      </c>
      <c r="BT5" s="99"/>
      <c r="BU5" s="99"/>
      <c r="BV5" s="99" t="str">
        <f aca="false">IF(設定!$C$36="","",設定!$C$36&amp;IF(ISNUMBER(設定!$C$36),"学期",""))</f>
        <v/>
      </c>
      <c r="BW5" s="99"/>
      <c r="BX5" s="99"/>
    </row>
    <row r="6" customFormat="false" ht="19.5" hidden="false" customHeight="true" outlineLevel="0" collapsed="false">
      <c r="A6" s="47"/>
      <c r="B6" s="47"/>
      <c r="C6" s="13"/>
      <c r="D6" s="100" t="str">
        <f aca="false">設定!$G$8&amp;""</f>
        <v>A</v>
      </c>
      <c r="E6" s="100" t="str">
        <f aca="false">設定!$G$9&amp;""</f>
        <v>B</v>
      </c>
      <c r="F6" s="100" t="str">
        <f aca="false">設定!$G$10&amp;""</f>
        <v>C</v>
      </c>
      <c r="G6" s="100" t="str">
        <f aca="false">設定!$G$8&amp;""</f>
        <v>A</v>
      </c>
      <c r="H6" s="100" t="str">
        <f aca="false">設定!$G$9&amp;""</f>
        <v>B</v>
      </c>
      <c r="I6" s="100" t="str">
        <f aca="false">設定!$G$10&amp;""</f>
        <v>C</v>
      </c>
      <c r="J6" s="100" t="str">
        <f aca="false">設定!$G$8&amp;""</f>
        <v>A</v>
      </c>
      <c r="K6" s="100" t="str">
        <f aca="false">設定!$G$9&amp;""</f>
        <v>B</v>
      </c>
      <c r="L6" s="100" t="str">
        <f aca="false">設定!$G$10&amp;""</f>
        <v>C</v>
      </c>
      <c r="M6" s="101" t="str">
        <f aca="false">設定!$I$8</f>
        <v>知</v>
      </c>
      <c r="N6" s="101" t="str">
        <f aca="false">設定!$I$9</f>
        <v>思</v>
      </c>
      <c r="O6" s="101" t="str">
        <f aca="false">設定!$I$10</f>
        <v>態</v>
      </c>
      <c r="P6" s="13"/>
      <c r="Q6" s="102" t="str">
        <f aca="false">設定!$I$8</f>
        <v>知</v>
      </c>
      <c r="R6" s="102" t="str">
        <f aca="false">設定!$I$9</f>
        <v>思</v>
      </c>
      <c r="S6" s="102" t="str">
        <f aca="false">設定!$I$10</f>
        <v>態</v>
      </c>
      <c r="T6" s="102" t="str">
        <f aca="false">設定!$I$8</f>
        <v>知</v>
      </c>
      <c r="U6" s="102" t="str">
        <f aca="false">設定!$I$9</f>
        <v>思</v>
      </c>
      <c r="V6" s="102" t="str">
        <f aca="false">設定!$I$10</f>
        <v>態</v>
      </c>
      <c r="W6" s="102" t="str">
        <f aca="false">設定!$I$8</f>
        <v>知</v>
      </c>
      <c r="X6" s="102" t="str">
        <f aca="false">設定!$I$9</f>
        <v>思</v>
      </c>
      <c r="Y6" s="102" t="str">
        <f aca="false">設定!$I$10</f>
        <v>態</v>
      </c>
      <c r="Z6" s="102" t="str">
        <f aca="false">設定!$I$8</f>
        <v>知</v>
      </c>
      <c r="AA6" s="102" t="str">
        <f aca="false">設定!$I$9</f>
        <v>思</v>
      </c>
      <c r="AB6" s="102" t="str">
        <f aca="false">設定!$I$10</f>
        <v>態</v>
      </c>
      <c r="AC6" s="102" t="str">
        <f aca="false">設定!$I$8</f>
        <v>知</v>
      </c>
      <c r="AD6" s="102" t="str">
        <f aca="false">設定!$I$9</f>
        <v>思</v>
      </c>
      <c r="AE6" s="102" t="str">
        <f aca="false">設定!$I$10</f>
        <v>態</v>
      </c>
      <c r="AF6" s="102" t="str">
        <f aca="false">設定!$I$8</f>
        <v>知</v>
      </c>
      <c r="AG6" s="102" t="str">
        <f aca="false">設定!$I$9</f>
        <v>思</v>
      </c>
      <c r="AH6" s="102" t="str">
        <f aca="false">設定!$I$10</f>
        <v>態</v>
      </c>
      <c r="AI6" s="102" t="str">
        <f aca="false">設定!$I$8</f>
        <v>知</v>
      </c>
      <c r="AJ6" s="102" t="str">
        <f aca="false">設定!$I$9</f>
        <v>思</v>
      </c>
      <c r="AK6" s="102" t="str">
        <f aca="false">設定!$I$10</f>
        <v>態</v>
      </c>
      <c r="AL6" s="102" t="str">
        <f aca="false">設定!$I$8</f>
        <v>知</v>
      </c>
      <c r="AM6" s="102" t="str">
        <f aca="false">設定!$I$9</f>
        <v>思</v>
      </c>
      <c r="AN6" s="102" t="str">
        <f aca="false">設定!$I$10</f>
        <v>態</v>
      </c>
      <c r="AO6" s="102" t="str">
        <f aca="false">設定!$I$8</f>
        <v>知</v>
      </c>
      <c r="AP6" s="102" t="str">
        <f aca="false">設定!$I$9</f>
        <v>思</v>
      </c>
      <c r="AQ6" s="102" t="str">
        <f aca="false">設定!$I$10</f>
        <v>態</v>
      </c>
      <c r="AR6" s="102" t="str">
        <f aca="false">設定!$I$8</f>
        <v>知</v>
      </c>
      <c r="AS6" s="102" t="str">
        <f aca="false">設定!$I$9</f>
        <v>思</v>
      </c>
      <c r="AT6" s="102" t="str">
        <f aca="false">設定!$I$10</f>
        <v>態</v>
      </c>
      <c r="AU6" s="102" t="str">
        <f aca="false">設定!$I$8</f>
        <v>知</v>
      </c>
      <c r="AV6" s="102" t="str">
        <f aca="false">設定!$I$9</f>
        <v>思</v>
      </c>
      <c r="AW6" s="102" t="str">
        <f aca="false">設定!$I$10</f>
        <v>態</v>
      </c>
      <c r="AX6" s="102" t="str">
        <f aca="false">設定!$I$8</f>
        <v>知</v>
      </c>
      <c r="AY6" s="102" t="str">
        <f aca="false">設定!$I$9</f>
        <v>思</v>
      </c>
      <c r="AZ6" s="102" t="str">
        <f aca="false">設定!$I$10</f>
        <v>態</v>
      </c>
      <c r="BA6" s="102" t="str">
        <f aca="false">設定!$I$8</f>
        <v>知</v>
      </c>
      <c r="BB6" s="102" t="str">
        <f aca="false">設定!$I$9</f>
        <v>思</v>
      </c>
      <c r="BC6" s="102" t="str">
        <f aca="false">設定!$I$10</f>
        <v>態</v>
      </c>
      <c r="BD6" s="102" t="str">
        <f aca="false">設定!$I$8</f>
        <v>知</v>
      </c>
      <c r="BE6" s="102" t="str">
        <f aca="false">設定!$I$9</f>
        <v>思</v>
      </c>
      <c r="BF6" s="102" t="str">
        <f aca="false">設定!$I$10</f>
        <v>態</v>
      </c>
      <c r="BG6" s="102" t="str">
        <f aca="false">設定!$I$8</f>
        <v>知</v>
      </c>
      <c r="BH6" s="102" t="str">
        <f aca="false">設定!$I$9</f>
        <v>思</v>
      </c>
      <c r="BI6" s="102" t="str">
        <f aca="false">設定!$I$10</f>
        <v>態</v>
      </c>
      <c r="BJ6" s="102" t="str">
        <f aca="false">設定!$I$8</f>
        <v>知</v>
      </c>
      <c r="BK6" s="102" t="str">
        <f aca="false">設定!$I$9</f>
        <v>思</v>
      </c>
      <c r="BL6" s="102" t="str">
        <f aca="false">設定!$I$10</f>
        <v>態</v>
      </c>
      <c r="BM6" s="102" t="str">
        <f aca="false">設定!$I$8</f>
        <v>知</v>
      </c>
      <c r="BN6" s="102" t="str">
        <f aca="false">設定!$I$9</f>
        <v>思</v>
      </c>
      <c r="BO6" s="102" t="str">
        <f aca="false">設定!$I$10</f>
        <v>態</v>
      </c>
      <c r="BP6" s="102" t="str">
        <f aca="false">設定!$I$8</f>
        <v>知</v>
      </c>
      <c r="BQ6" s="102" t="str">
        <f aca="false">設定!$I$9</f>
        <v>思</v>
      </c>
      <c r="BR6" s="102" t="str">
        <f aca="false">設定!$I$10</f>
        <v>態</v>
      </c>
      <c r="BS6" s="102" t="str">
        <f aca="false">設定!$I$8</f>
        <v>知</v>
      </c>
      <c r="BT6" s="102" t="str">
        <f aca="false">設定!$I$9</f>
        <v>思</v>
      </c>
      <c r="BU6" s="102" t="str">
        <f aca="false">設定!$I$10</f>
        <v>態</v>
      </c>
      <c r="BV6" s="102" t="str">
        <f aca="false">設定!$I$8</f>
        <v>知</v>
      </c>
      <c r="BW6" s="102" t="str">
        <f aca="false">設定!$I$9</f>
        <v>思</v>
      </c>
      <c r="BX6" s="102" t="str">
        <f aca="false">設定!$I$10</f>
        <v>態</v>
      </c>
    </row>
    <row r="7" customFormat="false" ht="19.5" hidden="false" customHeight="true" outlineLevel="0" collapsed="false">
      <c r="A7" s="91" t="str">
        <f aca="false">IF($C7="","",INDEX(名簿!$C$5:$C$164,$C7))</f>
        <v/>
      </c>
      <c r="B7" s="59" t="str">
        <f aca="false">IF($C7="","",INDEX(名簿!$D$5:$D$164,$C7)&amp;IF(INDEX(名簿!$F$5:$F$164,$C7)="転出","（転出）",""))</f>
        <v/>
      </c>
      <c r="C7" s="41" t="str">
        <f aca="false">IFERROR(MATCH($B$2&amp;"|"&amp;1,名簿!$G$5:$G$164,0),"")</f>
        <v/>
      </c>
      <c r="D7" s="60" t="str">
        <f aca="false">IF($C7="","",SUMPRODUCT(($Q7:$BX7=D$6)*($Q$6:$BX$6=D$3)*((($F$2&amp;"")="通年")+($Q$3:$BX$3=($F$2&amp;""))&gt;0)))</f>
        <v/>
      </c>
      <c r="E7" s="60" t="str">
        <f aca="false">IF($C7="","",SUMPRODUCT(($Q7:$BX7=E$6)*($Q$6:$BX$6=E$3)*((($F$2&amp;"")="通年")+($Q$3:$BX$3=($F$2&amp;""))&gt;0)))</f>
        <v/>
      </c>
      <c r="F7" s="60" t="str">
        <f aca="false">IF($C7="","",SUMPRODUCT(($Q7:$BX7=F$6)*($Q$6:$BX$6=F$3)*((($F$2&amp;"")="通年")+($Q$3:$BX$3=($F$2&amp;""))&gt;0)))</f>
        <v/>
      </c>
      <c r="G7" s="60" t="str">
        <f aca="false">IF($C7="","",SUMPRODUCT(($Q7:$BX7=G$6)*($Q$6:$BX$6=G$3)*((($F$2&amp;"")="通年")+($Q$3:$BX$3=($F$2&amp;""))&gt;0)))</f>
        <v/>
      </c>
      <c r="H7" s="60" t="str">
        <f aca="false">IF($C7="","",SUMPRODUCT(($Q7:$BX7=H$6)*($Q$6:$BX$6=H$3)*((($F$2&amp;"")="通年")+($Q$3:$BX$3=($F$2&amp;""))&gt;0)))</f>
        <v/>
      </c>
      <c r="I7" s="60" t="str">
        <f aca="false">IF($C7="","",SUMPRODUCT(($Q7:$BX7=I$6)*($Q$6:$BX$6=I$3)*((($F$2&amp;"")="通年")+($Q$3:$BX$3=($F$2&amp;""))&gt;0)))</f>
        <v/>
      </c>
      <c r="J7" s="60" t="str">
        <f aca="false">IF($C7="","",SUMPRODUCT(($Q7:$BX7=J$6)*($Q$6:$BX$6=J$3)*((($F$2&amp;"")="通年")+($Q$3:$BX$3=($F$2&amp;""))&gt;0)))</f>
        <v/>
      </c>
      <c r="K7" s="60" t="str">
        <f aca="false">IF($C7="","",SUMPRODUCT(($Q7:$BX7=K$6)*($Q$6:$BX$6=K$3)*((($F$2&amp;"")="通年")+($Q$3:$BX$3=($F$2&amp;""))&gt;0)))</f>
        <v/>
      </c>
      <c r="L7" s="60" t="str">
        <f aca="false">IF($C7="","",SUMPRODUCT(($Q7:$BX7=L$6)*($Q$6:$BX$6=L$3)*((($F$2&amp;"")="通年")+($Q$3:$BX$3=($F$2&amp;""))&gt;0)))</f>
        <v/>
      </c>
      <c r="M7" s="62" t="str">
        <f aca="false">IF($C7="","",IF(SUM(D7:F7)=0,"",IF(D7/SUM(D7:F7)&gt;=設定!$I$17,設定!$G$8,IF(F7/SUM(D7:F7)&gt;=設定!$I$18,設定!$G$10,設定!$G$9))))</f>
        <v/>
      </c>
      <c r="N7" s="62" t="str">
        <f aca="false">IF($C7="","",IF(SUM(G7:I7)=0,"",IF(G7/SUM(G7:I7)&gt;=設定!$I$17,設定!$G$8,IF(I7/SUM(G7:I7)&gt;=設定!$I$18,設定!$G$10,設定!$G$9))))</f>
        <v/>
      </c>
      <c r="O7" s="62" t="str">
        <f aca="false">IF($C7="","",IF(SUM(J7:L7)=0,"",IF(J7/SUM(J7:L7)&gt;=設定!$I$17,設定!$G$8,IF(L7/SUM(J7:L7)&gt;=設定!$I$18,設定!$G$10,設定!$G$9))))</f>
        <v/>
      </c>
      <c r="P7" s="13"/>
      <c r="Q7" s="61" t="str">
        <f aca="false">IF($C7="","",INDEX(単元01!$F$5:$F$164,$C7)&amp;"")</f>
        <v/>
      </c>
      <c r="R7" s="61" t="str">
        <f aca="false">IF($C7="","",INDEX(単元01!$G$5:$G$164,$C7)&amp;"")</f>
        <v/>
      </c>
      <c r="S7" s="61" t="str">
        <f aca="false">IF($C7="","",INDEX(単元01!$H$5:$H$164,$C7)&amp;"")</f>
        <v/>
      </c>
      <c r="T7" s="61" t="str">
        <f aca="false">IF($C7="","",INDEX(単元02!$F$5:$F$164,$C7)&amp;"")</f>
        <v/>
      </c>
      <c r="U7" s="61" t="str">
        <f aca="false">IF($C7="","",INDEX(単元02!$G$5:$G$164,$C7)&amp;"")</f>
        <v/>
      </c>
      <c r="V7" s="61" t="str">
        <f aca="false">IF($C7="","",INDEX(単元02!$H$5:$H$164,$C7)&amp;"")</f>
        <v/>
      </c>
      <c r="W7" s="61" t="str">
        <f aca="false">IF($C7="","",INDEX(単元03!$F$5:$F$164,$C7)&amp;"")</f>
        <v/>
      </c>
      <c r="X7" s="61" t="str">
        <f aca="false">IF($C7="","",INDEX(単元03!$G$5:$G$164,$C7)&amp;"")</f>
        <v/>
      </c>
      <c r="Y7" s="61" t="str">
        <f aca="false">IF($C7="","",INDEX(単元03!$H$5:$H$164,$C7)&amp;"")</f>
        <v/>
      </c>
      <c r="Z7" s="61" t="str">
        <f aca="false">IF($C7="","",INDEX(単元04!$F$5:$F$164,$C7)&amp;"")</f>
        <v/>
      </c>
      <c r="AA7" s="61" t="str">
        <f aca="false">IF($C7="","",INDEX(単元04!$G$5:$G$164,$C7)&amp;"")</f>
        <v/>
      </c>
      <c r="AB7" s="61" t="str">
        <f aca="false">IF($C7="","",INDEX(単元04!$H$5:$H$164,$C7)&amp;"")</f>
        <v/>
      </c>
      <c r="AC7" s="61" t="str">
        <f aca="false">IF($C7="","",INDEX(単元05!$F$5:$F$164,$C7)&amp;"")</f>
        <v/>
      </c>
      <c r="AD7" s="61" t="str">
        <f aca="false">IF($C7="","",INDEX(単元05!$G$5:$G$164,$C7)&amp;"")</f>
        <v/>
      </c>
      <c r="AE7" s="61" t="str">
        <f aca="false">IF($C7="","",INDEX(単元05!$H$5:$H$164,$C7)&amp;"")</f>
        <v/>
      </c>
      <c r="AF7" s="61" t="str">
        <f aca="false">IF($C7="","",INDEX(単元06!$F$5:$F$164,$C7)&amp;"")</f>
        <v/>
      </c>
      <c r="AG7" s="61" t="str">
        <f aca="false">IF($C7="","",INDEX(単元06!$G$5:$G$164,$C7)&amp;"")</f>
        <v/>
      </c>
      <c r="AH7" s="61" t="str">
        <f aca="false">IF($C7="","",INDEX(単元06!$H$5:$H$164,$C7)&amp;"")</f>
        <v/>
      </c>
      <c r="AI7" s="61" t="str">
        <f aca="false">IF($C7="","",INDEX(単元07!$F$5:$F$164,$C7)&amp;"")</f>
        <v/>
      </c>
      <c r="AJ7" s="61" t="str">
        <f aca="false">IF($C7="","",INDEX(単元07!$G$5:$G$164,$C7)&amp;"")</f>
        <v/>
      </c>
      <c r="AK7" s="61" t="str">
        <f aca="false">IF($C7="","",INDEX(単元07!$H$5:$H$164,$C7)&amp;"")</f>
        <v/>
      </c>
      <c r="AL7" s="61" t="str">
        <f aca="false">IF($C7="","",INDEX(単元08!$F$5:$F$164,$C7)&amp;"")</f>
        <v/>
      </c>
      <c r="AM7" s="61" t="str">
        <f aca="false">IF($C7="","",INDEX(単元08!$G$5:$G$164,$C7)&amp;"")</f>
        <v/>
      </c>
      <c r="AN7" s="61" t="str">
        <f aca="false">IF($C7="","",INDEX(単元08!$H$5:$H$164,$C7)&amp;"")</f>
        <v/>
      </c>
      <c r="AO7" s="61" t="str">
        <f aca="false">IF($C7="","",INDEX(単元09!$F$5:$F$164,$C7)&amp;"")</f>
        <v/>
      </c>
      <c r="AP7" s="61" t="str">
        <f aca="false">IF($C7="","",INDEX(単元09!$G$5:$G$164,$C7)&amp;"")</f>
        <v/>
      </c>
      <c r="AQ7" s="61" t="str">
        <f aca="false">IF($C7="","",INDEX(単元09!$H$5:$H$164,$C7)&amp;"")</f>
        <v/>
      </c>
      <c r="AR7" s="61" t="str">
        <f aca="false">IF($C7="","",INDEX(単元10!$F$5:$F$164,$C7)&amp;"")</f>
        <v/>
      </c>
      <c r="AS7" s="61" t="str">
        <f aca="false">IF($C7="","",INDEX(単元10!$G$5:$G$164,$C7)&amp;"")</f>
        <v/>
      </c>
      <c r="AT7" s="61" t="str">
        <f aca="false">IF($C7="","",INDEX(単元10!$H$5:$H$164,$C7)&amp;"")</f>
        <v/>
      </c>
      <c r="AU7" s="61" t="str">
        <f aca="false">IF($C7="","",INDEX(単元11!$F$5:$F$164,$C7)&amp;"")</f>
        <v/>
      </c>
      <c r="AV7" s="61" t="str">
        <f aca="false">IF($C7="","",INDEX(単元11!$G$5:$G$164,$C7)&amp;"")</f>
        <v/>
      </c>
      <c r="AW7" s="61" t="str">
        <f aca="false">IF($C7="","",INDEX(単元11!$H$5:$H$164,$C7)&amp;"")</f>
        <v/>
      </c>
      <c r="AX7" s="61" t="str">
        <f aca="false">IF($C7="","",INDEX(単元12!$F$5:$F$164,$C7)&amp;"")</f>
        <v/>
      </c>
      <c r="AY7" s="61" t="str">
        <f aca="false">IF($C7="","",INDEX(単元12!$G$5:$G$164,$C7)&amp;"")</f>
        <v/>
      </c>
      <c r="AZ7" s="61" t="str">
        <f aca="false">IF($C7="","",INDEX(単元12!$H$5:$H$164,$C7)&amp;"")</f>
        <v/>
      </c>
      <c r="BA7" s="61" t="str">
        <f aca="false">IF($C7="","",INDEX(単元13!$F$5:$F$164,$C7)&amp;"")</f>
        <v/>
      </c>
      <c r="BB7" s="61" t="str">
        <f aca="false">IF($C7="","",INDEX(単元13!$G$5:$G$164,$C7)&amp;"")</f>
        <v/>
      </c>
      <c r="BC7" s="61" t="str">
        <f aca="false">IF($C7="","",INDEX(単元13!$H$5:$H$164,$C7)&amp;"")</f>
        <v/>
      </c>
      <c r="BD7" s="61" t="str">
        <f aca="false">IF($C7="","",INDEX(単元14!$F$5:$F$164,$C7)&amp;"")</f>
        <v/>
      </c>
      <c r="BE7" s="61" t="str">
        <f aca="false">IF($C7="","",INDEX(単元14!$G$5:$G$164,$C7)&amp;"")</f>
        <v/>
      </c>
      <c r="BF7" s="61" t="str">
        <f aca="false">IF($C7="","",INDEX(単元14!$H$5:$H$164,$C7)&amp;"")</f>
        <v/>
      </c>
      <c r="BG7" s="61" t="str">
        <f aca="false">IF($C7="","",INDEX(単元15!$F$5:$F$164,$C7)&amp;"")</f>
        <v/>
      </c>
      <c r="BH7" s="61" t="str">
        <f aca="false">IF($C7="","",INDEX(単元15!$G$5:$G$164,$C7)&amp;"")</f>
        <v/>
      </c>
      <c r="BI7" s="61" t="str">
        <f aca="false">IF($C7="","",INDEX(単元15!$H$5:$H$164,$C7)&amp;"")</f>
        <v/>
      </c>
      <c r="BJ7" s="61" t="str">
        <f aca="false">IF($C7="","",INDEX(単元16!$F$5:$F$164,$C7)&amp;"")</f>
        <v/>
      </c>
      <c r="BK7" s="61" t="str">
        <f aca="false">IF($C7="","",INDEX(単元16!$G$5:$G$164,$C7)&amp;"")</f>
        <v/>
      </c>
      <c r="BL7" s="61" t="str">
        <f aca="false">IF($C7="","",INDEX(単元16!$H$5:$H$164,$C7)&amp;"")</f>
        <v/>
      </c>
      <c r="BM7" s="61" t="str">
        <f aca="false">IF($C7="","",INDEX(単元17!$F$5:$F$164,$C7)&amp;"")</f>
        <v/>
      </c>
      <c r="BN7" s="61" t="str">
        <f aca="false">IF($C7="","",INDEX(単元17!$G$5:$G$164,$C7)&amp;"")</f>
        <v/>
      </c>
      <c r="BO7" s="61" t="str">
        <f aca="false">IF($C7="","",INDEX(単元17!$H$5:$H$164,$C7)&amp;"")</f>
        <v/>
      </c>
      <c r="BP7" s="61" t="str">
        <f aca="false">IF($C7="","",INDEX(単元18!$F$5:$F$164,$C7)&amp;"")</f>
        <v/>
      </c>
      <c r="BQ7" s="61" t="str">
        <f aca="false">IF($C7="","",INDEX(単元18!$G$5:$G$164,$C7)&amp;"")</f>
        <v/>
      </c>
      <c r="BR7" s="61" t="str">
        <f aca="false">IF($C7="","",INDEX(単元18!$H$5:$H$164,$C7)&amp;"")</f>
        <v/>
      </c>
      <c r="BS7" s="61" t="str">
        <f aca="false">IF($C7="","",INDEX(単元19!$F$5:$F$164,$C7)&amp;"")</f>
        <v/>
      </c>
      <c r="BT7" s="61" t="str">
        <f aca="false">IF($C7="","",INDEX(単元19!$G$5:$G$164,$C7)&amp;"")</f>
        <v/>
      </c>
      <c r="BU7" s="61" t="str">
        <f aca="false">IF($C7="","",INDEX(単元19!$H$5:$H$164,$C7)&amp;"")</f>
        <v/>
      </c>
      <c r="BV7" s="61" t="str">
        <f aca="false">IF($C7="","",INDEX(単元20!$F$5:$F$164,$C7)&amp;"")</f>
        <v/>
      </c>
      <c r="BW7" s="61" t="str">
        <f aca="false">IF($C7="","",INDEX(単元20!$G$5:$G$164,$C7)&amp;"")</f>
        <v/>
      </c>
      <c r="BX7" s="61" t="str">
        <f aca="false">IF($C7="","",INDEX(単元20!$H$5:$H$164,$C7)&amp;"")</f>
        <v/>
      </c>
    </row>
    <row r="8" customFormat="false" ht="19.5" hidden="false" customHeight="true" outlineLevel="0" collapsed="false">
      <c r="A8" s="91" t="str">
        <f aca="false">IF($C8="","",INDEX(名簿!$C$5:$C$164,$C8))</f>
        <v/>
      </c>
      <c r="B8" s="59" t="str">
        <f aca="false">IF($C8="","",INDEX(名簿!$D$5:$D$164,$C8)&amp;IF(INDEX(名簿!$F$5:$F$164,$C8)="転出","（転出）",""))</f>
        <v/>
      </c>
      <c r="C8" s="41" t="str">
        <f aca="false">IFERROR(MATCH($B$2&amp;"|"&amp;2,名簿!$G$5:$G$164,0),"")</f>
        <v/>
      </c>
      <c r="D8" s="60" t="str">
        <f aca="false">IF($C8="","",SUMPRODUCT(($Q8:$BX8=D$6)*($Q$6:$BX$6=D$3)*((($F$2&amp;"")="通年")+($Q$3:$BX$3=($F$2&amp;""))&gt;0)))</f>
        <v/>
      </c>
      <c r="E8" s="60" t="str">
        <f aca="false">IF($C8="","",SUMPRODUCT(($Q8:$BX8=E$6)*($Q$6:$BX$6=E$3)*((($F$2&amp;"")="通年")+($Q$3:$BX$3=($F$2&amp;""))&gt;0)))</f>
        <v/>
      </c>
      <c r="F8" s="60" t="str">
        <f aca="false">IF($C8="","",SUMPRODUCT(($Q8:$BX8=F$6)*($Q$6:$BX$6=F$3)*((($F$2&amp;"")="通年")+($Q$3:$BX$3=($F$2&amp;""))&gt;0)))</f>
        <v/>
      </c>
      <c r="G8" s="60" t="str">
        <f aca="false">IF($C8="","",SUMPRODUCT(($Q8:$BX8=G$6)*($Q$6:$BX$6=G$3)*((($F$2&amp;"")="通年")+($Q$3:$BX$3=($F$2&amp;""))&gt;0)))</f>
        <v/>
      </c>
      <c r="H8" s="60" t="str">
        <f aca="false">IF($C8="","",SUMPRODUCT(($Q8:$BX8=H$6)*($Q$6:$BX$6=H$3)*((($F$2&amp;"")="通年")+($Q$3:$BX$3=($F$2&amp;""))&gt;0)))</f>
        <v/>
      </c>
      <c r="I8" s="60" t="str">
        <f aca="false">IF($C8="","",SUMPRODUCT(($Q8:$BX8=I$6)*($Q$6:$BX$6=I$3)*((($F$2&amp;"")="通年")+($Q$3:$BX$3=($F$2&amp;""))&gt;0)))</f>
        <v/>
      </c>
      <c r="J8" s="60" t="str">
        <f aca="false">IF($C8="","",SUMPRODUCT(($Q8:$BX8=J$6)*($Q$6:$BX$6=J$3)*((($F$2&amp;"")="通年")+($Q$3:$BX$3=($F$2&amp;""))&gt;0)))</f>
        <v/>
      </c>
      <c r="K8" s="60" t="str">
        <f aca="false">IF($C8="","",SUMPRODUCT(($Q8:$BX8=K$6)*($Q$6:$BX$6=K$3)*((($F$2&amp;"")="通年")+($Q$3:$BX$3=($F$2&amp;""))&gt;0)))</f>
        <v/>
      </c>
      <c r="L8" s="60" t="str">
        <f aca="false">IF($C8="","",SUMPRODUCT(($Q8:$BX8=L$6)*($Q$6:$BX$6=L$3)*((($F$2&amp;"")="通年")+($Q$3:$BX$3=($F$2&amp;""))&gt;0)))</f>
        <v/>
      </c>
      <c r="M8" s="62" t="str">
        <f aca="false">IF($C8="","",IF(SUM(D8:F8)=0,"",IF(D8/SUM(D8:F8)&gt;=設定!$I$17,設定!$G$8,IF(F8/SUM(D8:F8)&gt;=設定!$I$18,設定!$G$10,設定!$G$9))))</f>
        <v/>
      </c>
      <c r="N8" s="62" t="str">
        <f aca="false">IF($C8="","",IF(SUM(G8:I8)=0,"",IF(G8/SUM(G8:I8)&gt;=設定!$I$17,設定!$G$8,IF(I8/SUM(G8:I8)&gt;=設定!$I$18,設定!$G$10,設定!$G$9))))</f>
        <v/>
      </c>
      <c r="O8" s="62" t="str">
        <f aca="false">IF($C8="","",IF(SUM(J8:L8)=0,"",IF(J8/SUM(J8:L8)&gt;=設定!$I$17,設定!$G$8,IF(L8/SUM(J8:L8)&gt;=設定!$I$18,設定!$G$10,設定!$G$9))))</f>
        <v/>
      </c>
      <c r="P8" s="13"/>
      <c r="Q8" s="61" t="str">
        <f aca="false">IF($C8="","",INDEX(単元01!$F$5:$F$164,$C8)&amp;"")</f>
        <v/>
      </c>
      <c r="R8" s="61" t="str">
        <f aca="false">IF($C8="","",INDEX(単元01!$G$5:$G$164,$C8)&amp;"")</f>
        <v/>
      </c>
      <c r="S8" s="61" t="str">
        <f aca="false">IF($C8="","",INDEX(単元01!$H$5:$H$164,$C8)&amp;"")</f>
        <v/>
      </c>
      <c r="T8" s="61" t="str">
        <f aca="false">IF($C8="","",INDEX(単元02!$F$5:$F$164,$C8)&amp;"")</f>
        <v/>
      </c>
      <c r="U8" s="61" t="str">
        <f aca="false">IF($C8="","",INDEX(単元02!$G$5:$G$164,$C8)&amp;"")</f>
        <v/>
      </c>
      <c r="V8" s="61" t="str">
        <f aca="false">IF($C8="","",INDEX(単元02!$H$5:$H$164,$C8)&amp;"")</f>
        <v/>
      </c>
      <c r="W8" s="61" t="str">
        <f aca="false">IF($C8="","",INDEX(単元03!$F$5:$F$164,$C8)&amp;"")</f>
        <v/>
      </c>
      <c r="X8" s="61" t="str">
        <f aca="false">IF($C8="","",INDEX(単元03!$G$5:$G$164,$C8)&amp;"")</f>
        <v/>
      </c>
      <c r="Y8" s="61" t="str">
        <f aca="false">IF($C8="","",INDEX(単元03!$H$5:$H$164,$C8)&amp;"")</f>
        <v/>
      </c>
      <c r="Z8" s="61" t="str">
        <f aca="false">IF($C8="","",INDEX(単元04!$F$5:$F$164,$C8)&amp;"")</f>
        <v/>
      </c>
      <c r="AA8" s="61" t="str">
        <f aca="false">IF($C8="","",INDEX(単元04!$G$5:$G$164,$C8)&amp;"")</f>
        <v/>
      </c>
      <c r="AB8" s="61" t="str">
        <f aca="false">IF($C8="","",INDEX(単元04!$H$5:$H$164,$C8)&amp;"")</f>
        <v/>
      </c>
      <c r="AC8" s="61" t="str">
        <f aca="false">IF($C8="","",INDEX(単元05!$F$5:$F$164,$C8)&amp;"")</f>
        <v/>
      </c>
      <c r="AD8" s="61" t="str">
        <f aca="false">IF($C8="","",INDEX(単元05!$G$5:$G$164,$C8)&amp;"")</f>
        <v/>
      </c>
      <c r="AE8" s="61" t="str">
        <f aca="false">IF($C8="","",INDEX(単元05!$H$5:$H$164,$C8)&amp;"")</f>
        <v/>
      </c>
      <c r="AF8" s="61" t="str">
        <f aca="false">IF($C8="","",INDEX(単元06!$F$5:$F$164,$C8)&amp;"")</f>
        <v/>
      </c>
      <c r="AG8" s="61" t="str">
        <f aca="false">IF($C8="","",INDEX(単元06!$G$5:$G$164,$C8)&amp;"")</f>
        <v/>
      </c>
      <c r="AH8" s="61" t="str">
        <f aca="false">IF($C8="","",INDEX(単元06!$H$5:$H$164,$C8)&amp;"")</f>
        <v/>
      </c>
      <c r="AI8" s="61" t="str">
        <f aca="false">IF($C8="","",INDEX(単元07!$F$5:$F$164,$C8)&amp;"")</f>
        <v/>
      </c>
      <c r="AJ8" s="61" t="str">
        <f aca="false">IF($C8="","",INDEX(単元07!$G$5:$G$164,$C8)&amp;"")</f>
        <v/>
      </c>
      <c r="AK8" s="61" t="str">
        <f aca="false">IF($C8="","",INDEX(単元07!$H$5:$H$164,$C8)&amp;"")</f>
        <v/>
      </c>
      <c r="AL8" s="61" t="str">
        <f aca="false">IF($C8="","",INDEX(単元08!$F$5:$F$164,$C8)&amp;"")</f>
        <v/>
      </c>
      <c r="AM8" s="61" t="str">
        <f aca="false">IF($C8="","",INDEX(単元08!$G$5:$G$164,$C8)&amp;"")</f>
        <v/>
      </c>
      <c r="AN8" s="61" t="str">
        <f aca="false">IF($C8="","",INDEX(単元08!$H$5:$H$164,$C8)&amp;"")</f>
        <v/>
      </c>
      <c r="AO8" s="61" t="str">
        <f aca="false">IF($C8="","",INDEX(単元09!$F$5:$F$164,$C8)&amp;"")</f>
        <v/>
      </c>
      <c r="AP8" s="61" t="str">
        <f aca="false">IF($C8="","",INDEX(単元09!$G$5:$G$164,$C8)&amp;"")</f>
        <v/>
      </c>
      <c r="AQ8" s="61" t="str">
        <f aca="false">IF($C8="","",INDEX(単元09!$H$5:$H$164,$C8)&amp;"")</f>
        <v/>
      </c>
      <c r="AR8" s="61" t="str">
        <f aca="false">IF($C8="","",INDEX(単元10!$F$5:$F$164,$C8)&amp;"")</f>
        <v/>
      </c>
      <c r="AS8" s="61" t="str">
        <f aca="false">IF($C8="","",INDEX(単元10!$G$5:$G$164,$C8)&amp;"")</f>
        <v/>
      </c>
      <c r="AT8" s="61" t="str">
        <f aca="false">IF($C8="","",INDEX(単元10!$H$5:$H$164,$C8)&amp;"")</f>
        <v/>
      </c>
      <c r="AU8" s="61" t="str">
        <f aca="false">IF($C8="","",INDEX(単元11!$F$5:$F$164,$C8)&amp;"")</f>
        <v/>
      </c>
      <c r="AV8" s="61" t="str">
        <f aca="false">IF($C8="","",INDEX(単元11!$G$5:$G$164,$C8)&amp;"")</f>
        <v/>
      </c>
      <c r="AW8" s="61" t="str">
        <f aca="false">IF($C8="","",INDEX(単元11!$H$5:$H$164,$C8)&amp;"")</f>
        <v/>
      </c>
      <c r="AX8" s="61" t="str">
        <f aca="false">IF($C8="","",INDEX(単元12!$F$5:$F$164,$C8)&amp;"")</f>
        <v/>
      </c>
      <c r="AY8" s="61" t="str">
        <f aca="false">IF($C8="","",INDEX(単元12!$G$5:$G$164,$C8)&amp;"")</f>
        <v/>
      </c>
      <c r="AZ8" s="61" t="str">
        <f aca="false">IF($C8="","",INDEX(単元12!$H$5:$H$164,$C8)&amp;"")</f>
        <v/>
      </c>
      <c r="BA8" s="61" t="str">
        <f aca="false">IF($C8="","",INDEX(単元13!$F$5:$F$164,$C8)&amp;"")</f>
        <v/>
      </c>
      <c r="BB8" s="61" t="str">
        <f aca="false">IF($C8="","",INDEX(単元13!$G$5:$G$164,$C8)&amp;"")</f>
        <v/>
      </c>
      <c r="BC8" s="61" t="str">
        <f aca="false">IF($C8="","",INDEX(単元13!$H$5:$H$164,$C8)&amp;"")</f>
        <v/>
      </c>
      <c r="BD8" s="61" t="str">
        <f aca="false">IF($C8="","",INDEX(単元14!$F$5:$F$164,$C8)&amp;"")</f>
        <v/>
      </c>
      <c r="BE8" s="61" t="str">
        <f aca="false">IF($C8="","",INDEX(単元14!$G$5:$G$164,$C8)&amp;"")</f>
        <v/>
      </c>
      <c r="BF8" s="61" t="str">
        <f aca="false">IF($C8="","",INDEX(単元14!$H$5:$H$164,$C8)&amp;"")</f>
        <v/>
      </c>
      <c r="BG8" s="61" t="str">
        <f aca="false">IF($C8="","",INDEX(単元15!$F$5:$F$164,$C8)&amp;"")</f>
        <v/>
      </c>
      <c r="BH8" s="61" t="str">
        <f aca="false">IF($C8="","",INDEX(単元15!$G$5:$G$164,$C8)&amp;"")</f>
        <v/>
      </c>
      <c r="BI8" s="61" t="str">
        <f aca="false">IF($C8="","",INDEX(単元15!$H$5:$H$164,$C8)&amp;"")</f>
        <v/>
      </c>
      <c r="BJ8" s="61" t="str">
        <f aca="false">IF($C8="","",INDEX(単元16!$F$5:$F$164,$C8)&amp;"")</f>
        <v/>
      </c>
      <c r="BK8" s="61" t="str">
        <f aca="false">IF($C8="","",INDEX(単元16!$G$5:$G$164,$C8)&amp;"")</f>
        <v/>
      </c>
      <c r="BL8" s="61" t="str">
        <f aca="false">IF($C8="","",INDEX(単元16!$H$5:$H$164,$C8)&amp;"")</f>
        <v/>
      </c>
      <c r="BM8" s="61" t="str">
        <f aca="false">IF($C8="","",INDEX(単元17!$F$5:$F$164,$C8)&amp;"")</f>
        <v/>
      </c>
      <c r="BN8" s="61" t="str">
        <f aca="false">IF($C8="","",INDEX(単元17!$G$5:$G$164,$C8)&amp;"")</f>
        <v/>
      </c>
      <c r="BO8" s="61" t="str">
        <f aca="false">IF($C8="","",INDEX(単元17!$H$5:$H$164,$C8)&amp;"")</f>
        <v/>
      </c>
      <c r="BP8" s="61" t="str">
        <f aca="false">IF($C8="","",INDEX(単元18!$F$5:$F$164,$C8)&amp;"")</f>
        <v/>
      </c>
      <c r="BQ8" s="61" t="str">
        <f aca="false">IF($C8="","",INDEX(単元18!$G$5:$G$164,$C8)&amp;"")</f>
        <v/>
      </c>
      <c r="BR8" s="61" t="str">
        <f aca="false">IF($C8="","",INDEX(単元18!$H$5:$H$164,$C8)&amp;"")</f>
        <v/>
      </c>
      <c r="BS8" s="61" t="str">
        <f aca="false">IF($C8="","",INDEX(単元19!$F$5:$F$164,$C8)&amp;"")</f>
        <v/>
      </c>
      <c r="BT8" s="61" t="str">
        <f aca="false">IF($C8="","",INDEX(単元19!$G$5:$G$164,$C8)&amp;"")</f>
        <v/>
      </c>
      <c r="BU8" s="61" t="str">
        <f aca="false">IF($C8="","",INDEX(単元19!$H$5:$H$164,$C8)&amp;"")</f>
        <v/>
      </c>
      <c r="BV8" s="61" t="str">
        <f aca="false">IF($C8="","",INDEX(単元20!$F$5:$F$164,$C8)&amp;"")</f>
        <v/>
      </c>
      <c r="BW8" s="61" t="str">
        <f aca="false">IF($C8="","",INDEX(単元20!$G$5:$G$164,$C8)&amp;"")</f>
        <v/>
      </c>
      <c r="BX8" s="61" t="str">
        <f aca="false">IF($C8="","",INDEX(単元20!$H$5:$H$164,$C8)&amp;"")</f>
        <v/>
      </c>
    </row>
    <row r="9" customFormat="false" ht="19.5" hidden="false" customHeight="true" outlineLevel="0" collapsed="false">
      <c r="A9" s="91" t="str">
        <f aca="false">IF($C9="","",INDEX(名簿!$C$5:$C$164,$C9))</f>
        <v/>
      </c>
      <c r="B9" s="59" t="str">
        <f aca="false">IF($C9="","",INDEX(名簿!$D$5:$D$164,$C9)&amp;IF(INDEX(名簿!$F$5:$F$164,$C9)="転出","（転出）",""))</f>
        <v/>
      </c>
      <c r="C9" s="41" t="str">
        <f aca="false">IFERROR(MATCH($B$2&amp;"|"&amp;3,名簿!$G$5:$G$164,0),"")</f>
        <v/>
      </c>
      <c r="D9" s="60" t="str">
        <f aca="false">IF($C9="","",SUMPRODUCT(($Q9:$BX9=D$6)*($Q$6:$BX$6=D$3)*((($F$2&amp;"")="通年")+($Q$3:$BX$3=($F$2&amp;""))&gt;0)))</f>
        <v/>
      </c>
      <c r="E9" s="60" t="str">
        <f aca="false">IF($C9="","",SUMPRODUCT(($Q9:$BX9=E$6)*($Q$6:$BX$6=E$3)*((($F$2&amp;"")="通年")+($Q$3:$BX$3=($F$2&amp;""))&gt;0)))</f>
        <v/>
      </c>
      <c r="F9" s="60" t="str">
        <f aca="false">IF($C9="","",SUMPRODUCT(($Q9:$BX9=F$6)*($Q$6:$BX$6=F$3)*((($F$2&amp;"")="通年")+($Q$3:$BX$3=($F$2&amp;""))&gt;0)))</f>
        <v/>
      </c>
      <c r="G9" s="60" t="str">
        <f aca="false">IF($C9="","",SUMPRODUCT(($Q9:$BX9=G$6)*($Q$6:$BX$6=G$3)*((($F$2&amp;"")="通年")+($Q$3:$BX$3=($F$2&amp;""))&gt;0)))</f>
        <v/>
      </c>
      <c r="H9" s="60" t="str">
        <f aca="false">IF($C9="","",SUMPRODUCT(($Q9:$BX9=H$6)*($Q$6:$BX$6=H$3)*((($F$2&amp;"")="通年")+($Q$3:$BX$3=($F$2&amp;""))&gt;0)))</f>
        <v/>
      </c>
      <c r="I9" s="60" t="str">
        <f aca="false">IF($C9="","",SUMPRODUCT(($Q9:$BX9=I$6)*($Q$6:$BX$6=I$3)*((($F$2&amp;"")="通年")+($Q$3:$BX$3=($F$2&amp;""))&gt;0)))</f>
        <v/>
      </c>
      <c r="J9" s="60" t="str">
        <f aca="false">IF($C9="","",SUMPRODUCT(($Q9:$BX9=J$6)*($Q$6:$BX$6=J$3)*((($F$2&amp;"")="通年")+($Q$3:$BX$3=($F$2&amp;""))&gt;0)))</f>
        <v/>
      </c>
      <c r="K9" s="60" t="str">
        <f aca="false">IF($C9="","",SUMPRODUCT(($Q9:$BX9=K$6)*($Q$6:$BX$6=K$3)*((($F$2&amp;"")="通年")+($Q$3:$BX$3=($F$2&amp;""))&gt;0)))</f>
        <v/>
      </c>
      <c r="L9" s="60" t="str">
        <f aca="false">IF($C9="","",SUMPRODUCT(($Q9:$BX9=L$6)*($Q$6:$BX$6=L$3)*((($F$2&amp;"")="通年")+($Q$3:$BX$3=($F$2&amp;""))&gt;0)))</f>
        <v/>
      </c>
      <c r="M9" s="62" t="str">
        <f aca="false">IF($C9="","",IF(SUM(D9:F9)=0,"",IF(D9/SUM(D9:F9)&gt;=設定!$I$17,設定!$G$8,IF(F9/SUM(D9:F9)&gt;=設定!$I$18,設定!$G$10,設定!$G$9))))</f>
        <v/>
      </c>
      <c r="N9" s="62" t="str">
        <f aca="false">IF($C9="","",IF(SUM(G9:I9)=0,"",IF(G9/SUM(G9:I9)&gt;=設定!$I$17,設定!$G$8,IF(I9/SUM(G9:I9)&gt;=設定!$I$18,設定!$G$10,設定!$G$9))))</f>
        <v/>
      </c>
      <c r="O9" s="62" t="str">
        <f aca="false">IF($C9="","",IF(SUM(J9:L9)=0,"",IF(J9/SUM(J9:L9)&gt;=設定!$I$17,設定!$G$8,IF(L9/SUM(J9:L9)&gt;=設定!$I$18,設定!$G$10,設定!$G$9))))</f>
        <v/>
      </c>
      <c r="P9" s="13"/>
      <c r="Q9" s="61" t="str">
        <f aca="false">IF($C9="","",INDEX(単元01!$F$5:$F$164,$C9)&amp;"")</f>
        <v/>
      </c>
      <c r="R9" s="61" t="str">
        <f aca="false">IF($C9="","",INDEX(単元01!$G$5:$G$164,$C9)&amp;"")</f>
        <v/>
      </c>
      <c r="S9" s="61" t="str">
        <f aca="false">IF($C9="","",INDEX(単元01!$H$5:$H$164,$C9)&amp;"")</f>
        <v/>
      </c>
      <c r="T9" s="61" t="str">
        <f aca="false">IF($C9="","",INDEX(単元02!$F$5:$F$164,$C9)&amp;"")</f>
        <v/>
      </c>
      <c r="U9" s="61" t="str">
        <f aca="false">IF($C9="","",INDEX(単元02!$G$5:$G$164,$C9)&amp;"")</f>
        <v/>
      </c>
      <c r="V9" s="61" t="str">
        <f aca="false">IF($C9="","",INDEX(単元02!$H$5:$H$164,$C9)&amp;"")</f>
        <v/>
      </c>
      <c r="W9" s="61" t="str">
        <f aca="false">IF($C9="","",INDEX(単元03!$F$5:$F$164,$C9)&amp;"")</f>
        <v/>
      </c>
      <c r="X9" s="61" t="str">
        <f aca="false">IF($C9="","",INDEX(単元03!$G$5:$G$164,$C9)&amp;"")</f>
        <v/>
      </c>
      <c r="Y9" s="61" t="str">
        <f aca="false">IF($C9="","",INDEX(単元03!$H$5:$H$164,$C9)&amp;"")</f>
        <v/>
      </c>
      <c r="Z9" s="61" t="str">
        <f aca="false">IF($C9="","",INDEX(単元04!$F$5:$F$164,$C9)&amp;"")</f>
        <v/>
      </c>
      <c r="AA9" s="61" t="str">
        <f aca="false">IF($C9="","",INDEX(単元04!$G$5:$G$164,$C9)&amp;"")</f>
        <v/>
      </c>
      <c r="AB9" s="61" t="str">
        <f aca="false">IF($C9="","",INDEX(単元04!$H$5:$H$164,$C9)&amp;"")</f>
        <v/>
      </c>
      <c r="AC9" s="61" t="str">
        <f aca="false">IF($C9="","",INDEX(単元05!$F$5:$F$164,$C9)&amp;"")</f>
        <v/>
      </c>
      <c r="AD9" s="61" t="str">
        <f aca="false">IF($C9="","",INDEX(単元05!$G$5:$G$164,$C9)&amp;"")</f>
        <v/>
      </c>
      <c r="AE9" s="61" t="str">
        <f aca="false">IF($C9="","",INDEX(単元05!$H$5:$H$164,$C9)&amp;"")</f>
        <v/>
      </c>
      <c r="AF9" s="61" t="str">
        <f aca="false">IF($C9="","",INDEX(単元06!$F$5:$F$164,$C9)&amp;"")</f>
        <v/>
      </c>
      <c r="AG9" s="61" t="str">
        <f aca="false">IF($C9="","",INDEX(単元06!$G$5:$G$164,$C9)&amp;"")</f>
        <v/>
      </c>
      <c r="AH9" s="61" t="str">
        <f aca="false">IF($C9="","",INDEX(単元06!$H$5:$H$164,$C9)&amp;"")</f>
        <v/>
      </c>
      <c r="AI9" s="61" t="str">
        <f aca="false">IF($C9="","",INDEX(単元07!$F$5:$F$164,$C9)&amp;"")</f>
        <v/>
      </c>
      <c r="AJ9" s="61" t="str">
        <f aca="false">IF($C9="","",INDEX(単元07!$G$5:$G$164,$C9)&amp;"")</f>
        <v/>
      </c>
      <c r="AK9" s="61" t="str">
        <f aca="false">IF($C9="","",INDEX(単元07!$H$5:$H$164,$C9)&amp;"")</f>
        <v/>
      </c>
      <c r="AL9" s="61" t="str">
        <f aca="false">IF($C9="","",INDEX(単元08!$F$5:$F$164,$C9)&amp;"")</f>
        <v/>
      </c>
      <c r="AM9" s="61" t="str">
        <f aca="false">IF($C9="","",INDEX(単元08!$G$5:$G$164,$C9)&amp;"")</f>
        <v/>
      </c>
      <c r="AN9" s="61" t="str">
        <f aca="false">IF($C9="","",INDEX(単元08!$H$5:$H$164,$C9)&amp;"")</f>
        <v/>
      </c>
      <c r="AO9" s="61" t="str">
        <f aca="false">IF($C9="","",INDEX(単元09!$F$5:$F$164,$C9)&amp;"")</f>
        <v/>
      </c>
      <c r="AP9" s="61" t="str">
        <f aca="false">IF($C9="","",INDEX(単元09!$G$5:$G$164,$C9)&amp;"")</f>
        <v/>
      </c>
      <c r="AQ9" s="61" t="str">
        <f aca="false">IF($C9="","",INDEX(単元09!$H$5:$H$164,$C9)&amp;"")</f>
        <v/>
      </c>
      <c r="AR9" s="61" t="str">
        <f aca="false">IF($C9="","",INDEX(単元10!$F$5:$F$164,$C9)&amp;"")</f>
        <v/>
      </c>
      <c r="AS9" s="61" t="str">
        <f aca="false">IF($C9="","",INDEX(単元10!$G$5:$G$164,$C9)&amp;"")</f>
        <v/>
      </c>
      <c r="AT9" s="61" t="str">
        <f aca="false">IF($C9="","",INDEX(単元10!$H$5:$H$164,$C9)&amp;"")</f>
        <v/>
      </c>
      <c r="AU9" s="61" t="str">
        <f aca="false">IF($C9="","",INDEX(単元11!$F$5:$F$164,$C9)&amp;"")</f>
        <v/>
      </c>
      <c r="AV9" s="61" t="str">
        <f aca="false">IF($C9="","",INDEX(単元11!$G$5:$G$164,$C9)&amp;"")</f>
        <v/>
      </c>
      <c r="AW9" s="61" t="str">
        <f aca="false">IF($C9="","",INDEX(単元11!$H$5:$H$164,$C9)&amp;"")</f>
        <v/>
      </c>
      <c r="AX9" s="61" t="str">
        <f aca="false">IF($C9="","",INDEX(単元12!$F$5:$F$164,$C9)&amp;"")</f>
        <v/>
      </c>
      <c r="AY9" s="61" t="str">
        <f aca="false">IF($C9="","",INDEX(単元12!$G$5:$G$164,$C9)&amp;"")</f>
        <v/>
      </c>
      <c r="AZ9" s="61" t="str">
        <f aca="false">IF($C9="","",INDEX(単元12!$H$5:$H$164,$C9)&amp;"")</f>
        <v/>
      </c>
      <c r="BA9" s="61" t="str">
        <f aca="false">IF($C9="","",INDEX(単元13!$F$5:$F$164,$C9)&amp;"")</f>
        <v/>
      </c>
      <c r="BB9" s="61" t="str">
        <f aca="false">IF($C9="","",INDEX(単元13!$G$5:$G$164,$C9)&amp;"")</f>
        <v/>
      </c>
      <c r="BC9" s="61" t="str">
        <f aca="false">IF($C9="","",INDEX(単元13!$H$5:$H$164,$C9)&amp;"")</f>
        <v/>
      </c>
      <c r="BD9" s="61" t="str">
        <f aca="false">IF($C9="","",INDEX(単元14!$F$5:$F$164,$C9)&amp;"")</f>
        <v/>
      </c>
      <c r="BE9" s="61" t="str">
        <f aca="false">IF($C9="","",INDEX(単元14!$G$5:$G$164,$C9)&amp;"")</f>
        <v/>
      </c>
      <c r="BF9" s="61" t="str">
        <f aca="false">IF($C9="","",INDEX(単元14!$H$5:$H$164,$C9)&amp;"")</f>
        <v/>
      </c>
      <c r="BG9" s="61" t="str">
        <f aca="false">IF($C9="","",INDEX(単元15!$F$5:$F$164,$C9)&amp;"")</f>
        <v/>
      </c>
      <c r="BH9" s="61" t="str">
        <f aca="false">IF($C9="","",INDEX(単元15!$G$5:$G$164,$C9)&amp;"")</f>
        <v/>
      </c>
      <c r="BI9" s="61" t="str">
        <f aca="false">IF($C9="","",INDEX(単元15!$H$5:$H$164,$C9)&amp;"")</f>
        <v/>
      </c>
      <c r="BJ9" s="61" t="str">
        <f aca="false">IF($C9="","",INDEX(単元16!$F$5:$F$164,$C9)&amp;"")</f>
        <v/>
      </c>
      <c r="BK9" s="61" t="str">
        <f aca="false">IF($C9="","",INDEX(単元16!$G$5:$G$164,$C9)&amp;"")</f>
        <v/>
      </c>
      <c r="BL9" s="61" t="str">
        <f aca="false">IF($C9="","",INDEX(単元16!$H$5:$H$164,$C9)&amp;"")</f>
        <v/>
      </c>
      <c r="BM9" s="61" t="str">
        <f aca="false">IF($C9="","",INDEX(単元17!$F$5:$F$164,$C9)&amp;"")</f>
        <v/>
      </c>
      <c r="BN9" s="61" t="str">
        <f aca="false">IF($C9="","",INDEX(単元17!$G$5:$G$164,$C9)&amp;"")</f>
        <v/>
      </c>
      <c r="BO9" s="61" t="str">
        <f aca="false">IF($C9="","",INDEX(単元17!$H$5:$H$164,$C9)&amp;"")</f>
        <v/>
      </c>
      <c r="BP9" s="61" t="str">
        <f aca="false">IF($C9="","",INDEX(単元18!$F$5:$F$164,$C9)&amp;"")</f>
        <v/>
      </c>
      <c r="BQ9" s="61" t="str">
        <f aca="false">IF($C9="","",INDEX(単元18!$G$5:$G$164,$C9)&amp;"")</f>
        <v/>
      </c>
      <c r="BR9" s="61" t="str">
        <f aca="false">IF($C9="","",INDEX(単元18!$H$5:$H$164,$C9)&amp;"")</f>
        <v/>
      </c>
      <c r="BS9" s="61" t="str">
        <f aca="false">IF($C9="","",INDEX(単元19!$F$5:$F$164,$C9)&amp;"")</f>
        <v/>
      </c>
      <c r="BT9" s="61" t="str">
        <f aca="false">IF($C9="","",INDEX(単元19!$G$5:$G$164,$C9)&amp;"")</f>
        <v/>
      </c>
      <c r="BU9" s="61" t="str">
        <f aca="false">IF($C9="","",INDEX(単元19!$H$5:$H$164,$C9)&amp;"")</f>
        <v/>
      </c>
      <c r="BV9" s="61" t="str">
        <f aca="false">IF($C9="","",INDEX(単元20!$F$5:$F$164,$C9)&amp;"")</f>
        <v/>
      </c>
      <c r="BW9" s="61" t="str">
        <f aca="false">IF($C9="","",INDEX(単元20!$G$5:$G$164,$C9)&amp;"")</f>
        <v/>
      </c>
      <c r="BX9" s="61" t="str">
        <f aca="false">IF($C9="","",INDEX(単元20!$H$5:$H$164,$C9)&amp;"")</f>
        <v/>
      </c>
    </row>
    <row r="10" customFormat="false" ht="19.5" hidden="false" customHeight="true" outlineLevel="0" collapsed="false">
      <c r="A10" s="91" t="str">
        <f aca="false">IF($C10="","",INDEX(名簿!$C$5:$C$164,$C10))</f>
        <v/>
      </c>
      <c r="B10" s="59" t="str">
        <f aca="false">IF($C10="","",INDEX(名簿!$D$5:$D$164,$C10)&amp;IF(INDEX(名簿!$F$5:$F$164,$C10)="転出","（転出）",""))</f>
        <v/>
      </c>
      <c r="C10" s="41" t="str">
        <f aca="false">IFERROR(MATCH($B$2&amp;"|"&amp;4,名簿!$G$5:$G$164,0),"")</f>
        <v/>
      </c>
      <c r="D10" s="60" t="str">
        <f aca="false">IF($C10="","",SUMPRODUCT(($Q10:$BX10=D$6)*($Q$6:$BX$6=D$3)*((($F$2&amp;"")="通年")+($Q$3:$BX$3=($F$2&amp;""))&gt;0)))</f>
        <v/>
      </c>
      <c r="E10" s="60" t="str">
        <f aca="false">IF($C10="","",SUMPRODUCT(($Q10:$BX10=E$6)*($Q$6:$BX$6=E$3)*((($F$2&amp;"")="通年")+($Q$3:$BX$3=($F$2&amp;""))&gt;0)))</f>
        <v/>
      </c>
      <c r="F10" s="60" t="str">
        <f aca="false">IF($C10="","",SUMPRODUCT(($Q10:$BX10=F$6)*($Q$6:$BX$6=F$3)*((($F$2&amp;"")="通年")+($Q$3:$BX$3=($F$2&amp;""))&gt;0)))</f>
        <v/>
      </c>
      <c r="G10" s="60" t="str">
        <f aca="false">IF($C10="","",SUMPRODUCT(($Q10:$BX10=G$6)*($Q$6:$BX$6=G$3)*((($F$2&amp;"")="通年")+($Q$3:$BX$3=($F$2&amp;""))&gt;0)))</f>
        <v/>
      </c>
      <c r="H10" s="60" t="str">
        <f aca="false">IF($C10="","",SUMPRODUCT(($Q10:$BX10=H$6)*($Q$6:$BX$6=H$3)*((($F$2&amp;"")="通年")+($Q$3:$BX$3=($F$2&amp;""))&gt;0)))</f>
        <v/>
      </c>
      <c r="I10" s="60" t="str">
        <f aca="false">IF($C10="","",SUMPRODUCT(($Q10:$BX10=I$6)*($Q$6:$BX$6=I$3)*((($F$2&amp;"")="通年")+($Q$3:$BX$3=($F$2&amp;""))&gt;0)))</f>
        <v/>
      </c>
      <c r="J10" s="60" t="str">
        <f aca="false">IF($C10="","",SUMPRODUCT(($Q10:$BX10=J$6)*($Q$6:$BX$6=J$3)*((($F$2&amp;"")="通年")+($Q$3:$BX$3=($F$2&amp;""))&gt;0)))</f>
        <v/>
      </c>
      <c r="K10" s="60" t="str">
        <f aca="false">IF($C10="","",SUMPRODUCT(($Q10:$BX10=K$6)*($Q$6:$BX$6=K$3)*((($F$2&amp;"")="通年")+($Q$3:$BX$3=($F$2&amp;""))&gt;0)))</f>
        <v/>
      </c>
      <c r="L10" s="60" t="str">
        <f aca="false">IF($C10="","",SUMPRODUCT(($Q10:$BX10=L$6)*($Q$6:$BX$6=L$3)*((($F$2&amp;"")="通年")+($Q$3:$BX$3=($F$2&amp;""))&gt;0)))</f>
        <v/>
      </c>
      <c r="M10" s="62" t="str">
        <f aca="false">IF($C10="","",IF(SUM(D10:F10)=0,"",IF(D10/SUM(D10:F10)&gt;=設定!$I$17,設定!$G$8,IF(F10/SUM(D10:F10)&gt;=設定!$I$18,設定!$G$10,設定!$G$9))))</f>
        <v/>
      </c>
      <c r="N10" s="62" t="str">
        <f aca="false">IF($C10="","",IF(SUM(G10:I10)=0,"",IF(G10/SUM(G10:I10)&gt;=設定!$I$17,設定!$G$8,IF(I10/SUM(G10:I10)&gt;=設定!$I$18,設定!$G$10,設定!$G$9))))</f>
        <v/>
      </c>
      <c r="O10" s="62" t="str">
        <f aca="false">IF($C10="","",IF(SUM(J10:L10)=0,"",IF(J10/SUM(J10:L10)&gt;=設定!$I$17,設定!$G$8,IF(L10/SUM(J10:L10)&gt;=設定!$I$18,設定!$G$10,設定!$G$9))))</f>
        <v/>
      </c>
      <c r="P10" s="13"/>
      <c r="Q10" s="61" t="str">
        <f aca="false">IF($C10="","",INDEX(単元01!$F$5:$F$164,$C10)&amp;"")</f>
        <v/>
      </c>
      <c r="R10" s="61" t="str">
        <f aca="false">IF($C10="","",INDEX(単元01!$G$5:$G$164,$C10)&amp;"")</f>
        <v/>
      </c>
      <c r="S10" s="61" t="str">
        <f aca="false">IF($C10="","",INDEX(単元01!$H$5:$H$164,$C10)&amp;"")</f>
        <v/>
      </c>
      <c r="T10" s="61" t="str">
        <f aca="false">IF($C10="","",INDEX(単元02!$F$5:$F$164,$C10)&amp;"")</f>
        <v/>
      </c>
      <c r="U10" s="61" t="str">
        <f aca="false">IF($C10="","",INDEX(単元02!$G$5:$G$164,$C10)&amp;"")</f>
        <v/>
      </c>
      <c r="V10" s="61" t="str">
        <f aca="false">IF($C10="","",INDEX(単元02!$H$5:$H$164,$C10)&amp;"")</f>
        <v/>
      </c>
      <c r="W10" s="61" t="str">
        <f aca="false">IF($C10="","",INDEX(単元03!$F$5:$F$164,$C10)&amp;"")</f>
        <v/>
      </c>
      <c r="X10" s="61" t="str">
        <f aca="false">IF($C10="","",INDEX(単元03!$G$5:$G$164,$C10)&amp;"")</f>
        <v/>
      </c>
      <c r="Y10" s="61" t="str">
        <f aca="false">IF($C10="","",INDEX(単元03!$H$5:$H$164,$C10)&amp;"")</f>
        <v/>
      </c>
      <c r="Z10" s="61" t="str">
        <f aca="false">IF($C10="","",INDEX(単元04!$F$5:$F$164,$C10)&amp;"")</f>
        <v/>
      </c>
      <c r="AA10" s="61" t="str">
        <f aca="false">IF($C10="","",INDEX(単元04!$G$5:$G$164,$C10)&amp;"")</f>
        <v/>
      </c>
      <c r="AB10" s="61" t="str">
        <f aca="false">IF($C10="","",INDEX(単元04!$H$5:$H$164,$C10)&amp;"")</f>
        <v/>
      </c>
      <c r="AC10" s="61" t="str">
        <f aca="false">IF($C10="","",INDEX(単元05!$F$5:$F$164,$C10)&amp;"")</f>
        <v/>
      </c>
      <c r="AD10" s="61" t="str">
        <f aca="false">IF($C10="","",INDEX(単元05!$G$5:$G$164,$C10)&amp;"")</f>
        <v/>
      </c>
      <c r="AE10" s="61" t="str">
        <f aca="false">IF($C10="","",INDEX(単元05!$H$5:$H$164,$C10)&amp;"")</f>
        <v/>
      </c>
      <c r="AF10" s="61" t="str">
        <f aca="false">IF($C10="","",INDEX(単元06!$F$5:$F$164,$C10)&amp;"")</f>
        <v/>
      </c>
      <c r="AG10" s="61" t="str">
        <f aca="false">IF($C10="","",INDEX(単元06!$G$5:$G$164,$C10)&amp;"")</f>
        <v/>
      </c>
      <c r="AH10" s="61" t="str">
        <f aca="false">IF($C10="","",INDEX(単元06!$H$5:$H$164,$C10)&amp;"")</f>
        <v/>
      </c>
      <c r="AI10" s="61" t="str">
        <f aca="false">IF($C10="","",INDEX(単元07!$F$5:$F$164,$C10)&amp;"")</f>
        <v/>
      </c>
      <c r="AJ10" s="61" t="str">
        <f aca="false">IF($C10="","",INDEX(単元07!$G$5:$G$164,$C10)&amp;"")</f>
        <v/>
      </c>
      <c r="AK10" s="61" t="str">
        <f aca="false">IF($C10="","",INDEX(単元07!$H$5:$H$164,$C10)&amp;"")</f>
        <v/>
      </c>
      <c r="AL10" s="61" t="str">
        <f aca="false">IF($C10="","",INDEX(単元08!$F$5:$F$164,$C10)&amp;"")</f>
        <v/>
      </c>
      <c r="AM10" s="61" t="str">
        <f aca="false">IF($C10="","",INDEX(単元08!$G$5:$G$164,$C10)&amp;"")</f>
        <v/>
      </c>
      <c r="AN10" s="61" t="str">
        <f aca="false">IF($C10="","",INDEX(単元08!$H$5:$H$164,$C10)&amp;"")</f>
        <v/>
      </c>
      <c r="AO10" s="61" t="str">
        <f aca="false">IF($C10="","",INDEX(単元09!$F$5:$F$164,$C10)&amp;"")</f>
        <v/>
      </c>
      <c r="AP10" s="61" t="str">
        <f aca="false">IF($C10="","",INDEX(単元09!$G$5:$G$164,$C10)&amp;"")</f>
        <v/>
      </c>
      <c r="AQ10" s="61" t="str">
        <f aca="false">IF($C10="","",INDEX(単元09!$H$5:$H$164,$C10)&amp;"")</f>
        <v/>
      </c>
      <c r="AR10" s="61" t="str">
        <f aca="false">IF($C10="","",INDEX(単元10!$F$5:$F$164,$C10)&amp;"")</f>
        <v/>
      </c>
      <c r="AS10" s="61" t="str">
        <f aca="false">IF($C10="","",INDEX(単元10!$G$5:$G$164,$C10)&amp;"")</f>
        <v/>
      </c>
      <c r="AT10" s="61" t="str">
        <f aca="false">IF($C10="","",INDEX(単元10!$H$5:$H$164,$C10)&amp;"")</f>
        <v/>
      </c>
      <c r="AU10" s="61" t="str">
        <f aca="false">IF($C10="","",INDEX(単元11!$F$5:$F$164,$C10)&amp;"")</f>
        <v/>
      </c>
      <c r="AV10" s="61" t="str">
        <f aca="false">IF($C10="","",INDEX(単元11!$G$5:$G$164,$C10)&amp;"")</f>
        <v/>
      </c>
      <c r="AW10" s="61" t="str">
        <f aca="false">IF($C10="","",INDEX(単元11!$H$5:$H$164,$C10)&amp;"")</f>
        <v/>
      </c>
      <c r="AX10" s="61" t="str">
        <f aca="false">IF($C10="","",INDEX(単元12!$F$5:$F$164,$C10)&amp;"")</f>
        <v/>
      </c>
      <c r="AY10" s="61" t="str">
        <f aca="false">IF($C10="","",INDEX(単元12!$G$5:$G$164,$C10)&amp;"")</f>
        <v/>
      </c>
      <c r="AZ10" s="61" t="str">
        <f aca="false">IF($C10="","",INDEX(単元12!$H$5:$H$164,$C10)&amp;"")</f>
        <v/>
      </c>
      <c r="BA10" s="61" t="str">
        <f aca="false">IF($C10="","",INDEX(単元13!$F$5:$F$164,$C10)&amp;"")</f>
        <v/>
      </c>
      <c r="BB10" s="61" t="str">
        <f aca="false">IF($C10="","",INDEX(単元13!$G$5:$G$164,$C10)&amp;"")</f>
        <v/>
      </c>
      <c r="BC10" s="61" t="str">
        <f aca="false">IF($C10="","",INDEX(単元13!$H$5:$H$164,$C10)&amp;"")</f>
        <v/>
      </c>
      <c r="BD10" s="61" t="str">
        <f aca="false">IF($C10="","",INDEX(単元14!$F$5:$F$164,$C10)&amp;"")</f>
        <v/>
      </c>
      <c r="BE10" s="61" t="str">
        <f aca="false">IF($C10="","",INDEX(単元14!$G$5:$G$164,$C10)&amp;"")</f>
        <v/>
      </c>
      <c r="BF10" s="61" t="str">
        <f aca="false">IF($C10="","",INDEX(単元14!$H$5:$H$164,$C10)&amp;"")</f>
        <v/>
      </c>
      <c r="BG10" s="61" t="str">
        <f aca="false">IF($C10="","",INDEX(単元15!$F$5:$F$164,$C10)&amp;"")</f>
        <v/>
      </c>
      <c r="BH10" s="61" t="str">
        <f aca="false">IF($C10="","",INDEX(単元15!$G$5:$G$164,$C10)&amp;"")</f>
        <v/>
      </c>
      <c r="BI10" s="61" t="str">
        <f aca="false">IF($C10="","",INDEX(単元15!$H$5:$H$164,$C10)&amp;"")</f>
        <v/>
      </c>
      <c r="BJ10" s="61" t="str">
        <f aca="false">IF($C10="","",INDEX(単元16!$F$5:$F$164,$C10)&amp;"")</f>
        <v/>
      </c>
      <c r="BK10" s="61" t="str">
        <f aca="false">IF($C10="","",INDEX(単元16!$G$5:$G$164,$C10)&amp;"")</f>
        <v/>
      </c>
      <c r="BL10" s="61" t="str">
        <f aca="false">IF($C10="","",INDEX(単元16!$H$5:$H$164,$C10)&amp;"")</f>
        <v/>
      </c>
      <c r="BM10" s="61" t="str">
        <f aca="false">IF($C10="","",INDEX(単元17!$F$5:$F$164,$C10)&amp;"")</f>
        <v/>
      </c>
      <c r="BN10" s="61" t="str">
        <f aca="false">IF($C10="","",INDEX(単元17!$G$5:$G$164,$C10)&amp;"")</f>
        <v/>
      </c>
      <c r="BO10" s="61" t="str">
        <f aca="false">IF($C10="","",INDEX(単元17!$H$5:$H$164,$C10)&amp;"")</f>
        <v/>
      </c>
      <c r="BP10" s="61" t="str">
        <f aca="false">IF($C10="","",INDEX(単元18!$F$5:$F$164,$C10)&amp;"")</f>
        <v/>
      </c>
      <c r="BQ10" s="61" t="str">
        <f aca="false">IF($C10="","",INDEX(単元18!$G$5:$G$164,$C10)&amp;"")</f>
        <v/>
      </c>
      <c r="BR10" s="61" t="str">
        <f aca="false">IF($C10="","",INDEX(単元18!$H$5:$H$164,$C10)&amp;"")</f>
        <v/>
      </c>
      <c r="BS10" s="61" t="str">
        <f aca="false">IF($C10="","",INDEX(単元19!$F$5:$F$164,$C10)&amp;"")</f>
        <v/>
      </c>
      <c r="BT10" s="61" t="str">
        <f aca="false">IF($C10="","",INDEX(単元19!$G$5:$G$164,$C10)&amp;"")</f>
        <v/>
      </c>
      <c r="BU10" s="61" t="str">
        <f aca="false">IF($C10="","",INDEX(単元19!$H$5:$H$164,$C10)&amp;"")</f>
        <v/>
      </c>
      <c r="BV10" s="61" t="str">
        <f aca="false">IF($C10="","",INDEX(単元20!$F$5:$F$164,$C10)&amp;"")</f>
        <v/>
      </c>
      <c r="BW10" s="61" t="str">
        <f aca="false">IF($C10="","",INDEX(単元20!$G$5:$G$164,$C10)&amp;"")</f>
        <v/>
      </c>
      <c r="BX10" s="61" t="str">
        <f aca="false">IF($C10="","",INDEX(単元20!$H$5:$H$164,$C10)&amp;"")</f>
        <v/>
      </c>
    </row>
    <row r="11" customFormat="false" ht="19.5" hidden="false" customHeight="true" outlineLevel="0" collapsed="false">
      <c r="A11" s="91" t="str">
        <f aca="false">IF($C11="","",INDEX(名簿!$C$5:$C$164,$C11))</f>
        <v/>
      </c>
      <c r="B11" s="59" t="str">
        <f aca="false">IF($C11="","",INDEX(名簿!$D$5:$D$164,$C11)&amp;IF(INDEX(名簿!$F$5:$F$164,$C11)="転出","（転出）",""))</f>
        <v/>
      </c>
      <c r="C11" s="41" t="str">
        <f aca="false">IFERROR(MATCH($B$2&amp;"|"&amp;5,名簿!$G$5:$G$164,0),"")</f>
        <v/>
      </c>
      <c r="D11" s="60" t="str">
        <f aca="false">IF($C11="","",SUMPRODUCT(($Q11:$BX11=D$6)*($Q$6:$BX$6=D$3)*((($F$2&amp;"")="通年")+($Q$3:$BX$3=($F$2&amp;""))&gt;0)))</f>
        <v/>
      </c>
      <c r="E11" s="60" t="str">
        <f aca="false">IF($C11="","",SUMPRODUCT(($Q11:$BX11=E$6)*($Q$6:$BX$6=E$3)*((($F$2&amp;"")="通年")+($Q$3:$BX$3=($F$2&amp;""))&gt;0)))</f>
        <v/>
      </c>
      <c r="F11" s="60" t="str">
        <f aca="false">IF($C11="","",SUMPRODUCT(($Q11:$BX11=F$6)*($Q$6:$BX$6=F$3)*((($F$2&amp;"")="通年")+($Q$3:$BX$3=($F$2&amp;""))&gt;0)))</f>
        <v/>
      </c>
      <c r="G11" s="60" t="str">
        <f aca="false">IF($C11="","",SUMPRODUCT(($Q11:$BX11=G$6)*($Q$6:$BX$6=G$3)*((($F$2&amp;"")="通年")+($Q$3:$BX$3=($F$2&amp;""))&gt;0)))</f>
        <v/>
      </c>
      <c r="H11" s="60" t="str">
        <f aca="false">IF($C11="","",SUMPRODUCT(($Q11:$BX11=H$6)*($Q$6:$BX$6=H$3)*((($F$2&amp;"")="通年")+($Q$3:$BX$3=($F$2&amp;""))&gt;0)))</f>
        <v/>
      </c>
      <c r="I11" s="60" t="str">
        <f aca="false">IF($C11="","",SUMPRODUCT(($Q11:$BX11=I$6)*($Q$6:$BX$6=I$3)*((($F$2&amp;"")="通年")+($Q$3:$BX$3=($F$2&amp;""))&gt;0)))</f>
        <v/>
      </c>
      <c r="J11" s="60" t="str">
        <f aca="false">IF($C11="","",SUMPRODUCT(($Q11:$BX11=J$6)*($Q$6:$BX$6=J$3)*((($F$2&amp;"")="通年")+($Q$3:$BX$3=($F$2&amp;""))&gt;0)))</f>
        <v/>
      </c>
      <c r="K11" s="60" t="str">
        <f aca="false">IF($C11="","",SUMPRODUCT(($Q11:$BX11=K$6)*($Q$6:$BX$6=K$3)*((($F$2&amp;"")="通年")+($Q$3:$BX$3=($F$2&amp;""))&gt;0)))</f>
        <v/>
      </c>
      <c r="L11" s="60" t="str">
        <f aca="false">IF($C11="","",SUMPRODUCT(($Q11:$BX11=L$6)*($Q$6:$BX$6=L$3)*((($F$2&amp;"")="通年")+($Q$3:$BX$3=($F$2&amp;""))&gt;0)))</f>
        <v/>
      </c>
      <c r="M11" s="62" t="str">
        <f aca="false">IF($C11="","",IF(SUM(D11:F11)=0,"",IF(D11/SUM(D11:F11)&gt;=設定!$I$17,設定!$G$8,IF(F11/SUM(D11:F11)&gt;=設定!$I$18,設定!$G$10,設定!$G$9))))</f>
        <v/>
      </c>
      <c r="N11" s="62" t="str">
        <f aca="false">IF($C11="","",IF(SUM(G11:I11)=0,"",IF(G11/SUM(G11:I11)&gt;=設定!$I$17,設定!$G$8,IF(I11/SUM(G11:I11)&gt;=設定!$I$18,設定!$G$10,設定!$G$9))))</f>
        <v/>
      </c>
      <c r="O11" s="62" t="str">
        <f aca="false">IF($C11="","",IF(SUM(J11:L11)=0,"",IF(J11/SUM(J11:L11)&gt;=設定!$I$17,設定!$G$8,IF(L11/SUM(J11:L11)&gt;=設定!$I$18,設定!$G$10,設定!$G$9))))</f>
        <v/>
      </c>
      <c r="P11" s="13"/>
      <c r="Q11" s="61" t="str">
        <f aca="false">IF($C11="","",INDEX(単元01!$F$5:$F$164,$C11)&amp;"")</f>
        <v/>
      </c>
      <c r="R11" s="61" t="str">
        <f aca="false">IF($C11="","",INDEX(単元01!$G$5:$G$164,$C11)&amp;"")</f>
        <v/>
      </c>
      <c r="S11" s="61" t="str">
        <f aca="false">IF($C11="","",INDEX(単元01!$H$5:$H$164,$C11)&amp;"")</f>
        <v/>
      </c>
      <c r="T11" s="61" t="str">
        <f aca="false">IF($C11="","",INDEX(単元02!$F$5:$F$164,$C11)&amp;"")</f>
        <v/>
      </c>
      <c r="U11" s="61" t="str">
        <f aca="false">IF($C11="","",INDEX(単元02!$G$5:$G$164,$C11)&amp;"")</f>
        <v/>
      </c>
      <c r="V11" s="61" t="str">
        <f aca="false">IF($C11="","",INDEX(単元02!$H$5:$H$164,$C11)&amp;"")</f>
        <v/>
      </c>
      <c r="W11" s="61" t="str">
        <f aca="false">IF($C11="","",INDEX(単元03!$F$5:$F$164,$C11)&amp;"")</f>
        <v/>
      </c>
      <c r="X11" s="61" t="str">
        <f aca="false">IF($C11="","",INDEX(単元03!$G$5:$G$164,$C11)&amp;"")</f>
        <v/>
      </c>
      <c r="Y11" s="61" t="str">
        <f aca="false">IF($C11="","",INDEX(単元03!$H$5:$H$164,$C11)&amp;"")</f>
        <v/>
      </c>
      <c r="Z11" s="61" t="str">
        <f aca="false">IF($C11="","",INDEX(単元04!$F$5:$F$164,$C11)&amp;"")</f>
        <v/>
      </c>
      <c r="AA11" s="61" t="str">
        <f aca="false">IF($C11="","",INDEX(単元04!$G$5:$G$164,$C11)&amp;"")</f>
        <v/>
      </c>
      <c r="AB11" s="61" t="str">
        <f aca="false">IF($C11="","",INDEX(単元04!$H$5:$H$164,$C11)&amp;"")</f>
        <v/>
      </c>
      <c r="AC11" s="61" t="str">
        <f aca="false">IF($C11="","",INDEX(単元05!$F$5:$F$164,$C11)&amp;"")</f>
        <v/>
      </c>
      <c r="AD11" s="61" t="str">
        <f aca="false">IF($C11="","",INDEX(単元05!$G$5:$G$164,$C11)&amp;"")</f>
        <v/>
      </c>
      <c r="AE11" s="61" t="str">
        <f aca="false">IF($C11="","",INDEX(単元05!$H$5:$H$164,$C11)&amp;"")</f>
        <v/>
      </c>
      <c r="AF11" s="61" t="str">
        <f aca="false">IF($C11="","",INDEX(単元06!$F$5:$F$164,$C11)&amp;"")</f>
        <v/>
      </c>
      <c r="AG11" s="61" t="str">
        <f aca="false">IF($C11="","",INDEX(単元06!$G$5:$G$164,$C11)&amp;"")</f>
        <v/>
      </c>
      <c r="AH11" s="61" t="str">
        <f aca="false">IF($C11="","",INDEX(単元06!$H$5:$H$164,$C11)&amp;"")</f>
        <v/>
      </c>
      <c r="AI11" s="61" t="str">
        <f aca="false">IF($C11="","",INDEX(単元07!$F$5:$F$164,$C11)&amp;"")</f>
        <v/>
      </c>
      <c r="AJ11" s="61" t="str">
        <f aca="false">IF($C11="","",INDEX(単元07!$G$5:$G$164,$C11)&amp;"")</f>
        <v/>
      </c>
      <c r="AK11" s="61" t="str">
        <f aca="false">IF($C11="","",INDEX(単元07!$H$5:$H$164,$C11)&amp;"")</f>
        <v/>
      </c>
      <c r="AL11" s="61" t="str">
        <f aca="false">IF($C11="","",INDEX(単元08!$F$5:$F$164,$C11)&amp;"")</f>
        <v/>
      </c>
      <c r="AM11" s="61" t="str">
        <f aca="false">IF($C11="","",INDEX(単元08!$G$5:$G$164,$C11)&amp;"")</f>
        <v/>
      </c>
      <c r="AN11" s="61" t="str">
        <f aca="false">IF($C11="","",INDEX(単元08!$H$5:$H$164,$C11)&amp;"")</f>
        <v/>
      </c>
      <c r="AO11" s="61" t="str">
        <f aca="false">IF($C11="","",INDEX(単元09!$F$5:$F$164,$C11)&amp;"")</f>
        <v/>
      </c>
      <c r="AP11" s="61" t="str">
        <f aca="false">IF($C11="","",INDEX(単元09!$G$5:$G$164,$C11)&amp;"")</f>
        <v/>
      </c>
      <c r="AQ11" s="61" t="str">
        <f aca="false">IF($C11="","",INDEX(単元09!$H$5:$H$164,$C11)&amp;"")</f>
        <v/>
      </c>
      <c r="AR11" s="61" t="str">
        <f aca="false">IF($C11="","",INDEX(単元10!$F$5:$F$164,$C11)&amp;"")</f>
        <v/>
      </c>
      <c r="AS11" s="61" t="str">
        <f aca="false">IF($C11="","",INDEX(単元10!$G$5:$G$164,$C11)&amp;"")</f>
        <v/>
      </c>
      <c r="AT11" s="61" t="str">
        <f aca="false">IF($C11="","",INDEX(単元10!$H$5:$H$164,$C11)&amp;"")</f>
        <v/>
      </c>
      <c r="AU11" s="61" t="str">
        <f aca="false">IF($C11="","",INDEX(単元11!$F$5:$F$164,$C11)&amp;"")</f>
        <v/>
      </c>
      <c r="AV11" s="61" t="str">
        <f aca="false">IF($C11="","",INDEX(単元11!$G$5:$G$164,$C11)&amp;"")</f>
        <v/>
      </c>
      <c r="AW11" s="61" t="str">
        <f aca="false">IF($C11="","",INDEX(単元11!$H$5:$H$164,$C11)&amp;"")</f>
        <v/>
      </c>
      <c r="AX11" s="61" t="str">
        <f aca="false">IF($C11="","",INDEX(単元12!$F$5:$F$164,$C11)&amp;"")</f>
        <v/>
      </c>
      <c r="AY11" s="61" t="str">
        <f aca="false">IF($C11="","",INDEX(単元12!$G$5:$G$164,$C11)&amp;"")</f>
        <v/>
      </c>
      <c r="AZ11" s="61" t="str">
        <f aca="false">IF($C11="","",INDEX(単元12!$H$5:$H$164,$C11)&amp;"")</f>
        <v/>
      </c>
      <c r="BA11" s="61" t="str">
        <f aca="false">IF($C11="","",INDEX(単元13!$F$5:$F$164,$C11)&amp;"")</f>
        <v/>
      </c>
      <c r="BB11" s="61" t="str">
        <f aca="false">IF($C11="","",INDEX(単元13!$G$5:$G$164,$C11)&amp;"")</f>
        <v/>
      </c>
      <c r="BC11" s="61" t="str">
        <f aca="false">IF($C11="","",INDEX(単元13!$H$5:$H$164,$C11)&amp;"")</f>
        <v/>
      </c>
      <c r="BD11" s="61" t="str">
        <f aca="false">IF($C11="","",INDEX(単元14!$F$5:$F$164,$C11)&amp;"")</f>
        <v/>
      </c>
      <c r="BE11" s="61" t="str">
        <f aca="false">IF($C11="","",INDEX(単元14!$G$5:$G$164,$C11)&amp;"")</f>
        <v/>
      </c>
      <c r="BF11" s="61" t="str">
        <f aca="false">IF($C11="","",INDEX(単元14!$H$5:$H$164,$C11)&amp;"")</f>
        <v/>
      </c>
      <c r="BG11" s="61" t="str">
        <f aca="false">IF($C11="","",INDEX(単元15!$F$5:$F$164,$C11)&amp;"")</f>
        <v/>
      </c>
      <c r="BH11" s="61" t="str">
        <f aca="false">IF($C11="","",INDEX(単元15!$G$5:$G$164,$C11)&amp;"")</f>
        <v/>
      </c>
      <c r="BI11" s="61" t="str">
        <f aca="false">IF($C11="","",INDEX(単元15!$H$5:$H$164,$C11)&amp;"")</f>
        <v/>
      </c>
      <c r="BJ11" s="61" t="str">
        <f aca="false">IF($C11="","",INDEX(単元16!$F$5:$F$164,$C11)&amp;"")</f>
        <v/>
      </c>
      <c r="BK11" s="61" t="str">
        <f aca="false">IF($C11="","",INDEX(単元16!$G$5:$G$164,$C11)&amp;"")</f>
        <v/>
      </c>
      <c r="BL11" s="61" t="str">
        <f aca="false">IF($C11="","",INDEX(単元16!$H$5:$H$164,$C11)&amp;"")</f>
        <v/>
      </c>
      <c r="BM11" s="61" t="str">
        <f aca="false">IF($C11="","",INDEX(単元17!$F$5:$F$164,$C11)&amp;"")</f>
        <v/>
      </c>
      <c r="BN11" s="61" t="str">
        <f aca="false">IF($C11="","",INDEX(単元17!$G$5:$G$164,$C11)&amp;"")</f>
        <v/>
      </c>
      <c r="BO11" s="61" t="str">
        <f aca="false">IF($C11="","",INDEX(単元17!$H$5:$H$164,$C11)&amp;"")</f>
        <v/>
      </c>
      <c r="BP11" s="61" t="str">
        <f aca="false">IF($C11="","",INDEX(単元18!$F$5:$F$164,$C11)&amp;"")</f>
        <v/>
      </c>
      <c r="BQ11" s="61" t="str">
        <f aca="false">IF($C11="","",INDEX(単元18!$G$5:$G$164,$C11)&amp;"")</f>
        <v/>
      </c>
      <c r="BR11" s="61" t="str">
        <f aca="false">IF($C11="","",INDEX(単元18!$H$5:$H$164,$C11)&amp;"")</f>
        <v/>
      </c>
      <c r="BS11" s="61" t="str">
        <f aca="false">IF($C11="","",INDEX(単元19!$F$5:$F$164,$C11)&amp;"")</f>
        <v/>
      </c>
      <c r="BT11" s="61" t="str">
        <f aca="false">IF($C11="","",INDEX(単元19!$G$5:$G$164,$C11)&amp;"")</f>
        <v/>
      </c>
      <c r="BU11" s="61" t="str">
        <f aca="false">IF($C11="","",INDEX(単元19!$H$5:$H$164,$C11)&amp;"")</f>
        <v/>
      </c>
      <c r="BV11" s="61" t="str">
        <f aca="false">IF($C11="","",INDEX(単元20!$F$5:$F$164,$C11)&amp;"")</f>
        <v/>
      </c>
      <c r="BW11" s="61" t="str">
        <f aca="false">IF($C11="","",INDEX(単元20!$G$5:$G$164,$C11)&amp;"")</f>
        <v/>
      </c>
      <c r="BX11" s="61" t="str">
        <f aca="false">IF($C11="","",INDEX(単元20!$H$5:$H$164,$C11)&amp;"")</f>
        <v/>
      </c>
    </row>
    <row r="12" customFormat="false" ht="19.5" hidden="false" customHeight="true" outlineLevel="0" collapsed="false">
      <c r="A12" s="91" t="str">
        <f aca="false">IF($C12="","",INDEX(名簿!$C$5:$C$164,$C12))</f>
        <v/>
      </c>
      <c r="B12" s="59" t="str">
        <f aca="false">IF($C12="","",INDEX(名簿!$D$5:$D$164,$C12)&amp;IF(INDEX(名簿!$F$5:$F$164,$C12)="転出","（転出）",""))</f>
        <v/>
      </c>
      <c r="C12" s="41" t="str">
        <f aca="false">IFERROR(MATCH($B$2&amp;"|"&amp;6,名簿!$G$5:$G$164,0),"")</f>
        <v/>
      </c>
      <c r="D12" s="60" t="str">
        <f aca="false">IF($C12="","",SUMPRODUCT(($Q12:$BX12=D$6)*($Q$6:$BX$6=D$3)*((($F$2&amp;"")="通年")+($Q$3:$BX$3=($F$2&amp;""))&gt;0)))</f>
        <v/>
      </c>
      <c r="E12" s="60" t="str">
        <f aca="false">IF($C12="","",SUMPRODUCT(($Q12:$BX12=E$6)*($Q$6:$BX$6=E$3)*((($F$2&amp;"")="通年")+($Q$3:$BX$3=($F$2&amp;""))&gt;0)))</f>
        <v/>
      </c>
      <c r="F12" s="60" t="str">
        <f aca="false">IF($C12="","",SUMPRODUCT(($Q12:$BX12=F$6)*($Q$6:$BX$6=F$3)*((($F$2&amp;"")="通年")+($Q$3:$BX$3=($F$2&amp;""))&gt;0)))</f>
        <v/>
      </c>
      <c r="G12" s="60" t="str">
        <f aca="false">IF($C12="","",SUMPRODUCT(($Q12:$BX12=G$6)*($Q$6:$BX$6=G$3)*((($F$2&amp;"")="通年")+($Q$3:$BX$3=($F$2&amp;""))&gt;0)))</f>
        <v/>
      </c>
      <c r="H12" s="60" t="str">
        <f aca="false">IF($C12="","",SUMPRODUCT(($Q12:$BX12=H$6)*($Q$6:$BX$6=H$3)*((($F$2&amp;"")="通年")+($Q$3:$BX$3=($F$2&amp;""))&gt;0)))</f>
        <v/>
      </c>
      <c r="I12" s="60" t="str">
        <f aca="false">IF($C12="","",SUMPRODUCT(($Q12:$BX12=I$6)*($Q$6:$BX$6=I$3)*((($F$2&amp;"")="通年")+($Q$3:$BX$3=($F$2&amp;""))&gt;0)))</f>
        <v/>
      </c>
      <c r="J12" s="60" t="str">
        <f aca="false">IF($C12="","",SUMPRODUCT(($Q12:$BX12=J$6)*($Q$6:$BX$6=J$3)*((($F$2&amp;"")="通年")+($Q$3:$BX$3=($F$2&amp;""))&gt;0)))</f>
        <v/>
      </c>
      <c r="K12" s="60" t="str">
        <f aca="false">IF($C12="","",SUMPRODUCT(($Q12:$BX12=K$6)*($Q$6:$BX$6=K$3)*((($F$2&amp;"")="通年")+($Q$3:$BX$3=($F$2&amp;""))&gt;0)))</f>
        <v/>
      </c>
      <c r="L12" s="60" t="str">
        <f aca="false">IF($C12="","",SUMPRODUCT(($Q12:$BX12=L$6)*($Q$6:$BX$6=L$3)*((($F$2&amp;"")="通年")+($Q$3:$BX$3=($F$2&amp;""))&gt;0)))</f>
        <v/>
      </c>
      <c r="M12" s="62" t="str">
        <f aca="false">IF($C12="","",IF(SUM(D12:F12)=0,"",IF(D12/SUM(D12:F12)&gt;=設定!$I$17,設定!$G$8,IF(F12/SUM(D12:F12)&gt;=設定!$I$18,設定!$G$10,設定!$G$9))))</f>
        <v/>
      </c>
      <c r="N12" s="62" t="str">
        <f aca="false">IF($C12="","",IF(SUM(G12:I12)=0,"",IF(G12/SUM(G12:I12)&gt;=設定!$I$17,設定!$G$8,IF(I12/SUM(G12:I12)&gt;=設定!$I$18,設定!$G$10,設定!$G$9))))</f>
        <v/>
      </c>
      <c r="O12" s="62" t="str">
        <f aca="false">IF($C12="","",IF(SUM(J12:L12)=0,"",IF(J12/SUM(J12:L12)&gt;=設定!$I$17,設定!$G$8,IF(L12/SUM(J12:L12)&gt;=設定!$I$18,設定!$G$10,設定!$G$9))))</f>
        <v/>
      </c>
      <c r="P12" s="13"/>
      <c r="Q12" s="61" t="str">
        <f aca="false">IF($C12="","",INDEX(単元01!$F$5:$F$164,$C12)&amp;"")</f>
        <v/>
      </c>
      <c r="R12" s="61" t="str">
        <f aca="false">IF($C12="","",INDEX(単元01!$G$5:$G$164,$C12)&amp;"")</f>
        <v/>
      </c>
      <c r="S12" s="61" t="str">
        <f aca="false">IF($C12="","",INDEX(単元01!$H$5:$H$164,$C12)&amp;"")</f>
        <v/>
      </c>
      <c r="T12" s="61" t="str">
        <f aca="false">IF($C12="","",INDEX(単元02!$F$5:$F$164,$C12)&amp;"")</f>
        <v/>
      </c>
      <c r="U12" s="61" t="str">
        <f aca="false">IF($C12="","",INDEX(単元02!$G$5:$G$164,$C12)&amp;"")</f>
        <v/>
      </c>
      <c r="V12" s="61" t="str">
        <f aca="false">IF($C12="","",INDEX(単元02!$H$5:$H$164,$C12)&amp;"")</f>
        <v/>
      </c>
      <c r="W12" s="61" t="str">
        <f aca="false">IF($C12="","",INDEX(単元03!$F$5:$F$164,$C12)&amp;"")</f>
        <v/>
      </c>
      <c r="X12" s="61" t="str">
        <f aca="false">IF($C12="","",INDEX(単元03!$G$5:$G$164,$C12)&amp;"")</f>
        <v/>
      </c>
      <c r="Y12" s="61" t="str">
        <f aca="false">IF($C12="","",INDEX(単元03!$H$5:$H$164,$C12)&amp;"")</f>
        <v/>
      </c>
      <c r="Z12" s="61" t="str">
        <f aca="false">IF($C12="","",INDEX(単元04!$F$5:$F$164,$C12)&amp;"")</f>
        <v/>
      </c>
      <c r="AA12" s="61" t="str">
        <f aca="false">IF($C12="","",INDEX(単元04!$G$5:$G$164,$C12)&amp;"")</f>
        <v/>
      </c>
      <c r="AB12" s="61" t="str">
        <f aca="false">IF($C12="","",INDEX(単元04!$H$5:$H$164,$C12)&amp;"")</f>
        <v/>
      </c>
      <c r="AC12" s="61" t="str">
        <f aca="false">IF($C12="","",INDEX(単元05!$F$5:$F$164,$C12)&amp;"")</f>
        <v/>
      </c>
      <c r="AD12" s="61" t="str">
        <f aca="false">IF($C12="","",INDEX(単元05!$G$5:$G$164,$C12)&amp;"")</f>
        <v/>
      </c>
      <c r="AE12" s="61" t="str">
        <f aca="false">IF($C12="","",INDEX(単元05!$H$5:$H$164,$C12)&amp;"")</f>
        <v/>
      </c>
      <c r="AF12" s="61" t="str">
        <f aca="false">IF($C12="","",INDEX(単元06!$F$5:$F$164,$C12)&amp;"")</f>
        <v/>
      </c>
      <c r="AG12" s="61" t="str">
        <f aca="false">IF($C12="","",INDEX(単元06!$G$5:$G$164,$C12)&amp;"")</f>
        <v/>
      </c>
      <c r="AH12" s="61" t="str">
        <f aca="false">IF($C12="","",INDEX(単元06!$H$5:$H$164,$C12)&amp;"")</f>
        <v/>
      </c>
      <c r="AI12" s="61" t="str">
        <f aca="false">IF($C12="","",INDEX(単元07!$F$5:$F$164,$C12)&amp;"")</f>
        <v/>
      </c>
      <c r="AJ12" s="61" t="str">
        <f aca="false">IF($C12="","",INDEX(単元07!$G$5:$G$164,$C12)&amp;"")</f>
        <v/>
      </c>
      <c r="AK12" s="61" t="str">
        <f aca="false">IF($C12="","",INDEX(単元07!$H$5:$H$164,$C12)&amp;"")</f>
        <v/>
      </c>
      <c r="AL12" s="61" t="str">
        <f aca="false">IF($C12="","",INDEX(単元08!$F$5:$F$164,$C12)&amp;"")</f>
        <v/>
      </c>
      <c r="AM12" s="61" t="str">
        <f aca="false">IF($C12="","",INDEX(単元08!$G$5:$G$164,$C12)&amp;"")</f>
        <v/>
      </c>
      <c r="AN12" s="61" t="str">
        <f aca="false">IF($C12="","",INDEX(単元08!$H$5:$H$164,$C12)&amp;"")</f>
        <v/>
      </c>
      <c r="AO12" s="61" t="str">
        <f aca="false">IF($C12="","",INDEX(単元09!$F$5:$F$164,$C12)&amp;"")</f>
        <v/>
      </c>
      <c r="AP12" s="61" t="str">
        <f aca="false">IF($C12="","",INDEX(単元09!$G$5:$G$164,$C12)&amp;"")</f>
        <v/>
      </c>
      <c r="AQ12" s="61" t="str">
        <f aca="false">IF($C12="","",INDEX(単元09!$H$5:$H$164,$C12)&amp;"")</f>
        <v/>
      </c>
      <c r="AR12" s="61" t="str">
        <f aca="false">IF($C12="","",INDEX(単元10!$F$5:$F$164,$C12)&amp;"")</f>
        <v/>
      </c>
      <c r="AS12" s="61" t="str">
        <f aca="false">IF($C12="","",INDEX(単元10!$G$5:$G$164,$C12)&amp;"")</f>
        <v/>
      </c>
      <c r="AT12" s="61" t="str">
        <f aca="false">IF($C12="","",INDEX(単元10!$H$5:$H$164,$C12)&amp;"")</f>
        <v/>
      </c>
      <c r="AU12" s="61" t="str">
        <f aca="false">IF($C12="","",INDEX(単元11!$F$5:$F$164,$C12)&amp;"")</f>
        <v/>
      </c>
      <c r="AV12" s="61" t="str">
        <f aca="false">IF($C12="","",INDEX(単元11!$G$5:$G$164,$C12)&amp;"")</f>
        <v/>
      </c>
      <c r="AW12" s="61" t="str">
        <f aca="false">IF($C12="","",INDEX(単元11!$H$5:$H$164,$C12)&amp;"")</f>
        <v/>
      </c>
      <c r="AX12" s="61" t="str">
        <f aca="false">IF($C12="","",INDEX(単元12!$F$5:$F$164,$C12)&amp;"")</f>
        <v/>
      </c>
      <c r="AY12" s="61" t="str">
        <f aca="false">IF($C12="","",INDEX(単元12!$G$5:$G$164,$C12)&amp;"")</f>
        <v/>
      </c>
      <c r="AZ12" s="61" t="str">
        <f aca="false">IF($C12="","",INDEX(単元12!$H$5:$H$164,$C12)&amp;"")</f>
        <v/>
      </c>
      <c r="BA12" s="61" t="str">
        <f aca="false">IF($C12="","",INDEX(単元13!$F$5:$F$164,$C12)&amp;"")</f>
        <v/>
      </c>
      <c r="BB12" s="61" t="str">
        <f aca="false">IF($C12="","",INDEX(単元13!$G$5:$G$164,$C12)&amp;"")</f>
        <v/>
      </c>
      <c r="BC12" s="61" t="str">
        <f aca="false">IF($C12="","",INDEX(単元13!$H$5:$H$164,$C12)&amp;"")</f>
        <v/>
      </c>
      <c r="BD12" s="61" t="str">
        <f aca="false">IF($C12="","",INDEX(単元14!$F$5:$F$164,$C12)&amp;"")</f>
        <v/>
      </c>
      <c r="BE12" s="61" t="str">
        <f aca="false">IF($C12="","",INDEX(単元14!$G$5:$G$164,$C12)&amp;"")</f>
        <v/>
      </c>
      <c r="BF12" s="61" t="str">
        <f aca="false">IF($C12="","",INDEX(単元14!$H$5:$H$164,$C12)&amp;"")</f>
        <v/>
      </c>
      <c r="BG12" s="61" t="str">
        <f aca="false">IF($C12="","",INDEX(単元15!$F$5:$F$164,$C12)&amp;"")</f>
        <v/>
      </c>
      <c r="BH12" s="61" t="str">
        <f aca="false">IF($C12="","",INDEX(単元15!$G$5:$G$164,$C12)&amp;"")</f>
        <v/>
      </c>
      <c r="BI12" s="61" t="str">
        <f aca="false">IF($C12="","",INDEX(単元15!$H$5:$H$164,$C12)&amp;"")</f>
        <v/>
      </c>
      <c r="BJ12" s="61" t="str">
        <f aca="false">IF($C12="","",INDEX(単元16!$F$5:$F$164,$C12)&amp;"")</f>
        <v/>
      </c>
      <c r="BK12" s="61" t="str">
        <f aca="false">IF($C12="","",INDEX(単元16!$G$5:$G$164,$C12)&amp;"")</f>
        <v/>
      </c>
      <c r="BL12" s="61" t="str">
        <f aca="false">IF($C12="","",INDEX(単元16!$H$5:$H$164,$C12)&amp;"")</f>
        <v/>
      </c>
      <c r="BM12" s="61" t="str">
        <f aca="false">IF($C12="","",INDEX(単元17!$F$5:$F$164,$C12)&amp;"")</f>
        <v/>
      </c>
      <c r="BN12" s="61" t="str">
        <f aca="false">IF($C12="","",INDEX(単元17!$G$5:$G$164,$C12)&amp;"")</f>
        <v/>
      </c>
      <c r="BO12" s="61" t="str">
        <f aca="false">IF($C12="","",INDEX(単元17!$H$5:$H$164,$C12)&amp;"")</f>
        <v/>
      </c>
      <c r="BP12" s="61" t="str">
        <f aca="false">IF($C12="","",INDEX(単元18!$F$5:$F$164,$C12)&amp;"")</f>
        <v/>
      </c>
      <c r="BQ12" s="61" t="str">
        <f aca="false">IF($C12="","",INDEX(単元18!$G$5:$G$164,$C12)&amp;"")</f>
        <v/>
      </c>
      <c r="BR12" s="61" t="str">
        <f aca="false">IF($C12="","",INDEX(単元18!$H$5:$H$164,$C12)&amp;"")</f>
        <v/>
      </c>
      <c r="BS12" s="61" t="str">
        <f aca="false">IF($C12="","",INDEX(単元19!$F$5:$F$164,$C12)&amp;"")</f>
        <v/>
      </c>
      <c r="BT12" s="61" t="str">
        <f aca="false">IF($C12="","",INDEX(単元19!$G$5:$G$164,$C12)&amp;"")</f>
        <v/>
      </c>
      <c r="BU12" s="61" t="str">
        <f aca="false">IF($C12="","",INDEX(単元19!$H$5:$H$164,$C12)&amp;"")</f>
        <v/>
      </c>
      <c r="BV12" s="61" t="str">
        <f aca="false">IF($C12="","",INDEX(単元20!$F$5:$F$164,$C12)&amp;"")</f>
        <v/>
      </c>
      <c r="BW12" s="61" t="str">
        <f aca="false">IF($C12="","",INDEX(単元20!$G$5:$G$164,$C12)&amp;"")</f>
        <v/>
      </c>
      <c r="BX12" s="61" t="str">
        <f aca="false">IF($C12="","",INDEX(単元20!$H$5:$H$164,$C12)&amp;"")</f>
        <v/>
      </c>
    </row>
    <row r="13" customFormat="false" ht="19.5" hidden="false" customHeight="true" outlineLevel="0" collapsed="false">
      <c r="A13" s="91" t="str">
        <f aca="false">IF($C13="","",INDEX(名簿!$C$5:$C$164,$C13))</f>
        <v/>
      </c>
      <c r="B13" s="59" t="str">
        <f aca="false">IF($C13="","",INDEX(名簿!$D$5:$D$164,$C13)&amp;IF(INDEX(名簿!$F$5:$F$164,$C13)="転出","（転出）",""))</f>
        <v/>
      </c>
      <c r="C13" s="41" t="str">
        <f aca="false">IFERROR(MATCH($B$2&amp;"|"&amp;7,名簿!$G$5:$G$164,0),"")</f>
        <v/>
      </c>
      <c r="D13" s="60" t="str">
        <f aca="false">IF($C13="","",SUMPRODUCT(($Q13:$BX13=D$6)*($Q$6:$BX$6=D$3)*((($F$2&amp;"")="通年")+($Q$3:$BX$3=($F$2&amp;""))&gt;0)))</f>
        <v/>
      </c>
      <c r="E13" s="60" t="str">
        <f aca="false">IF($C13="","",SUMPRODUCT(($Q13:$BX13=E$6)*($Q$6:$BX$6=E$3)*((($F$2&amp;"")="通年")+($Q$3:$BX$3=($F$2&amp;""))&gt;0)))</f>
        <v/>
      </c>
      <c r="F13" s="60" t="str">
        <f aca="false">IF($C13="","",SUMPRODUCT(($Q13:$BX13=F$6)*($Q$6:$BX$6=F$3)*((($F$2&amp;"")="通年")+($Q$3:$BX$3=($F$2&amp;""))&gt;0)))</f>
        <v/>
      </c>
      <c r="G13" s="60" t="str">
        <f aca="false">IF($C13="","",SUMPRODUCT(($Q13:$BX13=G$6)*($Q$6:$BX$6=G$3)*((($F$2&amp;"")="通年")+($Q$3:$BX$3=($F$2&amp;""))&gt;0)))</f>
        <v/>
      </c>
      <c r="H13" s="60" t="str">
        <f aca="false">IF($C13="","",SUMPRODUCT(($Q13:$BX13=H$6)*($Q$6:$BX$6=H$3)*((($F$2&amp;"")="通年")+($Q$3:$BX$3=($F$2&amp;""))&gt;0)))</f>
        <v/>
      </c>
      <c r="I13" s="60" t="str">
        <f aca="false">IF($C13="","",SUMPRODUCT(($Q13:$BX13=I$6)*($Q$6:$BX$6=I$3)*((($F$2&amp;"")="通年")+($Q$3:$BX$3=($F$2&amp;""))&gt;0)))</f>
        <v/>
      </c>
      <c r="J13" s="60" t="str">
        <f aca="false">IF($C13="","",SUMPRODUCT(($Q13:$BX13=J$6)*($Q$6:$BX$6=J$3)*((($F$2&amp;"")="通年")+($Q$3:$BX$3=($F$2&amp;""))&gt;0)))</f>
        <v/>
      </c>
      <c r="K13" s="60" t="str">
        <f aca="false">IF($C13="","",SUMPRODUCT(($Q13:$BX13=K$6)*($Q$6:$BX$6=K$3)*((($F$2&amp;"")="通年")+($Q$3:$BX$3=($F$2&amp;""))&gt;0)))</f>
        <v/>
      </c>
      <c r="L13" s="60" t="str">
        <f aca="false">IF($C13="","",SUMPRODUCT(($Q13:$BX13=L$6)*($Q$6:$BX$6=L$3)*((($F$2&amp;"")="通年")+($Q$3:$BX$3=($F$2&amp;""))&gt;0)))</f>
        <v/>
      </c>
      <c r="M13" s="62" t="str">
        <f aca="false">IF($C13="","",IF(SUM(D13:F13)=0,"",IF(D13/SUM(D13:F13)&gt;=設定!$I$17,設定!$G$8,IF(F13/SUM(D13:F13)&gt;=設定!$I$18,設定!$G$10,設定!$G$9))))</f>
        <v/>
      </c>
      <c r="N13" s="62" t="str">
        <f aca="false">IF($C13="","",IF(SUM(G13:I13)=0,"",IF(G13/SUM(G13:I13)&gt;=設定!$I$17,設定!$G$8,IF(I13/SUM(G13:I13)&gt;=設定!$I$18,設定!$G$10,設定!$G$9))))</f>
        <v/>
      </c>
      <c r="O13" s="62" t="str">
        <f aca="false">IF($C13="","",IF(SUM(J13:L13)=0,"",IF(J13/SUM(J13:L13)&gt;=設定!$I$17,設定!$G$8,IF(L13/SUM(J13:L13)&gt;=設定!$I$18,設定!$G$10,設定!$G$9))))</f>
        <v/>
      </c>
      <c r="P13" s="13"/>
      <c r="Q13" s="61" t="str">
        <f aca="false">IF($C13="","",INDEX(単元01!$F$5:$F$164,$C13)&amp;"")</f>
        <v/>
      </c>
      <c r="R13" s="61" t="str">
        <f aca="false">IF($C13="","",INDEX(単元01!$G$5:$G$164,$C13)&amp;"")</f>
        <v/>
      </c>
      <c r="S13" s="61" t="str">
        <f aca="false">IF($C13="","",INDEX(単元01!$H$5:$H$164,$C13)&amp;"")</f>
        <v/>
      </c>
      <c r="T13" s="61" t="str">
        <f aca="false">IF($C13="","",INDEX(単元02!$F$5:$F$164,$C13)&amp;"")</f>
        <v/>
      </c>
      <c r="U13" s="61" t="str">
        <f aca="false">IF($C13="","",INDEX(単元02!$G$5:$G$164,$C13)&amp;"")</f>
        <v/>
      </c>
      <c r="V13" s="61" t="str">
        <f aca="false">IF($C13="","",INDEX(単元02!$H$5:$H$164,$C13)&amp;"")</f>
        <v/>
      </c>
      <c r="W13" s="61" t="str">
        <f aca="false">IF($C13="","",INDEX(単元03!$F$5:$F$164,$C13)&amp;"")</f>
        <v/>
      </c>
      <c r="X13" s="61" t="str">
        <f aca="false">IF($C13="","",INDEX(単元03!$G$5:$G$164,$C13)&amp;"")</f>
        <v/>
      </c>
      <c r="Y13" s="61" t="str">
        <f aca="false">IF($C13="","",INDEX(単元03!$H$5:$H$164,$C13)&amp;"")</f>
        <v/>
      </c>
      <c r="Z13" s="61" t="str">
        <f aca="false">IF($C13="","",INDEX(単元04!$F$5:$F$164,$C13)&amp;"")</f>
        <v/>
      </c>
      <c r="AA13" s="61" t="str">
        <f aca="false">IF($C13="","",INDEX(単元04!$G$5:$G$164,$C13)&amp;"")</f>
        <v/>
      </c>
      <c r="AB13" s="61" t="str">
        <f aca="false">IF($C13="","",INDEX(単元04!$H$5:$H$164,$C13)&amp;"")</f>
        <v/>
      </c>
      <c r="AC13" s="61" t="str">
        <f aca="false">IF($C13="","",INDEX(単元05!$F$5:$F$164,$C13)&amp;"")</f>
        <v/>
      </c>
      <c r="AD13" s="61" t="str">
        <f aca="false">IF($C13="","",INDEX(単元05!$G$5:$G$164,$C13)&amp;"")</f>
        <v/>
      </c>
      <c r="AE13" s="61" t="str">
        <f aca="false">IF($C13="","",INDEX(単元05!$H$5:$H$164,$C13)&amp;"")</f>
        <v/>
      </c>
      <c r="AF13" s="61" t="str">
        <f aca="false">IF($C13="","",INDEX(単元06!$F$5:$F$164,$C13)&amp;"")</f>
        <v/>
      </c>
      <c r="AG13" s="61" t="str">
        <f aca="false">IF($C13="","",INDEX(単元06!$G$5:$G$164,$C13)&amp;"")</f>
        <v/>
      </c>
      <c r="AH13" s="61" t="str">
        <f aca="false">IF($C13="","",INDEX(単元06!$H$5:$H$164,$C13)&amp;"")</f>
        <v/>
      </c>
      <c r="AI13" s="61" t="str">
        <f aca="false">IF($C13="","",INDEX(単元07!$F$5:$F$164,$C13)&amp;"")</f>
        <v/>
      </c>
      <c r="AJ13" s="61" t="str">
        <f aca="false">IF($C13="","",INDEX(単元07!$G$5:$G$164,$C13)&amp;"")</f>
        <v/>
      </c>
      <c r="AK13" s="61" t="str">
        <f aca="false">IF($C13="","",INDEX(単元07!$H$5:$H$164,$C13)&amp;"")</f>
        <v/>
      </c>
      <c r="AL13" s="61" t="str">
        <f aca="false">IF($C13="","",INDEX(単元08!$F$5:$F$164,$C13)&amp;"")</f>
        <v/>
      </c>
      <c r="AM13" s="61" t="str">
        <f aca="false">IF($C13="","",INDEX(単元08!$G$5:$G$164,$C13)&amp;"")</f>
        <v/>
      </c>
      <c r="AN13" s="61" t="str">
        <f aca="false">IF($C13="","",INDEX(単元08!$H$5:$H$164,$C13)&amp;"")</f>
        <v/>
      </c>
      <c r="AO13" s="61" t="str">
        <f aca="false">IF($C13="","",INDEX(単元09!$F$5:$F$164,$C13)&amp;"")</f>
        <v/>
      </c>
      <c r="AP13" s="61" t="str">
        <f aca="false">IF($C13="","",INDEX(単元09!$G$5:$G$164,$C13)&amp;"")</f>
        <v/>
      </c>
      <c r="AQ13" s="61" t="str">
        <f aca="false">IF($C13="","",INDEX(単元09!$H$5:$H$164,$C13)&amp;"")</f>
        <v/>
      </c>
      <c r="AR13" s="61" t="str">
        <f aca="false">IF($C13="","",INDEX(単元10!$F$5:$F$164,$C13)&amp;"")</f>
        <v/>
      </c>
      <c r="AS13" s="61" t="str">
        <f aca="false">IF($C13="","",INDEX(単元10!$G$5:$G$164,$C13)&amp;"")</f>
        <v/>
      </c>
      <c r="AT13" s="61" t="str">
        <f aca="false">IF($C13="","",INDEX(単元10!$H$5:$H$164,$C13)&amp;"")</f>
        <v/>
      </c>
      <c r="AU13" s="61" t="str">
        <f aca="false">IF($C13="","",INDEX(単元11!$F$5:$F$164,$C13)&amp;"")</f>
        <v/>
      </c>
      <c r="AV13" s="61" t="str">
        <f aca="false">IF($C13="","",INDEX(単元11!$G$5:$G$164,$C13)&amp;"")</f>
        <v/>
      </c>
      <c r="AW13" s="61" t="str">
        <f aca="false">IF($C13="","",INDEX(単元11!$H$5:$H$164,$C13)&amp;"")</f>
        <v/>
      </c>
      <c r="AX13" s="61" t="str">
        <f aca="false">IF($C13="","",INDEX(単元12!$F$5:$F$164,$C13)&amp;"")</f>
        <v/>
      </c>
      <c r="AY13" s="61" t="str">
        <f aca="false">IF($C13="","",INDEX(単元12!$G$5:$G$164,$C13)&amp;"")</f>
        <v/>
      </c>
      <c r="AZ13" s="61" t="str">
        <f aca="false">IF($C13="","",INDEX(単元12!$H$5:$H$164,$C13)&amp;"")</f>
        <v/>
      </c>
      <c r="BA13" s="61" t="str">
        <f aca="false">IF($C13="","",INDEX(単元13!$F$5:$F$164,$C13)&amp;"")</f>
        <v/>
      </c>
      <c r="BB13" s="61" t="str">
        <f aca="false">IF($C13="","",INDEX(単元13!$G$5:$G$164,$C13)&amp;"")</f>
        <v/>
      </c>
      <c r="BC13" s="61" t="str">
        <f aca="false">IF($C13="","",INDEX(単元13!$H$5:$H$164,$C13)&amp;"")</f>
        <v/>
      </c>
      <c r="BD13" s="61" t="str">
        <f aca="false">IF($C13="","",INDEX(単元14!$F$5:$F$164,$C13)&amp;"")</f>
        <v/>
      </c>
      <c r="BE13" s="61" t="str">
        <f aca="false">IF($C13="","",INDEX(単元14!$G$5:$G$164,$C13)&amp;"")</f>
        <v/>
      </c>
      <c r="BF13" s="61" t="str">
        <f aca="false">IF($C13="","",INDEX(単元14!$H$5:$H$164,$C13)&amp;"")</f>
        <v/>
      </c>
      <c r="BG13" s="61" t="str">
        <f aca="false">IF($C13="","",INDEX(単元15!$F$5:$F$164,$C13)&amp;"")</f>
        <v/>
      </c>
      <c r="BH13" s="61" t="str">
        <f aca="false">IF($C13="","",INDEX(単元15!$G$5:$G$164,$C13)&amp;"")</f>
        <v/>
      </c>
      <c r="BI13" s="61" t="str">
        <f aca="false">IF($C13="","",INDEX(単元15!$H$5:$H$164,$C13)&amp;"")</f>
        <v/>
      </c>
      <c r="BJ13" s="61" t="str">
        <f aca="false">IF($C13="","",INDEX(単元16!$F$5:$F$164,$C13)&amp;"")</f>
        <v/>
      </c>
      <c r="BK13" s="61" t="str">
        <f aca="false">IF($C13="","",INDEX(単元16!$G$5:$G$164,$C13)&amp;"")</f>
        <v/>
      </c>
      <c r="BL13" s="61" t="str">
        <f aca="false">IF($C13="","",INDEX(単元16!$H$5:$H$164,$C13)&amp;"")</f>
        <v/>
      </c>
      <c r="BM13" s="61" t="str">
        <f aca="false">IF($C13="","",INDEX(単元17!$F$5:$F$164,$C13)&amp;"")</f>
        <v/>
      </c>
      <c r="BN13" s="61" t="str">
        <f aca="false">IF($C13="","",INDEX(単元17!$G$5:$G$164,$C13)&amp;"")</f>
        <v/>
      </c>
      <c r="BO13" s="61" t="str">
        <f aca="false">IF($C13="","",INDEX(単元17!$H$5:$H$164,$C13)&amp;"")</f>
        <v/>
      </c>
      <c r="BP13" s="61" t="str">
        <f aca="false">IF($C13="","",INDEX(単元18!$F$5:$F$164,$C13)&amp;"")</f>
        <v/>
      </c>
      <c r="BQ13" s="61" t="str">
        <f aca="false">IF($C13="","",INDEX(単元18!$G$5:$G$164,$C13)&amp;"")</f>
        <v/>
      </c>
      <c r="BR13" s="61" t="str">
        <f aca="false">IF($C13="","",INDEX(単元18!$H$5:$H$164,$C13)&amp;"")</f>
        <v/>
      </c>
      <c r="BS13" s="61" t="str">
        <f aca="false">IF($C13="","",INDEX(単元19!$F$5:$F$164,$C13)&amp;"")</f>
        <v/>
      </c>
      <c r="BT13" s="61" t="str">
        <f aca="false">IF($C13="","",INDEX(単元19!$G$5:$G$164,$C13)&amp;"")</f>
        <v/>
      </c>
      <c r="BU13" s="61" t="str">
        <f aca="false">IF($C13="","",INDEX(単元19!$H$5:$H$164,$C13)&amp;"")</f>
        <v/>
      </c>
      <c r="BV13" s="61" t="str">
        <f aca="false">IF($C13="","",INDEX(単元20!$F$5:$F$164,$C13)&amp;"")</f>
        <v/>
      </c>
      <c r="BW13" s="61" t="str">
        <f aca="false">IF($C13="","",INDEX(単元20!$G$5:$G$164,$C13)&amp;"")</f>
        <v/>
      </c>
      <c r="BX13" s="61" t="str">
        <f aca="false">IF($C13="","",INDEX(単元20!$H$5:$H$164,$C13)&amp;"")</f>
        <v/>
      </c>
    </row>
    <row r="14" customFormat="false" ht="19.5" hidden="false" customHeight="true" outlineLevel="0" collapsed="false">
      <c r="A14" s="91" t="str">
        <f aca="false">IF($C14="","",INDEX(名簿!$C$5:$C$164,$C14))</f>
        <v/>
      </c>
      <c r="B14" s="59" t="str">
        <f aca="false">IF($C14="","",INDEX(名簿!$D$5:$D$164,$C14)&amp;IF(INDEX(名簿!$F$5:$F$164,$C14)="転出","（転出）",""))</f>
        <v/>
      </c>
      <c r="C14" s="41" t="str">
        <f aca="false">IFERROR(MATCH($B$2&amp;"|"&amp;8,名簿!$G$5:$G$164,0),"")</f>
        <v/>
      </c>
      <c r="D14" s="60" t="str">
        <f aca="false">IF($C14="","",SUMPRODUCT(($Q14:$BX14=D$6)*($Q$6:$BX$6=D$3)*((($F$2&amp;"")="通年")+($Q$3:$BX$3=($F$2&amp;""))&gt;0)))</f>
        <v/>
      </c>
      <c r="E14" s="60" t="str">
        <f aca="false">IF($C14="","",SUMPRODUCT(($Q14:$BX14=E$6)*($Q$6:$BX$6=E$3)*((($F$2&amp;"")="通年")+($Q$3:$BX$3=($F$2&amp;""))&gt;0)))</f>
        <v/>
      </c>
      <c r="F14" s="60" t="str">
        <f aca="false">IF($C14="","",SUMPRODUCT(($Q14:$BX14=F$6)*($Q$6:$BX$6=F$3)*((($F$2&amp;"")="通年")+($Q$3:$BX$3=($F$2&amp;""))&gt;0)))</f>
        <v/>
      </c>
      <c r="G14" s="60" t="str">
        <f aca="false">IF($C14="","",SUMPRODUCT(($Q14:$BX14=G$6)*($Q$6:$BX$6=G$3)*((($F$2&amp;"")="通年")+($Q$3:$BX$3=($F$2&amp;""))&gt;0)))</f>
        <v/>
      </c>
      <c r="H14" s="60" t="str">
        <f aca="false">IF($C14="","",SUMPRODUCT(($Q14:$BX14=H$6)*($Q$6:$BX$6=H$3)*((($F$2&amp;"")="通年")+($Q$3:$BX$3=($F$2&amp;""))&gt;0)))</f>
        <v/>
      </c>
      <c r="I14" s="60" t="str">
        <f aca="false">IF($C14="","",SUMPRODUCT(($Q14:$BX14=I$6)*($Q$6:$BX$6=I$3)*((($F$2&amp;"")="通年")+($Q$3:$BX$3=($F$2&amp;""))&gt;0)))</f>
        <v/>
      </c>
      <c r="J14" s="60" t="str">
        <f aca="false">IF($C14="","",SUMPRODUCT(($Q14:$BX14=J$6)*($Q$6:$BX$6=J$3)*((($F$2&amp;"")="通年")+($Q$3:$BX$3=($F$2&amp;""))&gt;0)))</f>
        <v/>
      </c>
      <c r="K14" s="60" t="str">
        <f aca="false">IF($C14="","",SUMPRODUCT(($Q14:$BX14=K$6)*($Q$6:$BX$6=K$3)*((($F$2&amp;"")="通年")+($Q$3:$BX$3=($F$2&amp;""))&gt;0)))</f>
        <v/>
      </c>
      <c r="L14" s="60" t="str">
        <f aca="false">IF($C14="","",SUMPRODUCT(($Q14:$BX14=L$6)*($Q$6:$BX$6=L$3)*((($F$2&amp;"")="通年")+($Q$3:$BX$3=($F$2&amp;""))&gt;0)))</f>
        <v/>
      </c>
      <c r="M14" s="62" t="str">
        <f aca="false">IF($C14="","",IF(SUM(D14:F14)=0,"",IF(D14/SUM(D14:F14)&gt;=設定!$I$17,設定!$G$8,IF(F14/SUM(D14:F14)&gt;=設定!$I$18,設定!$G$10,設定!$G$9))))</f>
        <v/>
      </c>
      <c r="N14" s="62" t="str">
        <f aca="false">IF($C14="","",IF(SUM(G14:I14)=0,"",IF(G14/SUM(G14:I14)&gt;=設定!$I$17,設定!$G$8,IF(I14/SUM(G14:I14)&gt;=設定!$I$18,設定!$G$10,設定!$G$9))))</f>
        <v/>
      </c>
      <c r="O14" s="62" t="str">
        <f aca="false">IF($C14="","",IF(SUM(J14:L14)=0,"",IF(J14/SUM(J14:L14)&gt;=設定!$I$17,設定!$G$8,IF(L14/SUM(J14:L14)&gt;=設定!$I$18,設定!$G$10,設定!$G$9))))</f>
        <v/>
      </c>
      <c r="P14" s="13"/>
      <c r="Q14" s="61" t="str">
        <f aca="false">IF($C14="","",INDEX(単元01!$F$5:$F$164,$C14)&amp;"")</f>
        <v/>
      </c>
      <c r="R14" s="61" t="str">
        <f aca="false">IF($C14="","",INDEX(単元01!$G$5:$G$164,$C14)&amp;"")</f>
        <v/>
      </c>
      <c r="S14" s="61" t="str">
        <f aca="false">IF($C14="","",INDEX(単元01!$H$5:$H$164,$C14)&amp;"")</f>
        <v/>
      </c>
      <c r="T14" s="61" t="str">
        <f aca="false">IF($C14="","",INDEX(単元02!$F$5:$F$164,$C14)&amp;"")</f>
        <v/>
      </c>
      <c r="U14" s="61" t="str">
        <f aca="false">IF($C14="","",INDEX(単元02!$G$5:$G$164,$C14)&amp;"")</f>
        <v/>
      </c>
      <c r="V14" s="61" t="str">
        <f aca="false">IF($C14="","",INDEX(単元02!$H$5:$H$164,$C14)&amp;"")</f>
        <v/>
      </c>
      <c r="W14" s="61" t="str">
        <f aca="false">IF($C14="","",INDEX(単元03!$F$5:$F$164,$C14)&amp;"")</f>
        <v/>
      </c>
      <c r="X14" s="61" t="str">
        <f aca="false">IF($C14="","",INDEX(単元03!$G$5:$G$164,$C14)&amp;"")</f>
        <v/>
      </c>
      <c r="Y14" s="61" t="str">
        <f aca="false">IF($C14="","",INDEX(単元03!$H$5:$H$164,$C14)&amp;"")</f>
        <v/>
      </c>
      <c r="Z14" s="61" t="str">
        <f aca="false">IF($C14="","",INDEX(単元04!$F$5:$F$164,$C14)&amp;"")</f>
        <v/>
      </c>
      <c r="AA14" s="61" t="str">
        <f aca="false">IF($C14="","",INDEX(単元04!$G$5:$G$164,$C14)&amp;"")</f>
        <v/>
      </c>
      <c r="AB14" s="61" t="str">
        <f aca="false">IF($C14="","",INDEX(単元04!$H$5:$H$164,$C14)&amp;"")</f>
        <v/>
      </c>
      <c r="AC14" s="61" t="str">
        <f aca="false">IF($C14="","",INDEX(単元05!$F$5:$F$164,$C14)&amp;"")</f>
        <v/>
      </c>
      <c r="AD14" s="61" t="str">
        <f aca="false">IF($C14="","",INDEX(単元05!$G$5:$G$164,$C14)&amp;"")</f>
        <v/>
      </c>
      <c r="AE14" s="61" t="str">
        <f aca="false">IF($C14="","",INDEX(単元05!$H$5:$H$164,$C14)&amp;"")</f>
        <v/>
      </c>
      <c r="AF14" s="61" t="str">
        <f aca="false">IF($C14="","",INDEX(単元06!$F$5:$F$164,$C14)&amp;"")</f>
        <v/>
      </c>
      <c r="AG14" s="61" t="str">
        <f aca="false">IF($C14="","",INDEX(単元06!$G$5:$G$164,$C14)&amp;"")</f>
        <v/>
      </c>
      <c r="AH14" s="61" t="str">
        <f aca="false">IF($C14="","",INDEX(単元06!$H$5:$H$164,$C14)&amp;"")</f>
        <v/>
      </c>
      <c r="AI14" s="61" t="str">
        <f aca="false">IF($C14="","",INDEX(単元07!$F$5:$F$164,$C14)&amp;"")</f>
        <v/>
      </c>
      <c r="AJ14" s="61" t="str">
        <f aca="false">IF($C14="","",INDEX(単元07!$G$5:$G$164,$C14)&amp;"")</f>
        <v/>
      </c>
      <c r="AK14" s="61" t="str">
        <f aca="false">IF($C14="","",INDEX(単元07!$H$5:$H$164,$C14)&amp;"")</f>
        <v/>
      </c>
      <c r="AL14" s="61" t="str">
        <f aca="false">IF($C14="","",INDEX(単元08!$F$5:$F$164,$C14)&amp;"")</f>
        <v/>
      </c>
      <c r="AM14" s="61" t="str">
        <f aca="false">IF($C14="","",INDEX(単元08!$G$5:$G$164,$C14)&amp;"")</f>
        <v/>
      </c>
      <c r="AN14" s="61" t="str">
        <f aca="false">IF($C14="","",INDEX(単元08!$H$5:$H$164,$C14)&amp;"")</f>
        <v/>
      </c>
      <c r="AO14" s="61" t="str">
        <f aca="false">IF($C14="","",INDEX(単元09!$F$5:$F$164,$C14)&amp;"")</f>
        <v/>
      </c>
      <c r="AP14" s="61" t="str">
        <f aca="false">IF($C14="","",INDEX(単元09!$G$5:$G$164,$C14)&amp;"")</f>
        <v/>
      </c>
      <c r="AQ14" s="61" t="str">
        <f aca="false">IF($C14="","",INDEX(単元09!$H$5:$H$164,$C14)&amp;"")</f>
        <v/>
      </c>
      <c r="AR14" s="61" t="str">
        <f aca="false">IF($C14="","",INDEX(単元10!$F$5:$F$164,$C14)&amp;"")</f>
        <v/>
      </c>
      <c r="AS14" s="61" t="str">
        <f aca="false">IF($C14="","",INDEX(単元10!$G$5:$G$164,$C14)&amp;"")</f>
        <v/>
      </c>
      <c r="AT14" s="61" t="str">
        <f aca="false">IF($C14="","",INDEX(単元10!$H$5:$H$164,$C14)&amp;"")</f>
        <v/>
      </c>
      <c r="AU14" s="61" t="str">
        <f aca="false">IF($C14="","",INDEX(単元11!$F$5:$F$164,$C14)&amp;"")</f>
        <v/>
      </c>
      <c r="AV14" s="61" t="str">
        <f aca="false">IF($C14="","",INDEX(単元11!$G$5:$G$164,$C14)&amp;"")</f>
        <v/>
      </c>
      <c r="AW14" s="61" t="str">
        <f aca="false">IF($C14="","",INDEX(単元11!$H$5:$H$164,$C14)&amp;"")</f>
        <v/>
      </c>
      <c r="AX14" s="61" t="str">
        <f aca="false">IF($C14="","",INDEX(単元12!$F$5:$F$164,$C14)&amp;"")</f>
        <v/>
      </c>
      <c r="AY14" s="61" t="str">
        <f aca="false">IF($C14="","",INDEX(単元12!$G$5:$G$164,$C14)&amp;"")</f>
        <v/>
      </c>
      <c r="AZ14" s="61" t="str">
        <f aca="false">IF($C14="","",INDEX(単元12!$H$5:$H$164,$C14)&amp;"")</f>
        <v/>
      </c>
      <c r="BA14" s="61" t="str">
        <f aca="false">IF($C14="","",INDEX(単元13!$F$5:$F$164,$C14)&amp;"")</f>
        <v/>
      </c>
      <c r="BB14" s="61" t="str">
        <f aca="false">IF($C14="","",INDEX(単元13!$G$5:$G$164,$C14)&amp;"")</f>
        <v/>
      </c>
      <c r="BC14" s="61" t="str">
        <f aca="false">IF($C14="","",INDEX(単元13!$H$5:$H$164,$C14)&amp;"")</f>
        <v/>
      </c>
      <c r="BD14" s="61" t="str">
        <f aca="false">IF($C14="","",INDEX(単元14!$F$5:$F$164,$C14)&amp;"")</f>
        <v/>
      </c>
      <c r="BE14" s="61" t="str">
        <f aca="false">IF($C14="","",INDEX(単元14!$G$5:$G$164,$C14)&amp;"")</f>
        <v/>
      </c>
      <c r="BF14" s="61" t="str">
        <f aca="false">IF($C14="","",INDEX(単元14!$H$5:$H$164,$C14)&amp;"")</f>
        <v/>
      </c>
      <c r="BG14" s="61" t="str">
        <f aca="false">IF($C14="","",INDEX(単元15!$F$5:$F$164,$C14)&amp;"")</f>
        <v/>
      </c>
      <c r="BH14" s="61" t="str">
        <f aca="false">IF($C14="","",INDEX(単元15!$G$5:$G$164,$C14)&amp;"")</f>
        <v/>
      </c>
      <c r="BI14" s="61" t="str">
        <f aca="false">IF($C14="","",INDEX(単元15!$H$5:$H$164,$C14)&amp;"")</f>
        <v/>
      </c>
      <c r="BJ14" s="61" t="str">
        <f aca="false">IF($C14="","",INDEX(単元16!$F$5:$F$164,$C14)&amp;"")</f>
        <v/>
      </c>
      <c r="BK14" s="61" t="str">
        <f aca="false">IF($C14="","",INDEX(単元16!$G$5:$G$164,$C14)&amp;"")</f>
        <v/>
      </c>
      <c r="BL14" s="61" t="str">
        <f aca="false">IF($C14="","",INDEX(単元16!$H$5:$H$164,$C14)&amp;"")</f>
        <v/>
      </c>
      <c r="BM14" s="61" t="str">
        <f aca="false">IF($C14="","",INDEX(単元17!$F$5:$F$164,$C14)&amp;"")</f>
        <v/>
      </c>
      <c r="BN14" s="61" t="str">
        <f aca="false">IF($C14="","",INDEX(単元17!$G$5:$G$164,$C14)&amp;"")</f>
        <v/>
      </c>
      <c r="BO14" s="61" t="str">
        <f aca="false">IF($C14="","",INDEX(単元17!$H$5:$H$164,$C14)&amp;"")</f>
        <v/>
      </c>
      <c r="BP14" s="61" t="str">
        <f aca="false">IF($C14="","",INDEX(単元18!$F$5:$F$164,$C14)&amp;"")</f>
        <v/>
      </c>
      <c r="BQ14" s="61" t="str">
        <f aca="false">IF($C14="","",INDEX(単元18!$G$5:$G$164,$C14)&amp;"")</f>
        <v/>
      </c>
      <c r="BR14" s="61" t="str">
        <f aca="false">IF($C14="","",INDEX(単元18!$H$5:$H$164,$C14)&amp;"")</f>
        <v/>
      </c>
      <c r="BS14" s="61" t="str">
        <f aca="false">IF($C14="","",INDEX(単元19!$F$5:$F$164,$C14)&amp;"")</f>
        <v/>
      </c>
      <c r="BT14" s="61" t="str">
        <f aca="false">IF($C14="","",INDEX(単元19!$G$5:$G$164,$C14)&amp;"")</f>
        <v/>
      </c>
      <c r="BU14" s="61" t="str">
        <f aca="false">IF($C14="","",INDEX(単元19!$H$5:$H$164,$C14)&amp;"")</f>
        <v/>
      </c>
      <c r="BV14" s="61" t="str">
        <f aca="false">IF($C14="","",INDEX(単元20!$F$5:$F$164,$C14)&amp;"")</f>
        <v/>
      </c>
      <c r="BW14" s="61" t="str">
        <f aca="false">IF($C14="","",INDEX(単元20!$G$5:$G$164,$C14)&amp;"")</f>
        <v/>
      </c>
      <c r="BX14" s="61" t="str">
        <f aca="false">IF($C14="","",INDEX(単元20!$H$5:$H$164,$C14)&amp;"")</f>
        <v/>
      </c>
    </row>
    <row r="15" customFormat="false" ht="19.5" hidden="false" customHeight="true" outlineLevel="0" collapsed="false">
      <c r="A15" s="91" t="str">
        <f aca="false">IF($C15="","",INDEX(名簿!$C$5:$C$164,$C15))</f>
        <v/>
      </c>
      <c r="B15" s="59" t="str">
        <f aca="false">IF($C15="","",INDEX(名簿!$D$5:$D$164,$C15)&amp;IF(INDEX(名簿!$F$5:$F$164,$C15)="転出","（転出）",""))</f>
        <v/>
      </c>
      <c r="C15" s="41" t="str">
        <f aca="false">IFERROR(MATCH($B$2&amp;"|"&amp;9,名簿!$G$5:$G$164,0),"")</f>
        <v/>
      </c>
      <c r="D15" s="60" t="str">
        <f aca="false">IF($C15="","",SUMPRODUCT(($Q15:$BX15=D$6)*($Q$6:$BX$6=D$3)*((($F$2&amp;"")="通年")+($Q$3:$BX$3=($F$2&amp;""))&gt;0)))</f>
        <v/>
      </c>
      <c r="E15" s="60" t="str">
        <f aca="false">IF($C15="","",SUMPRODUCT(($Q15:$BX15=E$6)*($Q$6:$BX$6=E$3)*((($F$2&amp;"")="通年")+($Q$3:$BX$3=($F$2&amp;""))&gt;0)))</f>
        <v/>
      </c>
      <c r="F15" s="60" t="str">
        <f aca="false">IF($C15="","",SUMPRODUCT(($Q15:$BX15=F$6)*($Q$6:$BX$6=F$3)*((($F$2&amp;"")="通年")+($Q$3:$BX$3=($F$2&amp;""))&gt;0)))</f>
        <v/>
      </c>
      <c r="G15" s="60" t="str">
        <f aca="false">IF($C15="","",SUMPRODUCT(($Q15:$BX15=G$6)*($Q$6:$BX$6=G$3)*((($F$2&amp;"")="通年")+($Q$3:$BX$3=($F$2&amp;""))&gt;0)))</f>
        <v/>
      </c>
      <c r="H15" s="60" t="str">
        <f aca="false">IF($C15="","",SUMPRODUCT(($Q15:$BX15=H$6)*($Q$6:$BX$6=H$3)*((($F$2&amp;"")="通年")+($Q$3:$BX$3=($F$2&amp;""))&gt;0)))</f>
        <v/>
      </c>
      <c r="I15" s="60" t="str">
        <f aca="false">IF($C15="","",SUMPRODUCT(($Q15:$BX15=I$6)*($Q$6:$BX$6=I$3)*((($F$2&amp;"")="通年")+($Q$3:$BX$3=($F$2&amp;""))&gt;0)))</f>
        <v/>
      </c>
      <c r="J15" s="60" t="str">
        <f aca="false">IF($C15="","",SUMPRODUCT(($Q15:$BX15=J$6)*($Q$6:$BX$6=J$3)*((($F$2&amp;"")="通年")+($Q$3:$BX$3=($F$2&amp;""))&gt;0)))</f>
        <v/>
      </c>
      <c r="K15" s="60" t="str">
        <f aca="false">IF($C15="","",SUMPRODUCT(($Q15:$BX15=K$6)*($Q$6:$BX$6=K$3)*((($F$2&amp;"")="通年")+($Q$3:$BX$3=($F$2&amp;""))&gt;0)))</f>
        <v/>
      </c>
      <c r="L15" s="60" t="str">
        <f aca="false">IF($C15="","",SUMPRODUCT(($Q15:$BX15=L$6)*($Q$6:$BX$6=L$3)*((($F$2&amp;"")="通年")+($Q$3:$BX$3=($F$2&amp;""))&gt;0)))</f>
        <v/>
      </c>
      <c r="M15" s="62" t="str">
        <f aca="false">IF($C15="","",IF(SUM(D15:F15)=0,"",IF(D15/SUM(D15:F15)&gt;=設定!$I$17,設定!$G$8,IF(F15/SUM(D15:F15)&gt;=設定!$I$18,設定!$G$10,設定!$G$9))))</f>
        <v/>
      </c>
      <c r="N15" s="62" t="str">
        <f aca="false">IF($C15="","",IF(SUM(G15:I15)=0,"",IF(G15/SUM(G15:I15)&gt;=設定!$I$17,設定!$G$8,IF(I15/SUM(G15:I15)&gt;=設定!$I$18,設定!$G$10,設定!$G$9))))</f>
        <v/>
      </c>
      <c r="O15" s="62" t="str">
        <f aca="false">IF($C15="","",IF(SUM(J15:L15)=0,"",IF(J15/SUM(J15:L15)&gt;=設定!$I$17,設定!$G$8,IF(L15/SUM(J15:L15)&gt;=設定!$I$18,設定!$G$10,設定!$G$9))))</f>
        <v/>
      </c>
      <c r="P15" s="13"/>
      <c r="Q15" s="61" t="str">
        <f aca="false">IF($C15="","",INDEX(単元01!$F$5:$F$164,$C15)&amp;"")</f>
        <v/>
      </c>
      <c r="R15" s="61" t="str">
        <f aca="false">IF($C15="","",INDEX(単元01!$G$5:$G$164,$C15)&amp;"")</f>
        <v/>
      </c>
      <c r="S15" s="61" t="str">
        <f aca="false">IF($C15="","",INDEX(単元01!$H$5:$H$164,$C15)&amp;"")</f>
        <v/>
      </c>
      <c r="T15" s="61" t="str">
        <f aca="false">IF($C15="","",INDEX(単元02!$F$5:$F$164,$C15)&amp;"")</f>
        <v/>
      </c>
      <c r="U15" s="61" t="str">
        <f aca="false">IF($C15="","",INDEX(単元02!$G$5:$G$164,$C15)&amp;"")</f>
        <v/>
      </c>
      <c r="V15" s="61" t="str">
        <f aca="false">IF($C15="","",INDEX(単元02!$H$5:$H$164,$C15)&amp;"")</f>
        <v/>
      </c>
      <c r="W15" s="61" t="str">
        <f aca="false">IF($C15="","",INDEX(単元03!$F$5:$F$164,$C15)&amp;"")</f>
        <v/>
      </c>
      <c r="X15" s="61" t="str">
        <f aca="false">IF($C15="","",INDEX(単元03!$G$5:$G$164,$C15)&amp;"")</f>
        <v/>
      </c>
      <c r="Y15" s="61" t="str">
        <f aca="false">IF($C15="","",INDEX(単元03!$H$5:$H$164,$C15)&amp;"")</f>
        <v/>
      </c>
      <c r="Z15" s="61" t="str">
        <f aca="false">IF($C15="","",INDEX(単元04!$F$5:$F$164,$C15)&amp;"")</f>
        <v/>
      </c>
      <c r="AA15" s="61" t="str">
        <f aca="false">IF($C15="","",INDEX(単元04!$G$5:$G$164,$C15)&amp;"")</f>
        <v/>
      </c>
      <c r="AB15" s="61" t="str">
        <f aca="false">IF($C15="","",INDEX(単元04!$H$5:$H$164,$C15)&amp;"")</f>
        <v/>
      </c>
      <c r="AC15" s="61" t="str">
        <f aca="false">IF($C15="","",INDEX(単元05!$F$5:$F$164,$C15)&amp;"")</f>
        <v/>
      </c>
      <c r="AD15" s="61" t="str">
        <f aca="false">IF($C15="","",INDEX(単元05!$G$5:$G$164,$C15)&amp;"")</f>
        <v/>
      </c>
      <c r="AE15" s="61" t="str">
        <f aca="false">IF($C15="","",INDEX(単元05!$H$5:$H$164,$C15)&amp;"")</f>
        <v/>
      </c>
      <c r="AF15" s="61" t="str">
        <f aca="false">IF($C15="","",INDEX(単元06!$F$5:$F$164,$C15)&amp;"")</f>
        <v/>
      </c>
      <c r="AG15" s="61" t="str">
        <f aca="false">IF($C15="","",INDEX(単元06!$G$5:$G$164,$C15)&amp;"")</f>
        <v/>
      </c>
      <c r="AH15" s="61" t="str">
        <f aca="false">IF($C15="","",INDEX(単元06!$H$5:$H$164,$C15)&amp;"")</f>
        <v/>
      </c>
      <c r="AI15" s="61" t="str">
        <f aca="false">IF($C15="","",INDEX(単元07!$F$5:$F$164,$C15)&amp;"")</f>
        <v/>
      </c>
      <c r="AJ15" s="61" t="str">
        <f aca="false">IF($C15="","",INDEX(単元07!$G$5:$G$164,$C15)&amp;"")</f>
        <v/>
      </c>
      <c r="AK15" s="61" t="str">
        <f aca="false">IF($C15="","",INDEX(単元07!$H$5:$H$164,$C15)&amp;"")</f>
        <v/>
      </c>
      <c r="AL15" s="61" t="str">
        <f aca="false">IF($C15="","",INDEX(単元08!$F$5:$F$164,$C15)&amp;"")</f>
        <v/>
      </c>
      <c r="AM15" s="61" t="str">
        <f aca="false">IF($C15="","",INDEX(単元08!$G$5:$G$164,$C15)&amp;"")</f>
        <v/>
      </c>
      <c r="AN15" s="61" t="str">
        <f aca="false">IF($C15="","",INDEX(単元08!$H$5:$H$164,$C15)&amp;"")</f>
        <v/>
      </c>
      <c r="AO15" s="61" t="str">
        <f aca="false">IF($C15="","",INDEX(単元09!$F$5:$F$164,$C15)&amp;"")</f>
        <v/>
      </c>
      <c r="AP15" s="61" t="str">
        <f aca="false">IF($C15="","",INDEX(単元09!$G$5:$G$164,$C15)&amp;"")</f>
        <v/>
      </c>
      <c r="AQ15" s="61" t="str">
        <f aca="false">IF($C15="","",INDEX(単元09!$H$5:$H$164,$C15)&amp;"")</f>
        <v/>
      </c>
      <c r="AR15" s="61" t="str">
        <f aca="false">IF($C15="","",INDEX(単元10!$F$5:$F$164,$C15)&amp;"")</f>
        <v/>
      </c>
      <c r="AS15" s="61" t="str">
        <f aca="false">IF($C15="","",INDEX(単元10!$G$5:$G$164,$C15)&amp;"")</f>
        <v/>
      </c>
      <c r="AT15" s="61" t="str">
        <f aca="false">IF($C15="","",INDEX(単元10!$H$5:$H$164,$C15)&amp;"")</f>
        <v/>
      </c>
      <c r="AU15" s="61" t="str">
        <f aca="false">IF($C15="","",INDEX(単元11!$F$5:$F$164,$C15)&amp;"")</f>
        <v/>
      </c>
      <c r="AV15" s="61" t="str">
        <f aca="false">IF($C15="","",INDEX(単元11!$G$5:$G$164,$C15)&amp;"")</f>
        <v/>
      </c>
      <c r="AW15" s="61" t="str">
        <f aca="false">IF($C15="","",INDEX(単元11!$H$5:$H$164,$C15)&amp;"")</f>
        <v/>
      </c>
      <c r="AX15" s="61" t="str">
        <f aca="false">IF($C15="","",INDEX(単元12!$F$5:$F$164,$C15)&amp;"")</f>
        <v/>
      </c>
      <c r="AY15" s="61" t="str">
        <f aca="false">IF($C15="","",INDEX(単元12!$G$5:$G$164,$C15)&amp;"")</f>
        <v/>
      </c>
      <c r="AZ15" s="61" t="str">
        <f aca="false">IF($C15="","",INDEX(単元12!$H$5:$H$164,$C15)&amp;"")</f>
        <v/>
      </c>
      <c r="BA15" s="61" t="str">
        <f aca="false">IF($C15="","",INDEX(単元13!$F$5:$F$164,$C15)&amp;"")</f>
        <v/>
      </c>
      <c r="BB15" s="61" t="str">
        <f aca="false">IF($C15="","",INDEX(単元13!$G$5:$G$164,$C15)&amp;"")</f>
        <v/>
      </c>
      <c r="BC15" s="61" t="str">
        <f aca="false">IF($C15="","",INDEX(単元13!$H$5:$H$164,$C15)&amp;"")</f>
        <v/>
      </c>
      <c r="BD15" s="61" t="str">
        <f aca="false">IF($C15="","",INDEX(単元14!$F$5:$F$164,$C15)&amp;"")</f>
        <v/>
      </c>
      <c r="BE15" s="61" t="str">
        <f aca="false">IF($C15="","",INDEX(単元14!$G$5:$G$164,$C15)&amp;"")</f>
        <v/>
      </c>
      <c r="BF15" s="61" t="str">
        <f aca="false">IF($C15="","",INDEX(単元14!$H$5:$H$164,$C15)&amp;"")</f>
        <v/>
      </c>
      <c r="BG15" s="61" t="str">
        <f aca="false">IF($C15="","",INDEX(単元15!$F$5:$F$164,$C15)&amp;"")</f>
        <v/>
      </c>
      <c r="BH15" s="61" t="str">
        <f aca="false">IF($C15="","",INDEX(単元15!$G$5:$G$164,$C15)&amp;"")</f>
        <v/>
      </c>
      <c r="BI15" s="61" t="str">
        <f aca="false">IF($C15="","",INDEX(単元15!$H$5:$H$164,$C15)&amp;"")</f>
        <v/>
      </c>
      <c r="BJ15" s="61" t="str">
        <f aca="false">IF($C15="","",INDEX(単元16!$F$5:$F$164,$C15)&amp;"")</f>
        <v/>
      </c>
      <c r="BK15" s="61" t="str">
        <f aca="false">IF($C15="","",INDEX(単元16!$G$5:$G$164,$C15)&amp;"")</f>
        <v/>
      </c>
      <c r="BL15" s="61" t="str">
        <f aca="false">IF($C15="","",INDEX(単元16!$H$5:$H$164,$C15)&amp;"")</f>
        <v/>
      </c>
      <c r="BM15" s="61" t="str">
        <f aca="false">IF($C15="","",INDEX(単元17!$F$5:$F$164,$C15)&amp;"")</f>
        <v/>
      </c>
      <c r="BN15" s="61" t="str">
        <f aca="false">IF($C15="","",INDEX(単元17!$G$5:$G$164,$C15)&amp;"")</f>
        <v/>
      </c>
      <c r="BO15" s="61" t="str">
        <f aca="false">IF($C15="","",INDEX(単元17!$H$5:$H$164,$C15)&amp;"")</f>
        <v/>
      </c>
      <c r="BP15" s="61" t="str">
        <f aca="false">IF($C15="","",INDEX(単元18!$F$5:$F$164,$C15)&amp;"")</f>
        <v/>
      </c>
      <c r="BQ15" s="61" t="str">
        <f aca="false">IF($C15="","",INDEX(単元18!$G$5:$G$164,$C15)&amp;"")</f>
        <v/>
      </c>
      <c r="BR15" s="61" t="str">
        <f aca="false">IF($C15="","",INDEX(単元18!$H$5:$H$164,$C15)&amp;"")</f>
        <v/>
      </c>
      <c r="BS15" s="61" t="str">
        <f aca="false">IF($C15="","",INDEX(単元19!$F$5:$F$164,$C15)&amp;"")</f>
        <v/>
      </c>
      <c r="BT15" s="61" t="str">
        <f aca="false">IF($C15="","",INDEX(単元19!$G$5:$G$164,$C15)&amp;"")</f>
        <v/>
      </c>
      <c r="BU15" s="61" t="str">
        <f aca="false">IF($C15="","",INDEX(単元19!$H$5:$H$164,$C15)&amp;"")</f>
        <v/>
      </c>
      <c r="BV15" s="61" t="str">
        <f aca="false">IF($C15="","",INDEX(単元20!$F$5:$F$164,$C15)&amp;"")</f>
        <v/>
      </c>
      <c r="BW15" s="61" t="str">
        <f aca="false">IF($C15="","",INDEX(単元20!$G$5:$G$164,$C15)&amp;"")</f>
        <v/>
      </c>
      <c r="BX15" s="61" t="str">
        <f aca="false">IF($C15="","",INDEX(単元20!$H$5:$H$164,$C15)&amp;"")</f>
        <v/>
      </c>
    </row>
    <row r="16" customFormat="false" ht="19.5" hidden="false" customHeight="true" outlineLevel="0" collapsed="false">
      <c r="A16" s="91" t="str">
        <f aca="false">IF($C16="","",INDEX(名簿!$C$5:$C$164,$C16))</f>
        <v/>
      </c>
      <c r="B16" s="59" t="str">
        <f aca="false">IF($C16="","",INDEX(名簿!$D$5:$D$164,$C16)&amp;IF(INDEX(名簿!$F$5:$F$164,$C16)="転出","（転出）",""))</f>
        <v/>
      </c>
      <c r="C16" s="41" t="str">
        <f aca="false">IFERROR(MATCH($B$2&amp;"|"&amp;10,名簿!$G$5:$G$164,0),"")</f>
        <v/>
      </c>
      <c r="D16" s="60" t="str">
        <f aca="false">IF($C16="","",SUMPRODUCT(($Q16:$BX16=D$6)*($Q$6:$BX$6=D$3)*((($F$2&amp;"")="通年")+($Q$3:$BX$3=($F$2&amp;""))&gt;0)))</f>
        <v/>
      </c>
      <c r="E16" s="60" t="str">
        <f aca="false">IF($C16="","",SUMPRODUCT(($Q16:$BX16=E$6)*($Q$6:$BX$6=E$3)*((($F$2&amp;"")="通年")+($Q$3:$BX$3=($F$2&amp;""))&gt;0)))</f>
        <v/>
      </c>
      <c r="F16" s="60" t="str">
        <f aca="false">IF($C16="","",SUMPRODUCT(($Q16:$BX16=F$6)*($Q$6:$BX$6=F$3)*((($F$2&amp;"")="通年")+($Q$3:$BX$3=($F$2&amp;""))&gt;0)))</f>
        <v/>
      </c>
      <c r="G16" s="60" t="str">
        <f aca="false">IF($C16="","",SUMPRODUCT(($Q16:$BX16=G$6)*($Q$6:$BX$6=G$3)*((($F$2&amp;"")="通年")+($Q$3:$BX$3=($F$2&amp;""))&gt;0)))</f>
        <v/>
      </c>
      <c r="H16" s="60" t="str">
        <f aca="false">IF($C16="","",SUMPRODUCT(($Q16:$BX16=H$6)*($Q$6:$BX$6=H$3)*((($F$2&amp;"")="通年")+($Q$3:$BX$3=($F$2&amp;""))&gt;0)))</f>
        <v/>
      </c>
      <c r="I16" s="60" t="str">
        <f aca="false">IF($C16="","",SUMPRODUCT(($Q16:$BX16=I$6)*($Q$6:$BX$6=I$3)*((($F$2&amp;"")="通年")+($Q$3:$BX$3=($F$2&amp;""))&gt;0)))</f>
        <v/>
      </c>
      <c r="J16" s="60" t="str">
        <f aca="false">IF($C16="","",SUMPRODUCT(($Q16:$BX16=J$6)*($Q$6:$BX$6=J$3)*((($F$2&amp;"")="通年")+($Q$3:$BX$3=($F$2&amp;""))&gt;0)))</f>
        <v/>
      </c>
      <c r="K16" s="60" t="str">
        <f aca="false">IF($C16="","",SUMPRODUCT(($Q16:$BX16=K$6)*($Q$6:$BX$6=K$3)*((($F$2&amp;"")="通年")+($Q$3:$BX$3=($F$2&amp;""))&gt;0)))</f>
        <v/>
      </c>
      <c r="L16" s="60" t="str">
        <f aca="false">IF($C16="","",SUMPRODUCT(($Q16:$BX16=L$6)*($Q$6:$BX$6=L$3)*((($F$2&amp;"")="通年")+($Q$3:$BX$3=($F$2&amp;""))&gt;0)))</f>
        <v/>
      </c>
      <c r="M16" s="62" t="str">
        <f aca="false">IF($C16="","",IF(SUM(D16:F16)=0,"",IF(D16/SUM(D16:F16)&gt;=設定!$I$17,設定!$G$8,IF(F16/SUM(D16:F16)&gt;=設定!$I$18,設定!$G$10,設定!$G$9))))</f>
        <v/>
      </c>
      <c r="N16" s="62" t="str">
        <f aca="false">IF($C16="","",IF(SUM(G16:I16)=0,"",IF(G16/SUM(G16:I16)&gt;=設定!$I$17,設定!$G$8,IF(I16/SUM(G16:I16)&gt;=設定!$I$18,設定!$G$10,設定!$G$9))))</f>
        <v/>
      </c>
      <c r="O16" s="62" t="str">
        <f aca="false">IF($C16="","",IF(SUM(J16:L16)=0,"",IF(J16/SUM(J16:L16)&gt;=設定!$I$17,設定!$G$8,IF(L16/SUM(J16:L16)&gt;=設定!$I$18,設定!$G$10,設定!$G$9))))</f>
        <v/>
      </c>
      <c r="P16" s="13"/>
      <c r="Q16" s="61" t="str">
        <f aca="false">IF($C16="","",INDEX(単元01!$F$5:$F$164,$C16)&amp;"")</f>
        <v/>
      </c>
      <c r="R16" s="61" t="str">
        <f aca="false">IF($C16="","",INDEX(単元01!$G$5:$G$164,$C16)&amp;"")</f>
        <v/>
      </c>
      <c r="S16" s="61" t="str">
        <f aca="false">IF($C16="","",INDEX(単元01!$H$5:$H$164,$C16)&amp;"")</f>
        <v/>
      </c>
      <c r="T16" s="61" t="str">
        <f aca="false">IF($C16="","",INDEX(単元02!$F$5:$F$164,$C16)&amp;"")</f>
        <v/>
      </c>
      <c r="U16" s="61" t="str">
        <f aca="false">IF($C16="","",INDEX(単元02!$G$5:$G$164,$C16)&amp;"")</f>
        <v/>
      </c>
      <c r="V16" s="61" t="str">
        <f aca="false">IF($C16="","",INDEX(単元02!$H$5:$H$164,$C16)&amp;"")</f>
        <v/>
      </c>
      <c r="W16" s="61" t="str">
        <f aca="false">IF($C16="","",INDEX(単元03!$F$5:$F$164,$C16)&amp;"")</f>
        <v/>
      </c>
      <c r="X16" s="61" t="str">
        <f aca="false">IF($C16="","",INDEX(単元03!$G$5:$G$164,$C16)&amp;"")</f>
        <v/>
      </c>
      <c r="Y16" s="61" t="str">
        <f aca="false">IF($C16="","",INDEX(単元03!$H$5:$H$164,$C16)&amp;"")</f>
        <v/>
      </c>
      <c r="Z16" s="61" t="str">
        <f aca="false">IF($C16="","",INDEX(単元04!$F$5:$F$164,$C16)&amp;"")</f>
        <v/>
      </c>
      <c r="AA16" s="61" t="str">
        <f aca="false">IF($C16="","",INDEX(単元04!$G$5:$G$164,$C16)&amp;"")</f>
        <v/>
      </c>
      <c r="AB16" s="61" t="str">
        <f aca="false">IF($C16="","",INDEX(単元04!$H$5:$H$164,$C16)&amp;"")</f>
        <v/>
      </c>
      <c r="AC16" s="61" t="str">
        <f aca="false">IF($C16="","",INDEX(単元05!$F$5:$F$164,$C16)&amp;"")</f>
        <v/>
      </c>
      <c r="AD16" s="61" t="str">
        <f aca="false">IF($C16="","",INDEX(単元05!$G$5:$G$164,$C16)&amp;"")</f>
        <v/>
      </c>
      <c r="AE16" s="61" t="str">
        <f aca="false">IF($C16="","",INDEX(単元05!$H$5:$H$164,$C16)&amp;"")</f>
        <v/>
      </c>
      <c r="AF16" s="61" t="str">
        <f aca="false">IF($C16="","",INDEX(単元06!$F$5:$F$164,$C16)&amp;"")</f>
        <v/>
      </c>
      <c r="AG16" s="61" t="str">
        <f aca="false">IF($C16="","",INDEX(単元06!$G$5:$G$164,$C16)&amp;"")</f>
        <v/>
      </c>
      <c r="AH16" s="61" t="str">
        <f aca="false">IF($C16="","",INDEX(単元06!$H$5:$H$164,$C16)&amp;"")</f>
        <v/>
      </c>
      <c r="AI16" s="61" t="str">
        <f aca="false">IF($C16="","",INDEX(単元07!$F$5:$F$164,$C16)&amp;"")</f>
        <v/>
      </c>
      <c r="AJ16" s="61" t="str">
        <f aca="false">IF($C16="","",INDEX(単元07!$G$5:$G$164,$C16)&amp;"")</f>
        <v/>
      </c>
      <c r="AK16" s="61" t="str">
        <f aca="false">IF($C16="","",INDEX(単元07!$H$5:$H$164,$C16)&amp;"")</f>
        <v/>
      </c>
      <c r="AL16" s="61" t="str">
        <f aca="false">IF($C16="","",INDEX(単元08!$F$5:$F$164,$C16)&amp;"")</f>
        <v/>
      </c>
      <c r="AM16" s="61" t="str">
        <f aca="false">IF($C16="","",INDEX(単元08!$G$5:$G$164,$C16)&amp;"")</f>
        <v/>
      </c>
      <c r="AN16" s="61" t="str">
        <f aca="false">IF($C16="","",INDEX(単元08!$H$5:$H$164,$C16)&amp;"")</f>
        <v/>
      </c>
      <c r="AO16" s="61" t="str">
        <f aca="false">IF($C16="","",INDEX(単元09!$F$5:$F$164,$C16)&amp;"")</f>
        <v/>
      </c>
      <c r="AP16" s="61" t="str">
        <f aca="false">IF($C16="","",INDEX(単元09!$G$5:$G$164,$C16)&amp;"")</f>
        <v/>
      </c>
      <c r="AQ16" s="61" t="str">
        <f aca="false">IF($C16="","",INDEX(単元09!$H$5:$H$164,$C16)&amp;"")</f>
        <v/>
      </c>
      <c r="AR16" s="61" t="str">
        <f aca="false">IF($C16="","",INDEX(単元10!$F$5:$F$164,$C16)&amp;"")</f>
        <v/>
      </c>
      <c r="AS16" s="61" t="str">
        <f aca="false">IF($C16="","",INDEX(単元10!$G$5:$G$164,$C16)&amp;"")</f>
        <v/>
      </c>
      <c r="AT16" s="61" t="str">
        <f aca="false">IF($C16="","",INDEX(単元10!$H$5:$H$164,$C16)&amp;"")</f>
        <v/>
      </c>
      <c r="AU16" s="61" t="str">
        <f aca="false">IF($C16="","",INDEX(単元11!$F$5:$F$164,$C16)&amp;"")</f>
        <v/>
      </c>
      <c r="AV16" s="61" t="str">
        <f aca="false">IF($C16="","",INDEX(単元11!$G$5:$G$164,$C16)&amp;"")</f>
        <v/>
      </c>
      <c r="AW16" s="61" t="str">
        <f aca="false">IF($C16="","",INDEX(単元11!$H$5:$H$164,$C16)&amp;"")</f>
        <v/>
      </c>
      <c r="AX16" s="61" t="str">
        <f aca="false">IF($C16="","",INDEX(単元12!$F$5:$F$164,$C16)&amp;"")</f>
        <v/>
      </c>
      <c r="AY16" s="61" t="str">
        <f aca="false">IF($C16="","",INDEX(単元12!$G$5:$G$164,$C16)&amp;"")</f>
        <v/>
      </c>
      <c r="AZ16" s="61" t="str">
        <f aca="false">IF($C16="","",INDEX(単元12!$H$5:$H$164,$C16)&amp;"")</f>
        <v/>
      </c>
      <c r="BA16" s="61" t="str">
        <f aca="false">IF($C16="","",INDEX(単元13!$F$5:$F$164,$C16)&amp;"")</f>
        <v/>
      </c>
      <c r="BB16" s="61" t="str">
        <f aca="false">IF($C16="","",INDEX(単元13!$G$5:$G$164,$C16)&amp;"")</f>
        <v/>
      </c>
      <c r="BC16" s="61" t="str">
        <f aca="false">IF($C16="","",INDEX(単元13!$H$5:$H$164,$C16)&amp;"")</f>
        <v/>
      </c>
      <c r="BD16" s="61" t="str">
        <f aca="false">IF($C16="","",INDEX(単元14!$F$5:$F$164,$C16)&amp;"")</f>
        <v/>
      </c>
      <c r="BE16" s="61" t="str">
        <f aca="false">IF($C16="","",INDEX(単元14!$G$5:$G$164,$C16)&amp;"")</f>
        <v/>
      </c>
      <c r="BF16" s="61" t="str">
        <f aca="false">IF($C16="","",INDEX(単元14!$H$5:$H$164,$C16)&amp;"")</f>
        <v/>
      </c>
      <c r="BG16" s="61" t="str">
        <f aca="false">IF($C16="","",INDEX(単元15!$F$5:$F$164,$C16)&amp;"")</f>
        <v/>
      </c>
      <c r="BH16" s="61" t="str">
        <f aca="false">IF($C16="","",INDEX(単元15!$G$5:$G$164,$C16)&amp;"")</f>
        <v/>
      </c>
      <c r="BI16" s="61" t="str">
        <f aca="false">IF($C16="","",INDEX(単元15!$H$5:$H$164,$C16)&amp;"")</f>
        <v/>
      </c>
      <c r="BJ16" s="61" t="str">
        <f aca="false">IF($C16="","",INDEX(単元16!$F$5:$F$164,$C16)&amp;"")</f>
        <v/>
      </c>
      <c r="BK16" s="61" t="str">
        <f aca="false">IF($C16="","",INDEX(単元16!$G$5:$G$164,$C16)&amp;"")</f>
        <v/>
      </c>
      <c r="BL16" s="61" t="str">
        <f aca="false">IF($C16="","",INDEX(単元16!$H$5:$H$164,$C16)&amp;"")</f>
        <v/>
      </c>
      <c r="BM16" s="61" t="str">
        <f aca="false">IF($C16="","",INDEX(単元17!$F$5:$F$164,$C16)&amp;"")</f>
        <v/>
      </c>
      <c r="BN16" s="61" t="str">
        <f aca="false">IF($C16="","",INDEX(単元17!$G$5:$G$164,$C16)&amp;"")</f>
        <v/>
      </c>
      <c r="BO16" s="61" t="str">
        <f aca="false">IF($C16="","",INDEX(単元17!$H$5:$H$164,$C16)&amp;"")</f>
        <v/>
      </c>
      <c r="BP16" s="61" t="str">
        <f aca="false">IF($C16="","",INDEX(単元18!$F$5:$F$164,$C16)&amp;"")</f>
        <v/>
      </c>
      <c r="BQ16" s="61" t="str">
        <f aca="false">IF($C16="","",INDEX(単元18!$G$5:$G$164,$C16)&amp;"")</f>
        <v/>
      </c>
      <c r="BR16" s="61" t="str">
        <f aca="false">IF($C16="","",INDEX(単元18!$H$5:$H$164,$C16)&amp;"")</f>
        <v/>
      </c>
      <c r="BS16" s="61" t="str">
        <f aca="false">IF($C16="","",INDEX(単元19!$F$5:$F$164,$C16)&amp;"")</f>
        <v/>
      </c>
      <c r="BT16" s="61" t="str">
        <f aca="false">IF($C16="","",INDEX(単元19!$G$5:$G$164,$C16)&amp;"")</f>
        <v/>
      </c>
      <c r="BU16" s="61" t="str">
        <f aca="false">IF($C16="","",INDEX(単元19!$H$5:$H$164,$C16)&amp;"")</f>
        <v/>
      </c>
      <c r="BV16" s="61" t="str">
        <f aca="false">IF($C16="","",INDEX(単元20!$F$5:$F$164,$C16)&amp;"")</f>
        <v/>
      </c>
      <c r="BW16" s="61" t="str">
        <f aca="false">IF($C16="","",INDEX(単元20!$G$5:$G$164,$C16)&amp;"")</f>
        <v/>
      </c>
      <c r="BX16" s="61" t="str">
        <f aca="false">IF($C16="","",INDEX(単元20!$H$5:$H$164,$C16)&amp;"")</f>
        <v/>
      </c>
    </row>
    <row r="17" customFormat="false" ht="19.5" hidden="false" customHeight="true" outlineLevel="0" collapsed="false">
      <c r="A17" s="91" t="str">
        <f aca="false">IF($C17="","",INDEX(名簿!$C$5:$C$164,$C17))</f>
        <v/>
      </c>
      <c r="B17" s="59" t="str">
        <f aca="false">IF($C17="","",INDEX(名簿!$D$5:$D$164,$C17)&amp;IF(INDEX(名簿!$F$5:$F$164,$C17)="転出","（転出）",""))</f>
        <v/>
      </c>
      <c r="C17" s="41" t="str">
        <f aca="false">IFERROR(MATCH($B$2&amp;"|"&amp;11,名簿!$G$5:$G$164,0),"")</f>
        <v/>
      </c>
      <c r="D17" s="60" t="str">
        <f aca="false">IF($C17="","",SUMPRODUCT(($Q17:$BX17=D$6)*($Q$6:$BX$6=D$3)*((($F$2&amp;"")="通年")+($Q$3:$BX$3=($F$2&amp;""))&gt;0)))</f>
        <v/>
      </c>
      <c r="E17" s="60" t="str">
        <f aca="false">IF($C17="","",SUMPRODUCT(($Q17:$BX17=E$6)*($Q$6:$BX$6=E$3)*((($F$2&amp;"")="通年")+($Q$3:$BX$3=($F$2&amp;""))&gt;0)))</f>
        <v/>
      </c>
      <c r="F17" s="60" t="str">
        <f aca="false">IF($C17="","",SUMPRODUCT(($Q17:$BX17=F$6)*($Q$6:$BX$6=F$3)*((($F$2&amp;"")="通年")+($Q$3:$BX$3=($F$2&amp;""))&gt;0)))</f>
        <v/>
      </c>
      <c r="G17" s="60" t="str">
        <f aca="false">IF($C17="","",SUMPRODUCT(($Q17:$BX17=G$6)*($Q$6:$BX$6=G$3)*((($F$2&amp;"")="通年")+($Q$3:$BX$3=($F$2&amp;""))&gt;0)))</f>
        <v/>
      </c>
      <c r="H17" s="60" t="str">
        <f aca="false">IF($C17="","",SUMPRODUCT(($Q17:$BX17=H$6)*($Q$6:$BX$6=H$3)*((($F$2&amp;"")="通年")+($Q$3:$BX$3=($F$2&amp;""))&gt;0)))</f>
        <v/>
      </c>
      <c r="I17" s="60" t="str">
        <f aca="false">IF($C17="","",SUMPRODUCT(($Q17:$BX17=I$6)*($Q$6:$BX$6=I$3)*((($F$2&amp;"")="通年")+($Q$3:$BX$3=($F$2&amp;""))&gt;0)))</f>
        <v/>
      </c>
      <c r="J17" s="60" t="str">
        <f aca="false">IF($C17="","",SUMPRODUCT(($Q17:$BX17=J$6)*($Q$6:$BX$6=J$3)*((($F$2&amp;"")="通年")+($Q$3:$BX$3=($F$2&amp;""))&gt;0)))</f>
        <v/>
      </c>
      <c r="K17" s="60" t="str">
        <f aca="false">IF($C17="","",SUMPRODUCT(($Q17:$BX17=K$6)*($Q$6:$BX$6=K$3)*((($F$2&amp;"")="通年")+($Q$3:$BX$3=($F$2&amp;""))&gt;0)))</f>
        <v/>
      </c>
      <c r="L17" s="60" t="str">
        <f aca="false">IF($C17="","",SUMPRODUCT(($Q17:$BX17=L$6)*($Q$6:$BX$6=L$3)*((($F$2&amp;"")="通年")+($Q$3:$BX$3=($F$2&amp;""))&gt;0)))</f>
        <v/>
      </c>
      <c r="M17" s="62" t="str">
        <f aca="false">IF($C17="","",IF(SUM(D17:F17)=0,"",IF(D17/SUM(D17:F17)&gt;=設定!$I$17,設定!$G$8,IF(F17/SUM(D17:F17)&gt;=設定!$I$18,設定!$G$10,設定!$G$9))))</f>
        <v/>
      </c>
      <c r="N17" s="62" t="str">
        <f aca="false">IF($C17="","",IF(SUM(G17:I17)=0,"",IF(G17/SUM(G17:I17)&gt;=設定!$I$17,設定!$G$8,IF(I17/SUM(G17:I17)&gt;=設定!$I$18,設定!$G$10,設定!$G$9))))</f>
        <v/>
      </c>
      <c r="O17" s="62" t="str">
        <f aca="false">IF($C17="","",IF(SUM(J17:L17)=0,"",IF(J17/SUM(J17:L17)&gt;=設定!$I$17,設定!$G$8,IF(L17/SUM(J17:L17)&gt;=設定!$I$18,設定!$G$10,設定!$G$9))))</f>
        <v/>
      </c>
      <c r="P17" s="13"/>
      <c r="Q17" s="61" t="str">
        <f aca="false">IF($C17="","",INDEX(単元01!$F$5:$F$164,$C17)&amp;"")</f>
        <v/>
      </c>
      <c r="R17" s="61" t="str">
        <f aca="false">IF($C17="","",INDEX(単元01!$G$5:$G$164,$C17)&amp;"")</f>
        <v/>
      </c>
      <c r="S17" s="61" t="str">
        <f aca="false">IF($C17="","",INDEX(単元01!$H$5:$H$164,$C17)&amp;"")</f>
        <v/>
      </c>
      <c r="T17" s="61" t="str">
        <f aca="false">IF($C17="","",INDEX(単元02!$F$5:$F$164,$C17)&amp;"")</f>
        <v/>
      </c>
      <c r="U17" s="61" t="str">
        <f aca="false">IF($C17="","",INDEX(単元02!$G$5:$G$164,$C17)&amp;"")</f>
        <v/>
      </c>
      <c r="V17" s="61" t="str">
        <f aca="false">IF($C17="","",INDEX(単元02!$H$5:$H$164,$C17)&amp;"")</f>
        <v/>
      </c>
      <c r="W17" s="61" t="str">
        <f aca="false">IF($C17="","",INDEX(単元03!$F$5:$F$164,$C17)&amp;"")</f>
        <v/>
      </c>
      <c r="X17" s="61" t="str">
        <f aca="false">IF($C17="","",INDEX(単元03!$G$5:$G$164,$C17)&amp;"")</f>
        <v/>
      </c>
      <c r="Y17" s="61" t="str">
        <f aca="false">IF($C17="","",INDEX(単元03!$H$5:$H$164,$C17)&amp;"")</f>
        <v/>
      </c>
      <c r="Z17" s="61" t="str">
        <f aca="false">IF($C17="","",INDEX(単元04!$F$5:$F$164,$C17)&amp;"")</f>
        <v/>
      </c>
      <c r="AA17" s="61" t="str">
        <f aca="false">IF($C17="","",INDEX(単元04!$G$5:$G$164,$C17)&amp;"")</f>
        <v/>
      </c>
      <c r="AB17" s="61" t="str">
        <f aca="false">IF($C17="","",INDEX(単元04!$H$5:$H$164,$C17)&amp;"")</f>
        <v/>
      </c>
      <c r="AC17" s="61" t="str">
        <f aca="false">IF($C17="","",INDEX(単元05!$F$5:$F$164,$C17)&amp;"")</f>
        <v/>
      </c>
      <c r="AD17" s="61" t="str">
        <f aca="false">IF($C17="","",INDEX(単元05!$G$5:$G$164,$C17)&amp;"")</f>
        <v/>
      </c>
      <c r="AE17" s="61" t="str">
        <f aca="false">IF($C17="","",INDEX(単元05!$H$5:$H$164,$C17)&amp;"")</f>
        <v/>
      </c>
      <c r="AF17" s="61" t="str">
        <f aca="false">IF($C17="","",INDEX(単元06!$F$5:$F$164,$C17)&amp;"")</f>
        <v/>
      </c>
      <c r="AG17" s="61" t="str">
        <f aca="false">IF($C17="","",INDEX(単元06!$G$5:$G$164,$C17)&amp;"")</f>
        <v/>
      </c>
      <c r="AH17" s="61" t="str">
        <f aca="false">IF($C17="","",INDEX(単元06!$H$5:$H$164,$C17)&amp;"")</f>
        <v/>
      </c>
      <c r="AI17" s="61" t="str">
        <f aca="false">IF($C17="","",INDEX(単元07!$F$5:$F$164,$C17)&amp;"")</f>
        <v/>
      </c>
      <c r="AJ17" s="61" t="str">
        <f aca="false">IF($C17="","",INDEX(単元07!$G$5:$G$164,$C17)&amp;"")</f>
        <v/>
      </c>
      <c r="AK17" s="61" t="str">
        <f aca="false">IF($C17="","",INDEX(単元07!$H$5:$H$164,$C17)&amp;"")</f>
        <v/>
      </c>
      <c r="AL17" s="61" t="str">
        <f aca="false">IF($C17="","",INDEX(単元08!$F$5:$F$164,$C17)&amp;"")</f>
        <v/>
      </c>
      <c r="AM17" s="61" t="str">
        <f aca="false">IF($C17="","",INDEX(単元08!$G$5:$G$164,$C17)&amp;"")</f>
        <v/>
      </c>
      <c r="AN17" s="61" t="str">
        <f aca="false">IF($C17="","",INDEX(単元08!$H$5:$H$164,$C17)&amp;"")</f>
        <v/>
      </c>
      <c r="AO17" s="61" t="str">
        <f aca="false">IF($C17="","",INDEX(単元09!$F$5:$F$164,$C17)&amp;"")</f>
        <v/>
      </c>
      <c r="AP17" s="61" t="str">
        <f aca="false">IF($C17="","",INDEX(単元09!$G$5:$G$164,$C17)&amp;"")</f>
        <v/>
      </c>
      <c r="AQ17" s="61" t="str">
        <f aca="false">IF($C17="","",INDEX(単元09!$H$5:$H$164,$C17)&amp;"")</f>
        <v/>
      </c>
      <c r="AR17" s="61" t="str">
        <f aca="false">IF($C17="","",INDEX(単元10!$F$5:$F$164,$C17)&amp;"")</f>
        <v/>
      </c>
      <c r="AS17" s="61" t="str">
        <f aca="false">IF($C17="","",INDEX(単元10!$G$5:$G$164,$C17)&amp;"")</f>
        <v/>
      </c>
      <c r="AT17" s="61" t="str">
        <f aca="false">IF($C17="","",INDEX(単元10!$H$5:$H$164,$C17)&amp;"")</f>
        <v/>
      </c>
      <c r="AU17" s="61" t="str">
        <f aca="false">IF($C17="","",INDEX(単元11!$F$5:$F$164,$C17)&amp;"")</f>
        <v/>
      </c>
      <c r="AV17" s="61" t="str">
        <f aca="false">IF($C17="","",INDEX(単元11!$G$5:$G$164,$C17)&amp;"")</f>
        <v/>
      </c>
      <c r="AW17" s="61" t="str">
        <f aca="false">IF($C17="","",INDEX(単元11!$H$5:$H$164,$C17)&amp;"")</f>
        <v/>
      </c>
      <c r="AX17" s="61" t="str">
        <f aca="false">IF($C17="","",INDEX(単元12!$F$5:$F$164,$C17)&amp;"")</f>
        <v/>
      </c>
      <c r="AY17" s="61" t="str">
        <f aca="false">IF($C17="","",INDEX(単元12!$G$5:$G$164,$C17)&amp;"")</f>
        <v/>
      </c>
      <c r="AZ17" s="61" t="str">
        <f aca="false">IF($C17="","",INDEX(単元12!$H$5:$H$164,$C17)&amp;"")</f>
        <v/>
      </c>
      <c r="BA17" s="61" t="str">
        <f aca="false">IF($C17="","",INDEX(単元13!$F$5:$F$164,$C17)&amp;"")</f>
        <v/>
      </c>
      <c r="BB17" s="61" t="str">
        <f aca="false">IF($C17="","",INDEX(単元13!$G$5:$G$164,$C17)&amp;"")</f>
        <v/>
      </c>
      <c r="BC17" s="61" t="str">
        <f aca="false">IF($C17="","",INDEX(単元13!$H$5:$H$164,$C17)&amp;"")</f>
        <v/>
      </c>
      <c r="BD17" s="61" t="str">
        <f aca="false">IF($C17="","",INDEX(単元14!$F$5:$F$164,$C17)&amp;"")</f>
        <v/>
      </c>
      <c r="BE17" s="61" t="str">
        <f aca="false">IF($C17="","",INDEX(単元14!$G$5:$G$164,$C17)&amp;"")</f>
        <v/>
      </c>
      <c r="BF17" s="61" t="str">
        <f aca="false">IF($C17="","",INDEX(単元14!$H$5:$H$164,$C17)&amp;"")</f>
        <v/>
      </c>
      <c r="BG17" s="61" t="str">
        <f aca="false">IF($C17="","",INDEX(単元15!$F$5:$F$164,$C17)&amp;"")</f>
        <v/>
      </c>
      <c r="BH17" s="61" t="str">
        <f aca="false">IF($C17="","",INDEX(単元15!$G$5:$G$164,$C17)&amp;"")</f>
        <v/>
      </c>
      <c r="BI17" s="61" t="str">
        <f aca="false">IF($C17="","",INDEX(単元15!$H$5:$H$164,$C17)&amp;"")</f>
        <v/>
      </c>
      <c r="BJ17" s="61" t="str">
        <f aca="false">IF($C17="","",INDEX(単元16!$F$5:$F$164,$C17)&amp;"")</f>
        <v/>
      </c>
      <c r="BK17" s="61" t="str">
        <f aca="false">IF($C17="","",INDEX(単元16!$G$5:$G$164,$C17)&amp;"")</f>
        <v/>
      </c>
      <c r="BL17" s="61" t="str">
        <f aca="false">IF($C17="","",INDEX(単元16!$H$5:$H$164,$C17)&amp;"")</f>
        <v/>
      </c>
      <c r="BM17" s="61" t="str">
        <f aca="false">IF($C17="","",INDEX(単元17!$F$5:$F$164,$C17)&amp;"")</f>
        <v/>
      </c>
      <c r="BN17" s="61" t="str">
        <f aca="false">IF($C17="","",INDEX(単元17!$G$5:$G$164,$C17)&amp;"")</f>
        <v/>
      </c>
      <c r="BO17" s="61" t="str">
        <f aca="false">IF($C17="","",INDEX(単元17!$H$5:$H$164,$C17)&amp;"")</f>
        <v/>
      </c>
      <c r="BP17" s="61" t="str">
        <f aca="false">IF($C17="","",INDEX(単元18!$F$5:$F$164,$C17)&amp;"")</f>
        <v/>
      </c>
      <c r="BQ17" s="61" t="str">
        <f aca="false">IF($C17="","",INDEX(単元18!$G$5:$G$164,$C17)&amp;"")</f>
        <v/>
      </c>
      <c r="BR17" s="61" t="str">
        <f aca="false">IF($C17="","",INDEX(単元18!$H$5:$H$164,$C17)&amp;"")</f>
        <v/>
      </c>
      <c r="BS17" s="61" t="str">
        <f aca="false">IF($C17="","",INDEX(単元19!$F$5:$F$164,$C17)&amp;"")</f>
        <v/>
      </c>
      <c r="BT17" s="61" t="str">
        <f aca="false">IF($C17="","",INDEX(単元19!$G$5:$G$164,$C17)&amp;"")</f>
        <v/>
      </c>
      <c r="BU17" s="61" t="str">
        <f aca="false">IF($C17="","",INDEX(単元19!$H$5:$H$164,$C17)&amp;"")</f>
        <v/>
      </c>
      <c r="BV17" s="61" t="str">
        <f aca="false">IF($C17="","",INDEX(単元20!$F$5:$F$164,$C17)&amp;"")</f>
        <v/>
      </c>
      <c r="BW17" s="61" t="str">
        <f aca="false">IF($C17="","",INDEX(単元20!$G$5:$G$164,$C17)&amp;"")</f>
        <v/>
      </c>
      <c r="BX17" s="61" t="str">
        <f aca="false">IF($C17="","",INDEX(単元20!$H$5:$H$164,$C17)&amp;"")</f>
        <v/>
      </c>
    </row>
    <row r="18" customFormat="false" ht="19.5" hidden="false" customHeight="true" outlineLevel="0" collapsed="false">
      <c r="A18" s="91" t="str">
        <f aca="false">IF($C18="","",INDEX(名簿!$C$5:$C$164,$C18))</f>
        <v/>
      </c>
      <c r="B18" s="59" t="str">
        <f aca="false">IF($C18="","",INDEX(名簿!$D$5:$D$164,$C18)&amp;IF(INDEX(名簿!$F$5:$F$164,$C18)="転出","（転出）",""))</f>
        <v/>
      </c>
      <c r="C18" s="41" t="str">
        <f aca="false">IFERROR(MATCH($B$2&amp;"|"&amp;12,名簿!$G$5:$G$164,0),"")</f>
        <v/>
      </c>
      <c r="D18" s="60" t="str">
        <f aca="false">IF($C18="","",SUMPRODUCT(($Q18:$BX18=D$6)*($Q$6:$BX$6=D$3)*((($F$2&amp;"")="通年")+($Q$3:$BX$3=($F$2&amp;""))&gt;0)))</f>
        <v/>
      </c>
      <c r="E18" s="60" t="str">
        <f aca="false">IF($C18="","",SUMPRODUCT(($Q18:$BX18=E$6)*($Q$6:$BX$6=E$3)*((($F$2&amp;"")="通年")+($Q$3:$BX$3=($F$2&amp;""))&gt;0)))</f>
        <v/>
      </c>
      <c r="F18" s="60" t="str">
        <f aca="false">IF($C18="","",SUMPRODUCT(($Q18:$BX18=F$6)*($Q$6:$BX$6=F$3)*((($F$2&amp;"")="通年")+($Q$3:$BX$3=($F$2&amp;""))&gt;0)))</f>
        <v/>
      </c>
      <c r="G18" s="60" t="str">
        <f aca="false">IF($C18="","",SUMPRODUCT(($Q18:$BX18=G$6)*($Q$6:$BX$6=G$3)*((($F$2&amp;"")="通年")+($Q$3:$BX$3=($F$2&amp;""))&gt;0)))</f>
        <v/>
      </c>
      <c r="H18" s="60" t="str">
        <f aca="false">IF($C18="","",SUMPRODUCT(($Q18:$BX18=H$6)*($Q$6:$BX$6=H$3)*((($F$2&amp;"")="通年")+($Q$3:$BX$3=($F$2&amp;""))&gt;0)))</f>
        <v/>
      </c>
      <c r="I18" s="60" t="str">
        <f aca="false">IF($C18="","",SUMPRODUCT(($Q18:$BX18=I$6)*($Q$6:$BX$6=I$3)*((($F$2&amp;"")="通年")+($Q$3:$BX$3=($F$2&amp;""))&gt;0)))</f>
        <v/>
      </c>
      <c r="J18" s="60" t="str">
        <f aca="false">IF($C18="","",SUMPRODUCT(($Q18:$BX18=J$6)*($Q$6:$BX$6=J$3)*((($F$2&amp;"")="通年")+($Q$3:$BX$3=($F$2&amp;""))&gt;0)))</f>
        <v/>
      </c>
      <c r="K18" s="60" t="str">
        <f aca="false">IF($C18="","",SUMPRODUCT(($Q18:$BX18=K$6)*($Q$6:$BX$6=K$3)*((($F$2&amp;"")="通年")+($Q$3:$BX$3=($F$2&amp;""))&gt;0)))</f>
        <v/>
      </c>
      <c r="L18" s="60" t="str">
        <f aca="false">IF($C18="","",SUMPRODUCT(($Q18:$BX18=L$6)*($Q$6:$BX$6=L$3)*((($F$2&amp;"")="通年")+($Q$3:$BX$3=($F$2&amp;""))&gt;0)))</f>
        <v/>
      </c>
      <c r="M18" s="62" t="str">
        <f aca="false">IF($C18="","",IF(SUM(D18:F18)=0,"",IF(D18/SUM(D18:F18)&gt;=設定!$I$17,設定!$G$8,IF(F18/SUM(D18:F18)&gt;=設定!$I$18,設定!$G$10,設定!$G$9))))</f>
        <v/>
      </c>
      <c r="N18" s="62" t="str">
        <f aca="false">IF($C18="","",IF(SUM(G18:I18)=0,"",IF(G18/SUM(G18:I18)&gt;=設定!$I$17,設定!$G$8,IF(I18/SUM(G18:I18)&gt;=設定!$I$18,設定!$G$10,設定!$G$9))))</f>
        <v/>
      </c>
      <c r="O18" s="62" t="str">
        <f aca="false">IF($C18="","",IF(SUM(J18:L18)=0,"",IF(J18/SUM(J18:L18)&gt;=設定!$I$17,設定!$G$8,IF(L18/SUM(J18:L18)&gt;=設定!$I$18,設定!$G$10,設定!$G$9))))</f>
        <v/>
      </c>
      <c r="P18" s="13"/>
      <c r="Q18" s="61" t="str">
        <f aca="false">IF($C18="","",INDEX(単元01!$F$5:$F$164,$C18)&amp;"")</f>
        <v/>
      </c>
      <c r="R18" s="61" t="str">
        <f aca="false">IF($C18="","",INDEX(単元01!$G$5:$G$164,$C18)&amp;"")</f>
        <v/>
      </c>
      <c r="S18" s="61" t="str">
        <f aca="false">IF($C18="","",INDEX(単元01!$H$5:$H$164,$C18)&amp;"")</f>
        <v/>
      </c>
      <c r="T18" s="61" t="str">
        <f aca="false">IF($C18="","",INDEX(単元02!$F$5:$F$164,$C18)&amp;"")</f>
        <v/>
      </c>
      <c r="U18" s="61" t="str">
        <f aca="false">IF($C18="","",INDEX(単元02!$G$5:$G$164,$C18)&amp;"")</f>
        <v/>
      </c>
      <c r="V18" s="61" t="str">
        <f aca="false">IF($C18="","",INDEX(単元02!$H$5:$H$164,$C18)&amp;"")</f>
        <v/>
      </c>
      <c r="W18" s="61" t="str">
        <f aca="false">IF($C18="","",INDEX(単元03!$F$5:$F$164,$C18)&amp;"")</f>
        <v/>
      </c>
      <c r="X18" s="61" t="str">
        <f aca="false">IF($C18="","",INDEX(単元03!$G$5:$G$164,$C18)&amp;"")</f>
        <v/>
      </c>
      <c r="Y18" s="61" t="str">
        <f aca="false">IF($C18="","",INDEX(単元03!$H$5:$H$164,$C18)&amp;"")</f>
        <v/>
      </c>
      <c r="Z18" s="61" t="str">
        <f aca="false">IF($C18="","",INDEX(単元04!$F$5:$F$164,$C18)&amp;"")</f>
        <v/>
      </c>
      <c r="AA18" s="61" t="str">
        <f aca="false">IF($C18="","",INDEX(単元04!$G$5:$G$164,$C18)&amp;"")</f>
        <v/>
      </c>
      <c r="AB18" s="61" t="str">
        <f aca="false">IF($C18="","",INDEX(単元04!$H$5:$H$164,$C18)&amp;"")</f>
        <v/>
      </c>
      <c r="AC18" s="61" t="str">
        <f aca="false">IF($C18="","",INDEX(単元05!$F$5:$F$164,$C18)&amp;"")</f>
        <v/>
      </c>
      <c r="AD18" s="61" t="str">
        <f aca="false">IF($C18="","",INDEX(単元05!$G$5:$G$164,$C18)&amp;"")</f>
        <v/>
      </c>
      <c r="AE18" s="61" t="str">
        <f aca="false">IF($C18="","",INDEX(単元05!$H$5:$H$164,$C18)&amp;"")</f>
        <v/>
      </c>
      <c r="AF18" s="61" t="str">
        <f aca="false">IF($C18="","",INDEX(単元06!$F$5:$F$164,$C18)&amp;"")</f>
        <v/>
      </c>
      <c r="AG18" s="61" t="str">
        <f aca="false">IF($C18="","",INDEX(単元06!$G$5:$G$164,$C18)&amp;"")</f>
        <v/>
      </c>
      <c r="AH18" s="61" t="str">
        <f aca="false">IF($C18="","",INDEX(単元06!$H$5:$H$164,$C18)&amp;"")</f>
        <v/>
      </c>
      <c r="AI18" s="61" t="str">
        <f aca="false">IF($C18="","",INDEX(単元07!$F$5:$F$164,$C18)&amp;"")</f>
        <v/>
      </c>
      <c r="AJ18" s="61" t="str">
        <f aca="false">IF($C18="","",INDEX(単元07!$G$5:$G$164,$C18)&amp;"")</f>
        <v/>
      </c>
      <c r="AK18" s="61" t="str">
        <f aca="false">IF($C18="","",INDEX(単元07!$H$5:$H$164,$C18)&amp;"")</f>
        <v/>
      </c>
      <c r="AL18" s="61" t="str">
        <f aca="false">IF($C18="","",INDEX(単元08!$F$5:$F$164,$C18)&amp;"")</f>
        <v/>
      </c>
      <c r="AM18" s="61" t="str">
        <f aca="false">IF($C18="","",INDEX(単元08!$G$5:$G$164,$C18)&amp;"")</f>
        <v/>
      </c>
      <c r="AN18" s="61" t="str">
        <f aca="false">IF($C18="","",INDEX(単元08!$H$5:$H$164,$C18)&amp;"")</f>
        <v/>
      </c>
      <c r="AO18" s="61" t="str">
        <f aca="false">IF($C18="","",INDEX(単元09!$F$5:$F$164,$C18)&amp;"")</f>
        <v/>
      </c>
      <c r="AP18" s="61" t="str">
        <f aca="false">IF($C18="","",INDEX(単元09!$G$5:$G$164,$C18)&amp;"")</f>
        <v/>
      </c>
      <c r="AQ18" s="61" t="str">
        <f aca="false">IF($C18="","",INDEX(単元09!$H$5:$H$164,$C18)&amp;"")</f>
        <v/>
      </c>
      <c r="AR18" s="61" t="str">
        <f aca="false">IF($C18="","",INDEX(単元10!$F$5:$F$164,$C18)&amp;"")</f>
        <v/>
      </c>
      <c r="AS18" s="61" t="str">
        <f aca="false">IF($C18="","",INDEX(単元10!$G$5:$G$164,$C18)&amp;"")</f>
        <v/>
      </c>
      <c r="AT18" s="61" t="str">
        <f aca="false">IF($C18="","",INDEX(単元10!$H$5:$H$164,$C18)&amp;"")</f>
        <v/>
      </c>
      <c r="AU18" s="61" t="str">
        <f aca="false">IF($C18="","",INDEX(単元11!$F$5:$F$164,$C18)&amp;"")</f>
        <v/>
      </c>
      <c r="AV18" s="61" t="str">
        <f aca="false">IF($C18="","",INDEX(単元11!$G$5:$G$164,$C18)&amp;"")</f>
        <v/>
      </c>
      <c r="AW18" s="61" t="str">
        <f aca="false">IF($C18="","",INDEX(単元11!$H$5:$H$164,$C18)&amp;"")</f>
        <v/>
      </c>
      <c r="AX18" s="61" t="str">
        <f aca="false">IF($C18="","",INDEX(単元12!$F$5:$F$164,$C18)&amp;"")</f>
        <v/>
      </c>
      <c r="AY18" s="61" t="str">
        <f aca="false">IF($C18="","",INDEX(単元12!$G$5:$G$164,$C18)&amp;"")</f>
        <v/>
      </c>
      <c r="AZ18" s="61" t="str">
        <f aca="false">IF($C18="","",INDEX(単元12!$H$5:$H$164,$C18)&amp;"")</f>
        <v/>
      </c>
      <c r="BA18" s="61" t="str">
        <f aca="false">IF($C18="","",INDEX(単元13!$F$5:$F$164,$C18)&amp;"")</f>
        <v/>
      </c>
      <c r="BB18" s="61" t="str">
        <f aca="false">IF($C18="","",INDEX(単元13!$G$5:$G$164,$C18)&amp;"")</f>
        <v/>
      </c>
      <c r="BC18" s="61" t="str">
        <f aca="false">IF($C18="","",INDEX(単元13!$H$5:$H$164,$C18)&amp;"")</f>
        <v/>
      </c>
      <c r="BD18" s="61" t="str">
        <f aca="false">IF($C18="","",INDEX(単元14!$F$5:$F$164,$C18)&amp;"")</f>
        <v/>
      </c>
      <c r="BE18" s="61" t="str">
        <f aca="false">IF($C18="","",INDEX(単元14!$G$5:$G$164,$C18)&amp;"")</f>
        <v/>
      </c>
      <c r="BF18" s="61" t="str">
        <f aca="false">IF($C18="","",INDEX(単元14!$H$5:$H$164,$C18)&amp;"")</f>
        <v/>
      </c>
      <c r="BG18" s="61" t="str">
        <f aca="false">IF($C18="","",INDEX(単元15!$F$5:$F$164,$C18)&amp;"")</f>
        <v/>
      </c>
      <c r="BH18" s="61" t="str">
        <f aca="false">IF($C18="","",INDEX(単元15!$G$5:$G$164,$C18)&amp;"")</f>
        <v/>
      </c>
      <c r="BI18" s="61" t="str">
        <f aca="false">IF($C18="","",INDEX(単元15!$H$5:$H$164,$C18)&amp;"")</f>
        <v/>
      </c>
      <c r="BJ18" s="61" t="str">
        <f aca="false">IF($C18="","",INDEX(単元16!$F$5:$F$164,$C18)&amp;"")</f>
        <v/>
      </c>
      <c r="BK18" s="61" t="str">
        <f aca="false">IF($C18="","",INDEX(単元16!$G$5:$G$164,$C18)&amp;"")</f>
        <v/>
      </c>
      <c r="BL18" s="61" t="str">
        <f aca="false">IF($C18="","",INDEX(単元16!$H$5:$H$164,$C18)&amp;"")</f>
        <v/>
      </c>
      <c r="BM18" s="61" t="str">
        <f aca="false">IF($C18="","",INDEX(単元17!$F$5:$F$164,$C18)&amp;"")</f>
        <v/>
      </c>
      <c r="BN18" s="61" t="str">
        <f aca="false">IF($C18="","",INDEX(単元17!$G$5:$G$164,$C18)&amp;"")</f>
        <v/>
      </c>
      <c r="BO18" s="61" t="str">
        <f aca="false">IF($C18="","",INDEX(単元17!$H$5:$H$164,$C18)&amp;"")</f>
        <v/>
      </c>
      <c r="BP18" s="61" t="str">
        <f aca="false">IF($C18="","",INDEX(単元18!$F$5:$F$164,$C18)&amp;"")</f>
        <v/>
      </c>
      <c r="BQ18" s="61" t="str">
        <f aca="false">IF($C18="","",INDEX(単元18!$G$5:$G$164,$C18)&amp;"")</f>
        <v/>
      </c>
      <c r="BR18" s="61" t="str">
        <f aca="false">IF($C18="","",INDEX(単元18!$H$5:$H$164,$C18)&amp;"")</f>
        <v/>
      </c>
      <c r="BS18" s="61" t="str">
        <f aca="false">IF($C18="","",INDEX(単元19!$F$5:$F$164,$C18)&amp;"")</f>
        <v/>
      </c>
      <c r="BT18" s="61" t="str">
        <f aca="false">IF($C18="","",INDEX(単元19!$G$5:$G$164,$C18)&amp;"")</f>
        <v/>
      </c>
      <c r="BU18" s="61" t="str">
        <f aca="false">IF($C18="","",INDEX(単元19!$H$5:$H$164,$C18)&amp;"")</f>
        <v/>
      </c>
      <c r="BV18" s="61" t="str">
        <f aca="false">IF($C18="","",INDEX(単元20!$F$5:$F$164,$C18)&amp;"")</f>
        <v/>
      </c>
      <c r="BW18" s="61" t="str">
        <f aca="false">IF($C18="","",INDEX(単元20!$G$5:$G$164,$C18)&amp;"")</f>
        <v/>
      </c>
      <c r="BX18" s="61" t="str">
        <f aca="false">IF($C18="","",INDEX(単元20!$H$5:$H$164,$C18)&amp;"")</f>
        <v/>
      </c>
    </row>
    <row r="19" customFormat="false" ht="19.5" hidden="false" customHeight="true" outlineLevel="0" collapsed="false">
      <c r="A19" s="91" t="str">
        <f aca="false">IF($C19="","",INDEX(名簿!$C$5:$C$164,$C19))</f>
        <v/>
      </c>
      <c r="B19" s="59" t="str">
        <f aca="false">IF($C19="","",INDEX(名簿!$D$5:$D$164,$C19)&amp;IF(INDEX(名簿!$F$5:$F$164,$C19)="転出","（転出）",""))</f>
        <v/>
      </c>
      <c r="C19" s="41" t="str">
        <f aca="false">IFERROR(MATCH($B$2&amp;"|"&amp;13,名簿!$G$5:$G$164,0),"")</f>
        <v/>
      </c>
      <c r="D19" s="60" t="str">
        <f aca="false">IF($C19="","",SUMPRODUCT(($Q19:$BX19=D$6)*($Q$6:$BX$6=D$3)*((($F$2&amp;"")="通年")+($Q$3:$BX$3=($F$2&amp;""))&gt;0)))</f>
        <v/>
      </c>
      <c r="E19" s="60" t="str">
        <f aca="false">IF($C19="","",SUMPRODUCT(($Q19:$BX19=E$6)*($Q$6:$BX$6=E$3)*((($F$2&amp;"")="通年")+($Q$3:$BX$3=($F$2&amp;""))&gt;0)))</f>
        <v/>
      </c>
      <c r="F19" s="60" t="str">
        <f aca="false">IF($C19="","",SUMPRODUCT(($Q19:$BX19=F$6)*($Q$6:$BX$6=F$3)*((($F$2&amp;"")="通年")+($Q$3:$BX$3=($F$2&amp;""))&gt;0)))</f>
        <v/>
      </c>
      <c r="G19" s="60" t="str">
        <f aca="false">IF($C19="","",SUMPRODUCT(($Q19:$BX19=G$6)*($Q$6:$BX$6=G$3)*((($F$2&amp;"")="通年")+($Q$3:$BX$3=($F$2&amp;""))&gt;0)))</f>
        <v/>
      </c>
      <c r="H19" s="60" t="str">
        <f aca="false">IF($C19="","",SUMPRODUCT(($Q19:$BX19=H$6)*($Q$6:$BX$6=H$3)*((($F$2&amp;"")="通年")+($Q$3:$BX$3=($F$2&amp;""))&gt;0)))</f>
        <v/>
      </c>
      <c r="I19" s="60" t="str">
        <f aca="false">IF($C19="","",SUMPRODUCT(($Q19:$BX19=I$6)*($Q$6:$BX$6=I$3)*((($F$2&amp;"")="通年")+($Q$3:$BX$3=($F$2&amp;""))&gt;0)))</f>
        <v/>
      </c>
      <c r="J19" s="60" t="str">
        <f aca="false">IF($C19="","",SUMPRODUCT(($Q19:$BX19=J$6)*($Q$6:$BX$6=J$3)*((($F$2&amp;"")="通年")+($Q$3:$BX$3=($F$2&amp;""))&gt;0)))</f>
        <v/>
      </c>
      <c r="K19" s="60" t="str">
        <f aca="false">IF($C19="","",SUMPRODUCT(($Q19:$BX19=K$6)*($Q$6:$BX$6=K$3)*((($F$2&amp;"")="通年")+($Q$3:$BX$3=($F$2&amp;""))&gt;0)))</f>
        <v/>
      </c>
      <c r="L19" s="60" t="str">
        <f aca="false">IF($C19="","",SUMPRODUCT(($Q19:$BX19=L$6)*($Q$6:$BX$6=L$3)*((($F$2&amp;"")="通年")+($Q$3:$BX$3=($F$2&amp;""))&gt;0)))</f>
        <v/>
      </c>
      <c r="M19" s="62" t="str">
        <f aca="false">IF($C19="","",IF(SUM(D19:F19)=0,"",IF(D19/SUM(D19:F19)&gt;=設定!$I$17,設定!$G$8,IF(F19/SUM(D19:F19)&gt;=設定!$I$18,設定!$G$10,設定!$G$9))))</f>
        <v/>
      </c>
      <c r="N19" s="62" t="str">
        <f aca="false">IF($C19="","",IF(SUM(G19:I19)=0,"",IF(G19/SUM(G19:I19)&gt;=設定!$I$17,設定!$G$8,IF(I19/SUM(G19:I19)&gt;=設定!$I$18,設定!$G$10,設定!$G$9))))</f>
        <v/>
      </c>
      <c r="O19" s="62" t="str">
        <f aca="false">IF($C19="","",IF(SUM(J19:L19)=0,"",IF(J19/SUM(J19:L19)&gt;=設定!$I$17,設定!$G$8,IF(L19/SUM(J19:L19)&gt;=設定!$I$18,設定!$G$10,設定!$G$9))))</f>
        <v/>
      </c>
      <c r="P19" s="13"/>
      <c r="Q19" s="61" t="str">
        <f aca="false">IF($C19="","",INDEX(単元01!$F$5:$F$164,$C19)&amp;"")</f>
        <v/>
      </c>
      <c r="R19" s="61" t="str">
        <f aca="false">IF($C19="","",INDEX(単元01!$G$5:$G$164,$C19)&amp;"")</f>
        <v/>
      </c>
      <c r="S19" s="61" t="str">
        <f aca="false">IF($C19="","",INDEX(単元01!$H$5:$H$164,$C19)&amp;"")</f>
        <v/>
      </c>
      <c r="T19" s="61" t="str">
        <f aca="false">IF($C19="","",INDEX(単元02!$F$5:$F$164,$C19)&amp;"")</f>
        <v/>
      </c>
      <c r="U19" s="61" t="str">
        <f aca="false">IF($C19="","",INDEX(単元02!$G$5:$G$164,$C19)&amp;"")</f>
        <v/>
      </c>
      <c r="V19" s="61" t="str">
        <f aca="false">IF($C19="","",INDEX(単元02!$H$5:$H$164,$C19)&amp;"")</f>
        <v/>
      </c>
      <c r="W19" s="61" t="str">
        <f aca="false">IF($C19="","",INDEX(単元03!$F$5:$F$164,$C19)&amp;"")</f>
        <v/>
      </c>
      <c r="X19" s="61" t="str">
        <f aca="false">IF($C19="","",INDEX(単元03!$G$5:$G$164,$C19)&amp;"")</f>
        <v/>
      </c>
      <c r="Y19" s="61" t="str">
        <f aca="false">IF($C19="","",INDEX(単元03!$H$5:$H$164,$C19)&amp;"")</f>
        <v/>
      </c>
      <c r="Z19" s="61" t="str">
        <f aca="false">IF($C19="","",INDEX(単元04!$F$5:$F$164,$C19)&amp;"")</f>
        <v/>
      </c>
      <c r="AA19" s="61" t="str">
        <f aca="false">IF($C19="","",INDEX(単元04!$G$5:$G$164,$C19)&amp;"")</f>
        <v/>
      </c>
      <c r="AB19" s="61" t="str">
        <f aca="false">IF($C19="","",INDEX(単元04!$H$5:$H$164,$C19)&amp;"")</f>
        <v/>
      </c>
      <c r="AC19" s="61" t="str">
        <f aca="false">IF($C19="","",INDEX(単元05!$F$5:$F$164,$C19)&amp;"")</f>
        <v/>
      </c>
      <c r="AD19" s="61" t="str">
        <f aca="false">IF($C19="","",INDEX(単元05!$G$5:$G$164,$C19)&amp;"")</f>
        <v/>
      </c>
      <c r="AE19" s="61" t="str">
        <f aca="false">IF($C19="","",INDEX(単元05!$H$5:$H$164,$C19)&amp;"")</f>
        <v/>
      </c>
      <c r="AF19" s="61" t="str">
        <f aca="false">IF($C19="","",INDEX(単元06!$F$5:$F$164,$C19)&amp;"")</f>
        <v/>
      </c>
      <c r="AG19" s="61" t="str">
        <f aca="false">IF($C19="","",INDEX(単元06!$G$5:$G$164,$C19)&amp;"")</f>
        <v/>
      </c>
      <c r="AH19" s="61" t="str">
        <f aca="false">IF($C19="","",INDEX(単元06!$H$5:$H$164,$C19)&amp;"")</f>
        <v/>
      </c>
      <c r="AI19" s="61" t="str">
        <f aca="false">IF($C19="","",INDEX(単元07!$F$5:$F$164,$C19)&amp;"")</f>
        <v/>
      </c>
      <c r="AJ19" s="61" t="str">
        <f aca="false">IF($C19="","",INDEX(単元07!$G$5:$G$164,$C19)&amp;"")</f>
        <v/>
      </c>
      <c r="AK19" s="61" t="str">
        <f aca="false">IF($C19="","",INDEX(単元07!$H$5:$H$164,$C19)&amp;"")</f>
        <v/>
      </c>
      <c r="AL19" s="61" t="str">
        <f aca="false">IF($C19="","",INDEX(単元08!$F$5:$F$164,$C19)&amp;"")</f>
        <v/>
      </c>
      <c r="AM19" s="61" t="str">
        <f aca="false">IF($C19="","",INDEX(単元08!$G$5:$G$164,$C19)&amp;"")</f>
        <v/>
      </c>
      <c r="AN19" s="61" t="str">
        <f aca="false">IF($C19="","",INDEX(単元08!$H$5:$H$164,$C19)&amp;"")</f>
        <v/>
      </c>
      <c r="AO19" s="61" t="str">
        <f aca="false">IF($C19="","",INDEX(単元09!$F$5:$F$164,$C19)&amp;"")</f>
        <v/>
      </c>
      <c r="AP19" s="61" t="str">
        <f aca="false">IF($C19="","",INDEX(単元09!$G$5:$G$164,$C19)&amp;"")</f>
        <v/>
      </c>
      <c r="AQ19" s="61" t="str">
        <f aca="false">IF($C19="","",INDEX(単元09!$H$5:$H$164,$C19)&amp;"")</f>
        <v/>
      </c>
      <c r="AR19" s="61" t="str">
        <f aca="false">IF($C19="","",INDEX(単元10!$F$5:$F$164,$C19)&amp;"")</f>
        <v/>
      </c>
      <c r="AS19" s="61" t="str">
        <f aca="false">IF($C19="","",INDEX(単元10!$G$5:$G$164,$C19)&amp;"")</f>
        <v/>
      </c>
      <c r="AT19" s="61" t="str">
        <f aca="false">IF($C19="","",INDEX(単元10!$H$5:$H$164,$C19)&amp;"")</f>
        <v/>
      </c>
      <c r="AU19" s="61" t="str">
        <f aca="false">IF($C19="","",INDEX(単元11!$F$5:$F$164,$C19)&amp;"")</f>
        <v/>
      </c>
      <c r="AV19" s="61" t="str">
        <f aca="false">IF($C19="","",INDEX(単元11!$G$5:$G$164,$C19)&amp;"")</f>
        <v/>
      </c>
      <c r="AW19" s="61" t="str">
        <f aca="false">IF($C19="","",INDEX(単元11!$H$5:$H$164,$C19)&amp;"")</f>
        <v/>
      </c>
      <c r="AX19" s="61" t="str">
        <f aca="false">IF($C19="","",INDEX(単元12!$F$5:$F$164,$C19)&amp;"")</f>
        <v/>
      </c>
      <c r="AY19" s="61" t="str">
        <f aca="false">IF($C19="","",INDEX(単元12!$G$5:$G$164,$C19)&amp;"")</f>
        <v/>
      </c>
      <c r="AZ19" s="61" t="str">
        <f aca="false">IF($C19="","",INDEX(単元12!$H$5:$H$164,$C19)&amp;"")</f>
        <v/>
      </c>
      <c r="BA19" s="61" t="str">
        <f aca="false">IF($C19="","",INDEX(単元13!$F$5:$F$164,$C19)&amp;"")</f>
        <v/>
      </c>
      <c r="BB19" s="61" t="str">
        <f aca="false">IF($C19="","",INDEX(単元13!$G$5:$G$164,$C19)&amp;"")</f>
        <v/>
      </c>
      <c r="BC19" s="61" t="str">
        <f aca="false">IF($C19="","",INDEX(単元13!$H$5:$H$164,$C19)&amp;"")</f>
        <v/>
      </c>
      <c r="BD19" s="61" t="str">
        <f aca="false">IF($C19="","",INDEX(単元14!$F$5:$F$164,$C19)&amp;"")</f>
        <v/>
      </c>
      <c r="BE19" s="61" t="str">
        <f aca="false">IF($C19="","",INDEX(単元14!$G$5:$G$164,$C19)&amp;"")</f>
        <v/>
      </c>
      <c r="BF19" s="61" t="str">
        <f aca="false">IF($C19="","",INDEX(単元14!$H$5:$H$164,$C19)&amp;"")</f>
        <v/>
      </c>
      <c r="BG19" s="61" t="str">
        <f aca="false">IF($C19="","",INDEX(単元15!$F$5:$F$164,$C19)&amp;"")</f>
        <v/>
      </c>
      <c r="BH19" s="61" t="str">
        <f aca="false">IF($C19="","",INDEX(単元15!$G$5:$G$164,$C19)&amp;"")</f>
        <v/>
      </c>
      <c r="BI19" s="61" t="str">
        <f aca="false">IF($C19="","",INDEX(単元15!$H$5:$H$164,$C19)&amp;"")</f>
        <v/>
      </c>
      <c r="BJ19" s="61" t="str">
        <f aca="false">IF($C19="","",INDEX(単元16!$F$5:$F$164,$C19)&amp;"")</f>
        <v/>
      </c>
      <c r="BK19" s="61" t="str">
        <f aca="false">IF($C19="","",INDEX(単元16!$G$5:$G$164,$C19)&amp;"")</f>
        <v/>
      </c>
      <c r="BL19" s="61" t="str">
        <f aca="false">IF($C19="","",INDEX(単元16!$H$5:$H$164,$C19)&amp;"")</f>
        <v/>
      </c>
      <c r="BM19" s="61" t="str">
        <f aca="false">IF($C19="","",INDEX(単元17!$F$5:$F$164,$C19)&amp;"")</f>
        <v/>
      </c>
      <c r="BN19" s="61" t="str">
        <f aca="false">IF($C19="","",INDEX(単元17!$G$5:$G$164,$C19)&amp;"")</f>
        <v/>
      </c>
      <c r="BO19" s="61" t="str">
        <f aca="false">IF($C19="","",INDEX(単元17!$H$5:$H$164,$C19)&amp;"")</f>
        <v/>
      </c>
      <c r="BP19" s="61" t="str">
        <f aca="false">IF($C19="","",INDEX(単元18!$F$5:$F$164,$C19)&amp;"")</f>
        <v/>
      </c>
      <c r="BQ19" s="61" t="str">
        <f aca="false">IF($C19="","",INDEX(単元18!$G$5:$G$164,$C19)&amp;"")</f>
        <v/>
      </c>
      <c r="BR19" s="61" t="str">
        <f aca="false">IF($C19="","",INDEX(単元18!$H$5:$H$164,$C19)&amp;"")</f>
        <v/>
      </c>
      <c r="BS19" s="61" t="str">
        <f aca="false">IF($C19="","",INDEX(単元19!$F$5:$F$164,$C19)&amp;"")</f>
        <v/>
      </c>
      <c r="BT19" s="61" t="str">
        <f aca="false">IF($C19="","",INDEX(単元19!$G$5:$G$164,$C19)&amp;"")</f>
        <v/>
      </c>
      <c r="BU19" s="61" t="str">
        <f aca="false">IF($C19="","",INDEX(単元19!$H$5:$H$164,$C19)&amp;"")</f>
        <v/>
      </c>
      <c r="BV19" s="61" t="str">
        <f aca="false">IF($C19="","",INDEX(単元20!$F$5:$F$164,$C19)&amp;"")</f>
        <v/>
      </c>
      <c r="BW19" s="61" t="str">
        <f aca="false">IF($C19="","",INDEX(単元20!$G$5:$G$164,$C19)&amp;"")</f>
        <v/>
      </c>
      <c r="BX19" s="61" t="str">
        <f aca="false">IF($C19="","",INDEX(単元20!$H$5:$H$164,$C19)&amp;"")</f>
        <v/>
      </c>
    </row>
    <row r="20" customFormat="false" ht="19.5" hidden="false" customHeight="true" outlineLevel="0" collapsed="false">
      <c r="A20" s="91" t="str">
        <f aca="false">IF($C20="","",INDEX(名簿!$C$5:$C$164,$C20))</f>
        <v/>
      </c>
      <c r="B20" s="59" t="str">
        <f aca="false">IF($C20="","",INDEX(名簿!$D$5:$D$164,$C20)&amp;IF(INDEX(名簿!$F$5:$F$164,$C20)="転出","（転出）",""))</f>
        <v/>
      </c>
      <c r="C20" s="41" t="str">
        <f aca="false">IFERROR(MATCH($B$2&amp;"|"&amp;14,名簿!$G$5:$G$164,0),"")</f>
        <v/>
      </c>
      <c r="D20" s="60" t="str">
        <f aca="false">IF($C20="","",SUMPRODUCT(($Q20:$BX20=D$6)*($Q$6:$BX$6=D$3)*((($F$2&amp;"")="通年")+($Q$3:$BX$3=($F$2&amp;""))&gt;0)))</f>
        <v/>
      </c>
      <c r="E20" s="60" t="str">
        <f aca="false">IF($C20="","",SUMPRODUCT(($Q20:$BX20=E$6)*($Q$6:$BX$6=E$3)*((($F$2&amp;"")="通年")+($Q$3:$BX$3=($F$2&amp;""))&gt;0)))</f>
        <v/>
      </c>
      <c r="F20" s="60" t="str">
        <f aca="false">IF($C20="","",SUMPRODUCT(($Q20:$BX20=F$6)*($Q$6:$BX$6=F$3)*((($F$2&amp;"")="通年")+($Q$3:$BX$3=($F$2&amp;""))&gt;0)))</f>
        <v/>
      </c>
      <c r="G20" s="60" t="str">
        <f aca="false">IF($C20="","",SUMPRODUCT(($Q20:$BX20=G$6)*($Q$6:$BX$6=G$3)*((($F$2&amp;"")="通年")+($Q$3:$BX$3=($F$2&amp;""))&gt;0)))</f>
        <v/>
      </c>
      <c r="H20" s="60" t="str">
        <f aca="false">IF($C20="","",SUMPRODUCT(($Q20:$BX20=H$6)*($Q$6:$BX$6=H$3)*((($F$2&amp;"")="通年")+($Q$3:$BX$3=($F$2&amp;""))&gt;0)))</f>
        <v/>
      </c>
      <c r="I20" s="60" t="str">
        <f aca="false">IF($C20="","",SUMPRODUCT(($Q20:$BX20=I$6)*($Q$6:$BX$6=I$3)*((($F$2&amp;"")="通年")+($Q$3:$BX$3=($F$2&amp;""))&gt;0)))</f>
        <v/>
      </c>
      <c r="J20" s="60" t="str">
        <f aca="false">IF($C20="","",SUMPRODUCT(($Q20:$BX20=J$6)*($Q$6:$BX$6=J$3)*((($F$2&amp;"")="通年")+($Q$3:$BX$3=($F$2&amp;""))&gt;0)))</f>
        <v/>
      </c>
      <c r="K20" s="60" t="str">
        <f aca="false">IF($C20="","",SUMPRODUCT(($Q20:$BX20=K$6)*($Q$6:$BX$6=K$3)*((($F$2&amp;"")="通年")+($Q$3:$BX$3=($F$2&amp;""))&gt;0)))</f>
        <v/>
      </c>
      <c r="L20" s="60" t="str">
        <f aca="false">IF($C20="","",SUMPRODUCT(($Q20:$BX20=L$6)*($Q$6:$BX$6=L$3)*((($F$2&amp;"")="通年")+($Q$3:$BX$3=($F$2&amp;""))&gt;0)))</f>
        <v/>
      </c>
      <c r="M20" s="62" t="str">
        <f aca="false">IF($C20="","",IF(SUM(D20:F20)=0,"",IF(D20/SUM(D20:F20)&gt;=設定!$I$17,設定!$G$8,IF(F20/SUM(D20:F20)&gt;=設定!$I$18,設定!$G$10,設定!$G$9))))</f>
        <v/>
      </c>
      <c r="N20" s="62" t="str">
        <f aca="false">IF($C20="","",IF(SUM(G20:I20)=0,"",IF(G20/SUM(G20:I20)&gt;=設定!$I$17,設定!$G$8,IF(I20/SUM(G20:I20)&gt;=設定!$I$18,設定!$G$10,設定!$G$9))))</f>
        <v/>
      </c>
      <c r="O20" s="62" t="str">
        <f aca="false">IF($C20="","",IF(SUM(J20:L20)=0,"",IF(J20/SUM(J20:L20)&gt;=設定!$I$17,設定!$G$8,IF(L20/SUM(J20:L20)&gt;=設定!$I$18,設定!$G$10,設定!$G$9))))</f>
        <v/>
      </c>
      <c r="P20" s="13"/>
      <c r="Q20" s="61" t="str">
        <f aca="false">IF($C20="","",INDEX(単元01!$F$5:$F$164,$C20)&amp;"")</f>
        <v/>
      </c>
      <c r="R20" s="61" t="str">
        <f aca="false">IF($C20="","",INDEX(単元01!$G$5:$G$164,$C20)&amp;"")</f>
        <v/>
      </c>
      <c r="S20" s="61" t="str">
        <f aca="false">IF($C20="","",INDEX(単元01!$H$5:$H$164,$C20)&amp;"")</f>
        <v/>
      </c>
      <c r="T20" s="61" t="str">
        <f aca="false">IF($C20="","",INDEX(単元02!$F$5:$F$164,$C20)&amp;"")</f>
        <v/>
      </c>
      <c r="U20" s="61" t="str">
        <f aca="false">IF($C20="","",INDEX(単元02!$G$5:$G$164,$C20)&amp;"")</f>
        <v/>
      </c>
      <c r="V20" s="61" t="str">
        <f aca="false">IF($C20="","",INDEX(単元02!$H$5:$H$164,$C20)&amp;"")</f>
        <v/>
      </c>
      <c r="W20" s="61" t="str">
        <f aca="false">IF($C20="","",INDEX(単元03!$F$5:$F$164,$C20)&amp;"")</f>
        <v/>
      </c>
      <c r="X20" s="61" t="str">
        <f aca="false">IF($C20="","",INDEX(単元03!$G$5:$G$164,$C20)&amp;"")</f>
        <v/>
      </c>
      <c r="Y20" s="61" t="str">
        <f aca="false">IF($C20="","",INDEX(単元03!$H$5:$H$164,$C20)&amp;"")</f>
        <v/>
      </c>
      <c r="Z20" s="61" t="str">
        <f aca="false">IF($C20="","",INDEX(単元04!$F$5:$F$164,$C20)&amp;"")</f>
        <v/>
      </c>
      <c r="AA20" s="61" t="str">
        <f aca="false">IF($C20="","",INDEX(単元04!$G$5:$G$164,$C20)&amp;"")</f>
        <v/>
      </c>
      <c r="AB20" s="61" t="str">
        <f aca="false">IF($C20="","",INDEX(単元04!$H$5:$H$164,$C20)&amp;"")</f>
        <v/>
      </c>
      <c r="AC20" s="61" t="str">
        <f aca="false">IF($C20="","",INDEX(単元05!$F$5:$F$164,$C20)&amp;"")</f>
        <v/>
      </c>
      <c r="AD20" s="61" t="str">
        <f aca="false">IF($C20="","",INDEX(単元05!$G$5:$G$164,$C20)&amp;"")</f>
        <v/>
      </c>
      <c r="AE20" s="61" t="str">
        <f aca="false">IF($C20="","",INDEX(単元05!$H$5:$H$164,$C20)&amp;"")</f>
        <v/>
      </c>
      <c r="AF20" s="61" t="str">
        <f aca="false">IF($C20="","",INDEX(単元06!$F$5:$F$164,$C20)&amp;"")</f>
        <v/>
      </c>
      <c r="AG20" s="61" t="str">
        <f aca="false">IF($C20="","",INDEX(単元06!$G$5:$G$164,$C20)&amp;"")</f>
        <v/>
      </c>
      <c r="AH20" s="61" t="str">
        <f aca="false">IF($C20="","",INDEX(単元06!$H$5:$H$164,$C20)&amp;"")</f>
        <v/>
      </c>
      <c r="AI20" s="61" t="str">
        <f aca="false">IF($C20="","",INDEX(単元07!$F$5:$F$164,$C20)&amp;"")</f>
        <v/>
      </c>
      <c r="AJ20" s="61" t="str">
        <f aca="false">IF($C20="","",INDEX(単元07!$G$5:$G$164,$C20)&amp;"")</f>
        <v/>
      </c>
      <c r="AK20" s="61" t="str">
        <f aca="false">IF($C20="","",INDEX(単元07!$H$5:$H$164,$C20)&amp;"")</f>
        <v/>
      </c>
      <c r="AL20" s="61" t="str">
        <f aca="false">IF($C20="","",INDEX(単元08!$F$5:$F$164,$C20)&amp;"")</f>
        <v/>
      </c>
      <c r="AM20" s="61" t="str">
        <f aca="false">IF($C20="","",INDEX(単元08!$G$5:$G$164,$C20)&amp;"")</f>
        <v/>
      </c>
      <c r="AN20" s="61" t="str">
        <f aca="false">IF($C20="","",INDEX(単元08!$H$5:$H$164,$C20)&amp;"")</f>
        <v/>
      </c>
      <c r="AO20" s="61" t="str">
        <f aca="false">IF($C20="","",INDEX(単元09!$F$5:$F$164,$C20)&amp;"")</f>
        <v/>
      </c>
      <c r="AP20" s="61" t="str">
        <f aca="false">IF($C20="","",INDEX(単元09!$G$5:$G$164,$C20)&amp;"")</f>
        <v/>
      </c>
      <c r="AQ20" s="61" t="str">
        <f aca="false">IF($C20="","",INDEX(単元09!$H$5:$H$164,$C20)&amp;"")</f>
        <v/>
      </c>
      <c r="AR20" s="61" t="str">
        <f aca="false">IF($C20="","",INDEX(単元10!$F$5:$F$164,$C20)&amp;"")</f>
        <v/>
      </c>
      <c r="AS20" s="61" t="str">
        <f aca="false">IF($C20="","",INDEX(単元10!$G$5:$G$164,$C20)&amp;"")</f>
        <v/>
      </c>
      <c r="AT20" s="61" t="str">
        <f aca="false">IF($C20="","",INDEX(単元10!$H$5:$H$164,$C20)&amp;"")</f>
        <v/>
      </c>
      <c r="AU20" s="61" t="str">
        <f aca="false">IF($C20="","",INDEX(単元11!$F$5:$F$164,$C20)&amp;"")</f>
        <v/>
      </c>
      <c r="AV20" s="61" t="str">
        <f aca="false">IF($C20="","",INDEX(単元11!$G$5:$G$164,$C20)&amp;"")</f>
        <v/>
      </c>
      <c r="AW20" s="61" t="str">
        <f aca="false">IF($C20="","",INDEX(単元11!$H$5:$H$164,$C20)&amp;"")</f>
        <v/>
      </c>
      <c r="AX20" s="61" t="str">
        <f aca="false">IF($C20="","",INDEX(単元12!$F$5:$F$164,$C20)&amp;"")</f>
        <v/>
      </c>
      <c r="AY20" s="61" t="str">
        <f aca="false">IF($C20="","",INDEX(単元12!$G$5:$G$164,$C20)&amp;"")</f>
        <v/>
      </c>
      <c r="AZ20" s="61" t="str">
        <f aca="false">IF($C20="","",INDEX(単元12!$H$5:$H$164,$C20)&amp;"")</f>
        <v/>
      </c>
      <c r="BA20" s="61" t="str">
        <f aca="false">IF($C20="","",INDEX(単元13!$F$5:$F$164,$C20)&amp;"")</f>
        <v/>
      </c>
      <c r="BB20" s="61" t="str">
        <f aca="false">IF($C20="","",INDEX(単元13!$G$5:$G$164,$C20)&amp;"")</f>
        <v/>
      </c>
      <c r="BC20" s="61" t="str">
        <f aca="false">IF($C20="","",INDEX(単元13!$H$5:$H$164,$C20)&amp;"")</f>
        <v/>
      </c>
      <c r="BD20" s="61" t="str">
        <f aca="false">IF($C20="","",INDEX(単元14!$F$5:$F$164,$C20)&amp;"")</f>
        <v/>
      </c>
      <c r="BE20" s="61" t="str">
        <f aca="false">IF($C20="","",INDEX(単元14!$G$5:$G$164,$C20)&amp;"")</f>
        <v/>
      </c>
      <c r="BF20" s="61" t="str">
        <f aca="false">IF($C20="","",INDEX(単元14!$H$5:$H$164,$C20)&amp;"")</f>
        <v/>
      </c>
      <c r="BG20" s="61" t="str">
        <f aca="false">IF($C20="","",INDEX(単元15!$F$5:$F$164,$C20)&amp;"")</f>
        <v/>
      </c>
      <c r="BH20" s="61" t="str">
        <f aca="false">IF($C20="","",INDEX(単元15!$G$5:$G$164,$C20)&amp;"")</f>
        <v/>
      </c>
      <c r="BI20" s="61" t="str">
        <f aca="false">IF($C20="","",INDEX(単元15!$H$5:$H$164,$C20)&amp;"")</f>
        <v/>
      </c>
      <c r="BJ20" s="61" t="str">
        <f aca="false">IF($C20="","",INDEX(単元16!$F$5:$F$164,$C20)&amp;"")</f>
        <v/>
      </c>
      <c r="BK20" s="61" t="str">
        <f aca="false">IF($C20="","",INDEX(単元16!$G$5:$G$164,$C20)&amp;"")</f>
        <v/>
      </c>
      <c r="BL20" s="61" t="str">
        <f aca="false">IF($C20="","",INDEX(単元16!$H$5:$H$164,$C20)&amp;"")</f>
        <v/>
      </c>
      <c r="BM20" s="61" t="str">
        <f aca="false">IF($C20="","",INDEX(単元17!$F$5:$F$164,$C20)&amp;"")</f>
        <v/>
      </c>
      <c r="BN20" s="61" t="str">
        <f aca="false">IF($C20="","",INDEX(単元17!$G$5:$G$164,$C20)&amp;"")</f>
        <v/>
      </c>
      <c r="BO20" s="61" t="str">
        <f aca="false">IF($C20="","",INDEX(単元17!$H$5:$H$164,$C20)&amp;"")</f>
        <v/>
      </c>
      <c r="BP20" s="61" t="str">
        <f aca="false">IF($C20="","",INDEX(単元18!$F$5:$F$164,$C20)&amp;"")</f>
        <v/>
      </c>
      <c r="BQ20" s="61" t="str">
        <f aca="false">IF($C20="","",INDEX(単元18!$G$5:$G$164,$C20)&amp;"")</f>
        <v/>
      </c>
      <c r="BR20" s="61" t="str">
        <f aca="false">IF($C20="","",INDEX(単元18!$H$5:$H$164,$C20)&amp;"")</f>
        <v/>
      </c>
      <c r="BS20" s="61" t="str">
        <f aca="false">IF($C20="","",INDEX(単元19!$F$5:$F$164,$C20)&amp;"")</f>
        <v/>
      </c>
      <c r="BT20" s="61" t="str">
        <f aca="false">IF($C20="","",INDEX(単元19!$G$5:$G$164,$C20)&amp;"")</f>
        <v/>
      </c>
      <c r="BU20" s="61" t="str">
        <f aca="false">IF($C20="","",INDEX(単元19!$H$5:$H$164,$C20)&amp;"")</f>
        <v/>
      </c>
      <c r="BV20" s="61" t="str">
        <f aca="false">IF($C20="","",INDEX(単元20!$F$5:$F$164,$C20)&amp;"")</f>
        <v/>
      </c>
      <c r="BW20" s="61" t="str">
        <f aca="false">IF($C20="","",INDEX(単元20!$G$5:$G$164,$C20)&amp;"")</f>
        <v/>
      </c>
      <c r="BX20" s="61" t="str">
        <f aca="false">IF($C20="","",INDEX(単元20!$H$5:$H$164,$C20)&amp;"")</f>
        <v/>
      </c>
    </row>
    <row r="21" customFormat="false" ht="19.5" hidden="false" customHeight="true" outlineLevel="0" collapsed="false">
      <c r="A21" s="91" t="str">
        <f aca="false">IF($C21="","",INDEX(名簿!$C$5:$C$164,$C21))</f>
        <v/>
      </c>
      <c r="B21" s="59" t="str">
        <f aca="false">IF($C21="","",INDEX(名簿!$D$5:$D$164,$C21)&amp;IF(INDEX(名簿!$F$5:$F$164,$C21)="転出","（転出）",""))</f>
        <v/>
      </c>
      <c r="C21" s="41" t="str">
        <f aca="false">IFERROR(MATCH($B$2&amp;"|"&amp;15,名簿!$G$5:$G$164,0),"")</f>
        <v/>
      </c>
      <c r="D21" s="60" t="str">
        <f aca="false">IF($C21="","",SUMPRODUCT(($Q21:$BX21=D$6)*($Q$6:$BX$6=D$3)*((($F$2&amp;"")="通年")+($Q$3:$BX$3=($F$2&amp;""))&gt;0)))</f>
        <v/>
      </c>
      <c r="E21" s="60" t="str">
        <f aca="false">IF($C21="","",SUMPRODUCT(($Q21:$BX21=E$6)*($Q$6:$BX$6=E$3)*((($F$2&amp;"")="通年")+($Q$3:$BX$3=($F$2&amp;""))&gt;0)))</f>
        <v/>
      </c>
      <c r="F21" s="60" t="str">
        <f aca="false">IF($C21="","",SUMPRODUCT(($Q21:$BX21=F$6)*($Q$6:$BX$6=F$3)*((($F$2&amp;"")="通年")+($Q$3:$BX$3=($F$2&amp;""))&gt;0)))</f>
        <v/>
      </c>
      <c r="G21" s="60" t="str">
        <f aca="false">IF($C21="","",SUMPRODUCT(($Q21:$BX21=G$6)*($Q$6:$BX$6=G$3)*((($F$2&amp;"")="通年")+($Q$3:$BX$3=($F$2&amp;""))&gt;0)))</f>
        <v/>
      </c>
      <c r="H21" s="60" t="str">
        <f aca="false">IF($C21="","",SUMPRODUCT(($Q21:$BX21=H$6)*($Q$6:$BX$6=H$3)*((($F$2&amp;"")="通年")+($Q$3:$BX$3=($F$2&amp;""))&gt;0)))</f>
        <v/>
      </c>
      <c r="I21" s="60" t="str">
        <f aca="false">IF($C21="","",SUMPRODUCT(($Q21:$BX21=I$6)*($Q$6:$BX$6=I$3)*((($F$2&amp;"")="通年")+($Q$3:$BX$3=($F$2&amp;""))&gt;0)))</f>
        <v/>
      </c>
      <c r="J21" s="60" t="str">
        <f aca="false">IF($C21="","",SUMPRODUCT(($Q21:$BX21=J$6)*($Q$6:$BX$6=J$3)*((($F$2&amp;"")="通年")+($Q$3:$BX$3=($F$2&amp;""))&gt;0)))</f>
        <v/>
      </c>
      <c r="K21" s="60" t="str">
        <f aca="false">IF($C21="","",SUMPRODUCT(($Q21:$BX21=K$6)*($Q$6:$BX$6=K$3)*((($F$2&amp;"")="通年")+($Q$3:$BX$3=($F$2&amp;""))&gt;0)))</f>
        <v/>
      </c>
      <c r="L21" s="60" t="str">
        <f aca="false">IF($C21="","",SUMPRODUCT(($Q21:$BX21=L$6)*($Q$6:$BX$6=L$3)*((($F$2&amp;"")="通年")+($Q$3:$BX$3=($F$2&amp;""))&gt;0)))</f>
        <v/>
      </c>
      <c r="M21" s="62" t="str">
        <f aca="false">IF($C21="","",IF(SUM(D21:F21)=0,"",IF(D21/SUM(D21:F21)&gt;=設定!$I$17,設定!$G$8,IF(F21/SUM(D21:F21)&gt;=設定!$I$18,設定!$G$10,設定!$G$9))))</f>
        <v/>
      </c>
      <c r="N21" s="62" t="str">
        <f aca="false">IF($C21="","",IF(SUM(G21:I21)=0,"",IF(G21/SUM(G21:I21)&gt;=設定!$I$17,設定!$G$8,IF(I21/SUM(G21:I21)&gt;=設定!$I$18,設定!$G$10,設定!$G$9))))</f>
        <v/>
      </c>
      <c r="O21" s="62" t="str">
        <f aca="false">IF($C21="","",IF(SUM(J21:L21)=0,"",IF(J21/SUM(J21:L21)&gt;=設定!$I$17,設定!$G$8,IF(L21/SUM(J21:L21)&gt;=設定!$I$18,設定!$G$10,設定!$G$9))))</f>
        <v/>
      </c>
      <c r="P21" s="13"/>
      <c r="Q21" s="61" t="str">
        <f aca="false">IF($C21="","",INDEX(単元01!$F$5:$F$164,$C21)&amp;"")</f>
        <v/>
      </c>
      <c r="R21" s="61" t="str">
        <f aca="false">IF($C21="","",INDEX(単元01!$G$5:$G$164,$C21)&amp;"")</f>
        <v/>
      </c>
      <c r="S21" s="61" t="str">
        <f aca="false">IF($C21="","",INDEX(単元01!$H$5:$H$164,$C21)&amp;"")</f>
        <v/>
      </c>
      <c r="T21" s="61" t="str">
        <f aca="false">IF($C21="","",INDEX(単元02!$F$5:$F$164,$C21)&amp;"")</f>
        <v/>
      </c>
      <c r="U21" s="61" t="str">
        <f aca="false">IF($C21="","",INDEX(単元02!$G$5:$G$164,$C21)&amp;"")</f>
        <v/>
      </c>
      <c r="V21" s="61" t="str">
        <f aca="false">IF($C21="","",INDEX(単元02!$H$5:$H$164,$C21)&amp;"")</f>
        <v/>
      </c>
      <c r="W21" s="61" t="str">
        <f aca="false">IF($C21="","",INDEX(単元03!$F$5:$F$164,$C21)&amp;"")</f>
        <v/>
      </c>
      <c r="X21" s="61" t="str">
        <f aca="false">IF($C21="","",INDEX(単元03!$G$5:$G$164,$C21)&amp;"")</f>
        <v/>
      </c>
      <c r="Y21" s="61" t="str">
        <f aca="false">IF($C21="","",INDEX(単元03!$H$5:$H$164,$C21)&amp;"")</f>
        <v/>
      </c>
      <c r="Z21" s="61" t="str">
        <f aca="false">IF($C21="","",INDEX(単元04!$F$5:$F$164,$C21)&amp;"")</f>
        <v/>
      </c>
      <c r="AA21" s="61" t="str">
        <f aca="false">IF($C21="","",INDEX(単元04!$G$5:$G$164,$C21)&amp;"")</f>
        <v/>
      </c>
      <c r="AB21" s="61" t="str">
        <f aca="false">IF($C21="","",INDEX(単元04!$H$5:$H$164,$C21)&amp;"")</f>
        <v/>
      </c>
      <c r="AC21" s="61" t="str">
        <f aca="false">IF($C21="","",INDEX(単元05!$F$5:$F$164,$C21)&amp;"")</f>
        <v/>
      </c>
      <c r="AD21" s="61" t="str">
        <f aca="false">IF($C21="","",INDEX(単元05!$G$5:$G$164,$C21)&amp;"")</f>
        <v/>
      </c>
      <c r="AE21" s="61" t="str">
        <f aca="false">IF($C21="","",INDEX(単元05!$H$5:$H$164,$C21)&amp;"")</f>
        <v/>
      </c>
      <c r="AF21" s="61" t="str">
        <f aca="false">IF($C21="","",INDEX(単元06!$F$5:$F$164,$C21)&amp;"")</f>
        <v/>
      </c>
      <c r="AG21" s="61" t="str">
        <f aca="false">IF($C21="","",INDEX(単元06!$G$5:$G$164,$C21)&amp;"")</f>
        <v/>
      </c>
      <c r="AH21" s="61" t="str">
        <f aca="false">IF($C21="","",INDEX(単元06!$H$5:$H$164,$C21)&amp;"")</f>
        <v/>
      </c>
      <c r="AI21" s="61" t="str">
        <f aca="false">IF($C21="","",INDEX(単元07!$F$5:$F$164,$C21)&amp;"")</f>
        <v/>
      </c>
      <c r="AJ21" s="61" t="str">
        <f aca="false">IF($C21="","",INDEX(単元07!$G$5:$G$164,$C21)&amp;"")</f>
        <v/>
      </c>
      <c r="AK21" s="61" t="str">
        <f aca="false">IF($C21="","",INDEX(単元07!$H$5:$H$164,$C21)&amp;"")</f>
        <v/>
      </c>
      <c r="AL21" s="61" t="str">
        <f aca="false">IF($C21="","",INDEX(単元08!$F$5:$F$164,$C21)&amp;"")</f>
        <v/>
      </c>
      <c r="AM21" s="61" t="str">
        <f aca="false">IF($C21="","",INDEX(単元08!$G$5:$G$164,$C21)&amp;"")</f>
        <v/>
      </c>
      <c r="AN21" s="61" t="str">
        <f aca="false">IF($C21="","",INDEX(単元08!$H$5:$H$164,$C21)&amp;"")</f>
        <v/>
      </c>
      <c r="AO21" s="61" t="str">
        <f aca="false">IF($C21="","",INDEX(単元09!$F$5:$F$164,$C21)&amp;"")</f>
        <v/>
      </c>
      <c r="AP21" s="61" t="str">
        <f aca="false">IF($C21="","",INDEX(単元09!$G$5:$G$164,$C21)&amp;"")</f>
        <v/>
      </c>
      <c r="AQ21" s="61" t="str">
        <f aca="false">IF($C21="","",INDEX(単元09!$H$5:$H$164,$C21)&amp;"")</f>
        <v/>
      </c>
      <c r="AR21" s="61" t="str">
        <f aca="false">IF($C21="","",INDEX(単元10!$F$5:$F$164,$C21)&amp;"")</f>
        <v/>
      </c>
      <c r="AS21" s="61" t="str">
        <f aca="false">IF($C21="","",INDEX(単元10!$G$5:$G$164,$C21)&amp;"")</f>
        <v/>
      </c>
      <c r="AT21" s="61" t="str">
        <f aca="false">IF($C21="","",INDEX(単元10!$H$5:$H$164,$C21)&amp;"")</f>
        <v/>
      </c>
      <c r="AU21" s="61" t="str">
        <f aca="false">IF($C21="","",INDEX(単元11!$F$5:$F$164,$C21)&amp;"")</f>
        <v/>
      </c>
      <c r="AV21" s="61" t="str">
        <f aca="false">IF($C21="","",INDEX(単元11!$G$5:$G$164,$C21)&amp;"")</f>
        <v/>
      </c>
      <c r="AW21" s="61" t="str">
        <f aca="false">IF($C21="","",INDEX(単元11!$H$5:$H$164,$C21)&amp;"")</f>
        <v/>
      </c>
      <c r="AX21" s="61" t="str">
        <f aca="false">IF($C21="","",INDEX(単元12!$F$5:$F$164,$C21)&amp;"")</f>
        <v/>
      </c>
      <c r="AY21" s="61" t="str">
        <f aca="false">IF($C21="","",INDEX(単元12!$G$5:$G$164,$C21)&amp;"")</f>
        <v/>
      </c>
      <c r="AZ21" s="61" t="str">
        <f aca="false">IF($C21="","",INDEX(単元12!$H$5:$H$164,$C21)&amp;"")</f>
        <v/>
      </c>
      <c r="BA21" s="61" t="str">
        <f aca="false">IF($C21="","",INDEX(単元13!$F$5:$F$164,$C21)&amp;"")</f>
        <v/>
      </c>
      <c r="BB21" s="61" t="str">
        <f aca="false">IF($C21="","",INDEX(単元13!$G$5:$G$164,$C21)&amp;"")</f>
        <v/>
      </c>
      <c r="BC21" s="61" t="str">
        <f aca="false">IF($C21="","",INDEX(単元13!$H$5:$H$164,$C21)&amp;"")</f>
        <v/>
      </c>
      <c r="BD21" s="61" t="str">
        <f aca="false">IF($C21="","",INDEX(単元14!$F$5:$F$164,$C21)&amp;"")</f>
        <v/>
      </c>
      <c r="BE21" s="61" t="str">
        <f aca="false">IF($C21="","",INDEX(単元14!$G$5:$G$164,$C21)&amp;"")</f>
        <v/>
      </c>
      <c r="BF21" s="61" t="str">
        <f aca="false">IF($C21="","",INDEX(単元14!$H$5:$H$164,$C21)&amp;"")</f>
        <v/>
      </c>
      <c r="BG21" s="61" t="str">
        <f aca="false">IF($C21="","",INDEX(単元15!$F$5:$F$164,$C21)&amp;"")</f>
        <v/>
      </c>
      <c r="BH21" s="61" t="str">
        <f aca="false">IF($C21="","",INDEX(単元15!$G$5:$G$164,$C21)&amp;"")</f>
        <v/>
      </c>
      <c r="BI21" s="61" t="str">
        <f aca="false">IF($C21="","",INDEX(単元15!$H$5:$H$164,$C21)&amp;"")</f>
        <v/>
      </c>
      <c r="BJ21" s="61" t="str">
        <f aca="false">IF($C21="","",INDEX(単元16!$F$5:$F$164,$C21)&amp;"")</f>
        <v/>
      </c>
      <c r="BK21" s="61" t="str">
        <f aca="false">IF($C21="","",INDEX(単元16!$G$5:$G$164,$C21)&amp;"")</f>
        <v/>
      </c>
      <c r="BL21" s="61" t="str">
        <f aca="false">IF($C21="","",INDEX(単元16!$H$5:$H$164,$C21)&amp;"")</f>
        <v/>
      </c>
      <c r="BM21" s="61" t="str">
        <f aca="false">IF($C21="","",INDEX(単元17!$F$5:$F$164,$C21)&amp;"")</f>
        <v/>
      </c>
      <c r="BN21" s="61" t="str">
        <f aca="false">IF($C21="","",INDEX(単元17!$G$5:$G$164,$C21)&amp;"")</f>
        <v/>
      </c>
      <c r="BO21" s="61" t="str">
        <f aca="false">IF($C21="","",INDEX(単元17!$H$5:$H$164,$C21)&amp;"")</f>
        <v/>
      </c>
      <c r="BP21" s="61" t="str">
        <f aca="false">IF($C21="","",INDEX(単元18!$F$5:$F$164,$C21)&amp;"")</f>
        <v/>
      </c>
      <c r="BQ21" s="61" t="str">
        <f aca="false">IF($C21="","",INDEX(単元18!$G$5:$G$164,$C21)&amp;"")</f>
        <v/>
      </c>
      <c r="BR21" s="61" t="str">
        <f aca="false">IF($C21="","",INDEX(単元18!$H$5:$H$164,$C21)&amp;"")</f>
        <v/>
      </c>
      <c r="BS21" s="61" t="str">
        <f aca="false">IF($C21="","",INDEX(単元19!$F$5:$F$164,$C21)&amp;"")</f>
        <v/>
      </c>
      <c r="BT21" s="61" t="str">
        <f aca="false">IF($C21="","",INDEX(単元19!$G$5:$G$164,$C21)&amp;"")</f>
        <v/>
      </c>
      <c r="BU21" s="61" t="str">
        <f aca="false">IF($C21="","",INDEX(単元19!$H$5:$H$164,$C21)&amp;"")</f>
        <v/>
      </c>
      <c r="BV21" s="61" t="str">
        <f aca="false">IF($C21="","",INDEX(単元20!$F$5:$F$164,$C21)&amp;"")</f>
        <v/>
      </c>
      <c r="BW21" s="61" t="str">
        <f aca="false">IF($C21="","",INDEX(単元20!$G$5:$G$164,$C21)&amp;"")</f>
        <v/>
      </c>
      <c r="BX21" s="61" t="str">
        <f aca="false">IF($C21="","",INDEX(単元20!$H$5:$H$164,$C21)&amp;"")</f>
        <v/>
      </c>
    </row>
    <row r="22" customFormat="false" ht="19.5" hidden="false" customHeight="true" outlineLevel="0" collapsed="false">
      <c r="A22" s="91" t="str">
        <f aca="false">IF($C22="","",INDEX(名簿!$C$5:$C$164,$C22))</f>
        <v/>
      </c>
      <c r="B22" s="59" t="str">
        <f aca="false">IF($C22="","",INDEX(名簿!$D$5:$D$164,$C22)&amp;IF(INDEX(名簿!$F$5:$F$164,$C22)="転出","（転出）",""))</f>
        <v/>
      </c>
      <c r="C22" s="41" t="str">
        <f aca="false">IFERROR(MATCH($B$2&amp;"|"&amp;16,名簿!$G$5:$G$164,0),"")</f>
        <v/>
      </c>
      <c r="D22" s="60" t="str">
        <f aca="false">IF($C22="","",SUMPRODUCT(($Q22:$BX22=D$6)*($Q$6:$BX$6=D$3)*((($F$2&amp;"")="通年")+($Q$3:$BX$3=($F$2&amp;""))&gt;0)))</f>
        <v/>
      </c>
      <c r="E22" s="60" t="str">
        <f aca="false">IF($C22="","",SUMPRODUCT(($Q22:$BX22=E$6)*($Q$6:$BX$6=E$3)*((($F$2&amp;"")="通年")+($Q$3:$BX$3=($F$2&amp;""))&gt;0)))</f>
        <v/>
      </c>
      <c r="F22" s="60" t="str">
        <f aca="false">IF($C22="","",SUMPRODUCT(($Q22:$BX22=F$6)*($Q$6:$BX$6=F$3)*((($F$2&amp;"")="通年")+($Q$3:$BX$3=($F$2&amp;""))&gt;0)))</f>
        <v/>
      </c>
      <c r="G22" s="60" t="str">
        <f aca="false">IF($C22="","",SUMPRODUCT(($Q22:$BX22=G$6)*($Q$6:$BX$6=G$3)*((($F$2&amp;"")="通年")+($Q$3:$BX$3=($F$2&amp;""))&gt;0)))</f>
        <v/>
      </c>
      <c r="H22" s="60" t="str">
        <f aca="false">IF($C22="","",SUMPRODUCT(($Q22:$BX22=H$6)*($Q$6:$BX$6=H$3)*((($F$2&amp;"")="通年")+($Q$3:$BX$3=($F$2&amp;""))&gt;0)))</f>
        <v/>
      </c>
      <c r="I22" s="60" t="str">
        <f aca="false">IF($C22="","",SUMPRODUCT(($Q22:$BX22=I$6)*($Q$6:$BX$6=I$3)*((($F$2&amp;"")="通年")+($Q$3:$BX$3=($F$2&amp;""))&gt;0)))</f>
        <v/>
      </c>
      <c r="J22" s="60" t="str">
        <f aca="false">IF($C22="","",SUMPRODUCT(($Q22:$BX22=J$6)*($Q$6:$BX$6=J$3)*((($F$2&amp;"")="通年")+($Q$3:$BX$3=($F$2&amp;""))&gt;0)))</f>
        <v/>
      </c>
      <c r="K22" s="60" t="str">
        <f aca="false">IF($C22="","",SUMPRODUCT(($Q22:$BX22=K$6)*($Q$6:$BX$6=K$3)*((($F$2&amp;"")="通年")+($Q$3:$BX$3=($F$2&amp;""))&gt;0)))</f>
        <v/>
      </c>
      <c r="L22" s="60" t="str">
        <f aca="false">IF($C22="","",SUMPRODUCT(($Q22:$BX22=L$6)*($Q$6:$BX$6=L$3)*((($F$2&amp;"")="通年")+($Q$3:$BX$3=($F$2&amp;""))&gt;0)))</f>
        <v/>
      </c>
      <c r="M22" s="62" t="str">
        <f aca="false">IF($C22="","",IF(SUM(D22:F22)=0,"",IF(D22/SUM(D22:F22)&gt;=設定!$I$17,設定!$G$8,IF(F22/SUM(D22:F22)&gt;=設定!$I$18,設定!$G$10,設定!$G$9))))</f>
        <v/>
      </c>
      <c r="N22" s="62" t="str">
        <f aca="false">IF($C22="","",IF(SUM(G22:I22)=0,"",IF(G22/SUM(G22:I22)&gt;=設定!$I$17,設定!$G$8,IF(I22/SUM(G22:I22)&gt;=設定!$I$18,設定!$G$10,設定!$G$9))))</f>
        <v/>
      </c>
      <c r="O22" s="62" t="str">
        <f aca="false">IF($C22="","",IF(SUM(J22:L22)=0,"",IF(J22/SUM(J22:L22)&gt;=設定!$I$17,設定!$G$8,IF(L22/SUM(J22:L22)&gt;=設定!$I$18,設定!$G$10,設定!$G$9))))</f>
        <v/>
      </c>
      <c r="P22" s="13"/>
      <c r="Q22" s="61" t="str">
        <f aca="false">IF($C22="","",INDEX(単元01!$F$5:$F$164,$C22)&amp;"")</f>
        <v/>
      </c>
      <c r="R22" s="61" t="str">
        <f aca="false">IF($C22="","",INDEX(単元01!$G$5:$G$164,$C22)&amp;"")</f>
        <v/>
      </c>
      <c r="S22" s="61" t="str">
        <f aca="false">IF($C22="","",INDEX(単元01!$H$5:$H$164,$C22)&amp;"")</f>
        <v/>
      </c>
      <c r="T22" s="61" t="str">
        <f aca="false">IF($C22="","",INDEX(単元02!$F$5:$F$164,$C22)&amp;"")</f>
        <v/>
      </c>
      <c r="U22" s="61" t="str">
        <f aca="false">IF($C22="","",INDEX(単元02!$G$5:$G$164,$C22)&amp;"")</f>
        <v/>
      </c>
      <c r="V22" s="61" t="str">
        <f aca="false">IF($C22="","",INDEX(単元02!$H$5:$H$164,$C22)&amp;"")</f>
        <v/>
      </c>
      <c r="W22" s="61" t="str">
        <f aca="false">IF($C22="","",INDEX(単元03!$F$5:$F$164,$C22)&amp;"")</f>
        <v/>
      </c>
      <c r="X22" s="61" t="str">
        <f aca="false">IF($C22="","",INDEX(単元03!$G$5:$G$164,$C22)&amp;"")</f>
        <v/>
      </c>
      <c r="Y22" s="61" t="str">
        <f aca="false">IF($C22="","",INDEX(単元03!$H$5:$H$164,$C22)&amp;"")</f>
        <v/>
      </c>
      <c r="Z22" s="61" t="str">
        <f aca="false">IF($C22="","",INDEX(単元04!$F$5:$F$164,$C22)&amp;"")</f>
        <v/>
      </c>
      <c r="AA22" s="61" t="str">
        <f aca="false">IF($C22="","",INDEX(単元04!$G$5:$G$164,$C22)&amp;"")</f>
        <v/>
      </c>
      <c r="AB22" s="61" t="str">
        <f aca="false">IF($C22="","",INDEX(単元04!$H$5:$H$164,$C22)&amp;"")</f>
        <v/>
      </c>
      <c r="AC22" s="61" t="str">
        <f aca="false">IF($C22="","",INDEX(単元05!$F$5:$F$164,$C22)&amp;"")</f>
        <v/>
      </c>
      <c r="AD22" s="61" t="str">
        <f aca="false">IF($C22="","",INDEX(単元05!$G$5:$G$164,$C22)&amp;"")</f>
        <v/>
      </c>
      <c r="AE22" s="61" t="str">
        <f aca="false">IF($C22="","",INDEX(単元05!$H$5:$H$164,$C22)&amp;"")</f>
        <v/>
      </c>
      <c r="AF22" s="61" t="str">
        <f aca="false">IF($C22="","",INDEX(単元06!$F$5:$F$164,$C22)&amp;"")</f>
        <v/>
      </c>
      <c r="AG22" s="61" t="str">
        <f aca="false">IF($C22="","",INDEX(単元06!$G$5:$G$164,$C22)&amp;"")</f>
        <v/>
      </c>
      <c r="AH22" s="61" t="str">
        <f aca="false">IF($C22="","",INDEX(単元06!$H$5:$H$164,$C22)&amp;"")</f>
        <v/>
      </c>
      <c r="AI22" s="61" t="str">
        <f aca="false">IF($C22="","",INDEX(単元07!$F$5:$F$164,$C22)&amp;"")</f>
        <v/>
      </c>
      <c r="AJ22" s="61" t="str">
        <f aca="false">IF($C22="","",INDEX(単元07!$G$5:$G$164,$C22)&amp;"")</f>
        <v/>
      </c>
      <c r="AK22" s="61" t="str">
        <f aca="false">IF($C22="","",INDEX(単元07!$H$5:$H$164,$C22)&amp;"")</f>
        <v/>
      </c>
      <c r="AL22" s="61" t="str">
        <f aca="false">IF($C22="","",INDEX(単元08!$F$5:$F$164,$C22)&amp;"")</f>
        <v/>
      </c>
      <c r="AM22" s="61" t="str">
        <f aca="false">IF($C22="","",INDEX(単元08!$G$5:$G$164,$C22)&amp;"")</f>
        <v/>
      </c>
      <c r="AN22" s="61" t="str">
        <f aca="false">IF($C22="","",INDEX(単元08!$H$5:$H$164,$C22)&amp;"")</f>
        <v/>
      </c>
      <c r="AO22" s="61" t="str">
        <f aca="false">IF($C22="","",INDEX(単元09!$F$5:$F$164,$C22)&amp;"")</f>
        <v/>
      </c>
      <c r="AP22" s="61" t="str">
        <f aca="false">IF($C22="","",INDEX(単元09!$G$5:$G$164,$C22)&amp;"")</f>
        <v/>
      </c>
      <c r="AQ22" s="61" t="str">
        <f aca="false">IF($C22="","",INDEX(単元09!$H$5:$H$164,$C22)&amp;"")</f>
        <v/>
      </c>
      <c r="AR22" s="61" t="str">
        <f aca="false">IF($C22="","",INDEX(単元10!$F$5:$F$164,$C22)&amp;"")</f>
        <v/>
      </c>
      <c r="AS22" s="61" t="str">
        <f aca="false">IF($C22="","",INDEX(単元10!$G$5:$G$164,$C22)&amp;"")</f>
        <v/>
      </c>
      <c r="AT22" s="61" t="str">
        <f aca="false">IF($C22="","",INDEX(単元10!$H$5:$H$164,$C22)&amp;"")</f>
        <v/>
      </c>
      <c r="AU22" s="61" t="str">
        <f aca="false">IF($C22="","",INDEX(単元11!$F$5:$F$164,$C22)&amp;"")</f>
        <v/>
      </c>
      <c r="AV22" s="61" t="str">
        <f aca="false">IF($C22="","",INDEX(単元11!$G$5:$G$164,$C22)&amp;"")</f>
        <v/>
      </c>
      <c r="AW22" s="61" t="str">
        <f aca="false">IF($C22="","",INDEX(単元11!$H$5:$H$164,$C22)&amp;"")</f>
        <v/>
      </c>
      <c r="AX22" s="61" t="str">
        <f aca="false">IF($C22="","",INDEX(単元12!$F$5:$F$164,$C22)&amp;"")</f>
        <v/>
      </c>
      <c r="AY22" s="61" t="str">
        <f aca="false">IF($C22="","",INDEX(単元12!$G$5:$G$164,$C22)&amp;"")</f>
        <v/>
      </c>
      <c r="AZ22" s="61" t="str">
        <f aca="false">IF($C22="","",INDEX(単元12!$H$5:$H$164,$C22)&amp;"")</f>
        <v/>
      </c>
      <c r="BA22" s="61" t="str">
        <f aca="false">IF($C22="","",INDEX(単元13!$F$5:$F$164,$C22)&amp;"")</f>
        <v/>
      </c>
      <c r="BB22" s="61" t="str">
        <f aca="false">IF($C22="","",INDEX(単元13!$G$5:$G$164,$C22)&amp;"")</f>
        <v/>
      </c>
      <c r="BC22" s="61" t="str">
        <f aca="false">IF($C22="","",INDEX(単元13!$H$5:$H$164,$C22)&amp;"")</f>
        <v/>
      </c>
      <c r="BD22" s="61" t="str">
        <f aca="false">IF($C22="","",INDEX(単元14!$F$5:$F$164,$C22)&amp;"")</f>
        <v/>
      </c>
      <c r="BE22" s="61" t="str">
        <f aca="false">IF($C22="","",INDEX(単元14!$G$5:$G$164,$C22)&amp;"")</f>
        <v/>
      </c>
      <c r="BF22" s="61" t="str">
        <f aca="false">IF($C22="","",INDEX(単元14!$H$5:$H$164,$C22)&amp;"")</f>
        <v/>
      </c>
      <c r="BG22" s="61" t="str">
        <f aca="false">IF($C22="","",INDEX(単元15!$F$5:$F$164,$C22)&amp;"")</f>
        <v/>
      </c>
      <c r="BH22" s="61" t="str">
        <f aca="false">IF($C22="","",INDEX(単元15!$G$5:$G$164,$C22)&amp;"")</f>
        <v/>
      </c>
      <c r="BI22" s="61" t="str">
        <f aca="false">IF($C22="","",INDEX(単元15!$H$5:$H$164,$C22)&amp;"")</f>
        <v/>
      </c>
      <c r="BJ22" s="61" t="str">
        <f aca="false">IF($C22="","",INDEX(単元16!$F$5:$F$164,$C22)&amp;"")</f>
        <v/>
      </c>
      <c r="BK22" s="61" t="str">
        <f aca="false">IF($C22="","",INDEX(単元16!$G$5:$G$164,$C22)&amp;"")</f>
        <v/>
      </c>
      <c r="BL22" s="61" t="str">
        <f aca="false">IF($C22="","",INDEX(単元16!$H$5:$H$164,$C22)&amp;"")</f>
        <v/>
      </c>
      <c r="BM22" s="61" t="str">
        <f aca="false">IF($C22="","",INDEX(単元17!$F$5:$F$164,$C22)&amp;"")</f>
        <v/>
      </c>
      <c r="BN22" s="61" t="str">
        <f aca="false">IF($C22="","",INDEX(単元17!$G$5:$G$164,$C22)&amp;"")</f>
        <v/>
      </c>
      <c r="BO22" s="61" t="str">
        <f aca="false">IF($C22="","",INDEX(単元17!$H$5:$H$164,$C22)&amp;"")</f>
        <v/>
      </c>
      <c r="BP22" s="61" t="str">
        <f aca="false">IF($C22="","",INDEX(単元18!$F$5:$F$164,$C22)&amp;"")</f>
        <v/>
      </c>
      <c r="BQ22" s="61" t="str">
        <f aca="false">IF($C22="","",INDEX(単元18!$G$5:$G$164,$C22)&amp;"")</f>
        <v/>
      </c>
      <c r="BR22" s="61" t="str">
        <f aca="false">IF($C22="","",INDEX(単元18!$H$5:$H$164,$C22)&amp;"")</f>
        <v/>
      </c>
      <c r="BS22" s="61" t="str">
        <f aca="false">IF($C22="","",INDEX(単元19!$F$5:$F$164,$C22)&amp;"")</f>
        <v/>
      </c>
      <c r="BT22" s="61" t="str">
        <f aca="false">IF($C22="","",INDEX(単元19!$G$5:$G$164,$C22)&amp;"")</f>
        <v/>
      </c>
      <c r="BU22" s="61" t="str">
        <f aca="false">IF($C22="","",INDEX(単元19!$H$5:$H$164,$C22)&amp;"")</f>
        <v/>
      </c>
      <c r="BV22" s="61" t="str">
        <f aca="false">IF($C22="","",INDEX(単元20!$F$5:$F$164,$C22)&amp;"")</f>
        <v/>
      </c>
      <c r="BW22" s="61" t="str">
        <f aca="false">IF($C22="","",INDEX(単元20!$G$5:$G$164,$C22)&amp;"")</f>
        <v/>
      </c>
      <c r="BX22" s="61" t="str">
        <f aca="false">IF($C22="","",INDEX(単元20!$H$5:$H$164,$C22)&amp;"")</f>
        <v/>
      </c>
    </row>
    <row r="23" customFormat="false" ht="19.5" hidden="false" customHeight="true" outlineLevel="0" collapsed="false">
      <c r="A23" s="91" t="str">
        <f aca="false">IF($C23="","",INDEX(名簿!$C$5:$C$164,$C23))</f>
        <v/>
      </c>
      <c r="B23" s="59" t="str">
        <f aca="false">IF($C23="","",INDEX(名簿!$D$5:$D$164,$C23)&amp;IF(INDEX(名簿!$F$5:$F$164,$C23)="転出","（転出）",""))</f>
        <v/>
      </c>
      <c r="C23" s="41" t="str">
        <f aca="false">IFERROR(MATCH($B$2&amp;"|"&amp;17,名簿!$G$5:$G$164,0),"")</f>
        <v/>
      </c>
      <c r="D23" s="60" t="str">
        <f aca="false">IF($C23="","",SUMPRODUCT(($Q23:$BX23=D$6)*($Q$6:$BX$6=D$3)*((($F$2&amp;"")="通年")+($Q$3:$BX$3=($F$2&amp;""))&gt;0)))</f>
        <v/>
      </c>
      <c r="E23" s="60" t="str">
        <f aca="false">IF($C23="","",SUMPRODUCT(($Q23:$BX23=E$6)*($Q$6:$BX$6=E$3)*((($F$2&amp;"")="通年")+($Q$3:$BX$3=($F$2&amp;""))&gt;0)))</f>
        <v/>
      </c>
      <c r="F23" s="60" t="str">
        <f aca="false">IF($C23="","",SUMPRODUCT(($Q23:$BX23=F$6)*($Q$6:$BX$6=F$3)*((($F$2&amp;"")="通年")+($Q$3:$BX$3=($F$2&amp;""))&gt;0)))</f>
        <v/>
      </c>
      <c r="G23" s="60" t="str">
        <f aca="false">IF($C23="","",SUMPRODUCT(($Q23:$BX23=G$6)*($Q$6:$BX$6=G$3)*((($F$2&amp;"")="通年")+($Q$3:$BX$3=($F$2&amp;""))&gt;0)))</f>
        <v/>
      </c>
      <c r="H23" s="60" t="str">
        <f aca="false">IF($C23="","",SUMPRODUCT(($Q23:$BX23=H$6)*($Q$6:$BX$6=H$3)*((($F$2&amp;"")="通年")+($Q$3:$BX$3=($F$2&amp;""))&gt;0)))</f>
        <v/>
      </c>
      <c r="I23" s="60" t="str">
        <f aca="false">IF($C23="","",SUMPRODUCT(($Q23:$BX23=I$6)*($Q$6:$BX$6=I$3)*((($F$2&amp;"")="通年")+($Q$3:$BX$3=($F$2&amp;""))&gt;0)))</f>
        <v/>
      </c>
      <c r="J23" s="60" t="str">
        <f aca="false">IF($C23="","",SUMPRODUCT(($Q23:$BX23=J$6)*($Q$6:$BX$6=J$3)*((($F$2&amp;"")="通年")+($Q$3:$BX$3=($F$2&amp;""))&gt;0)))</f>
        <v/>
      </c>
      <c r="K23" s="60" t="str">
        <f aca="false">IF($C23="","",SUMPRODUCT(($Q23:$BX23=K$6)*($Q$6:$BX$6=K$3)*((($F$2&amp;"")="通年")+($Q$3:$BX$3=($F$2&amp;""))&gt;0)))</f>
        <v/>
      </c>
      <c r="L23" s="60" t="str">
        <f aca="false">IF($C23="","",SUMPRODUCT(($Q23:$BX23=L$6)*($Q$6:$BX$6=L$3)*((($F$2&amp;"")="通年")+($Q$3:$BX$3=($F$2&amp;""))&gt;0)))</f>
        <v/>
      </c>
      <c r="M23" s="62" t="str">
        <f aca="false">IF($C23="","",IF(SUM(D23:F23)=0,"",IF(D23/SUM(D23:F23)&gt;=設定!$I$17,設定!$G$8,IF(F23/SUM(D23:F23)&gt;=設定!$I$18,設定!$G$10,設定!$G$9))))</f>
        <v/>
      </c>
      <c r="N23" s="62" t="str">
        <f aca="false">IF($C23="","",IF(SUM(G23:I23)=0,"",IF(G23/SUM(G23:I23)&gt;=設定!$I$17,設定!$G$8,IF(I23/SUM(G23:I23)&gt;=設定!$I$18,設定!$G$10,設定!$G$9))))</f>
        <v/>
      </c>
      <c r="O23" s="62" t="str">
        <f aca="false">IF($C23="","",IF(SUM(J23:L23)=0,"",IF(J23/SUM(J23:L23)&gt;=設定!$I$17,設定!$G$8,IF(L23/SUM(J23:L23)&gt;=設定!$I$18,設定!$G$10,設定!$G$9))))</f>
        <v/>
      </c>
      <c r="P23" s="13"/>
      <c r="Q23" s="61" t="str">
        <f aca="false">IF($C23="","",INDEX(単元01!$F$5:$F$164,$C23)&amp;"")</f>
        <v/>
      </c>
      <c r="R23" s="61" t="str">
        <f aca="false">IF($C23="","",INDEX(単元01!$G$5:$G$164,$C23)&amp;"")</f>
        <v/>
      </c>
      <c r="S23" s="61" t="str">
        <f aca="false">IF($C23="","",INDEX(単元01!$H$5:$H$164,$C23)&amp;"")</f>
        <v/>
      </c>
      <c r="T23" s="61" t="str">
        <f aca="false">IF($C23="","",INDEX(単元02!$F$5:$F$164,$C23)&amp;"")</f>
        <v/>
      </c>
      <c r="U23" s="61" t="str">
        <f aca="false">IF($C23="","",INDEX(単元02!$G$5:$G$164,$C23)&amp;"")</f>
        <v/>
      </c>
      <c r="V23" s="61" t="str">
        <f aca="false">IF($C23="","",INDEX(単元02!$H$5:$H$164,$C23)&amp;"")</f>
        <v/>
      </c>
      <c r="W23" s="61" t="str">
        <f aca="false">IF($C23="","",INDEX(単元03!$F$5:$F$164,$C23)&amp;"")</f>
        <v/>
      </c>
      <c r="X23" s="61" t="str">
        <f aca="false">IF($C23="","",INDEX(単元03!$G$5:$G$164,$C23)&amp;"")</f>
        <v/>
      </c>
      <c r="Y23" s="61" t="str">
        <f aca="false">IF($C23="","",INDEX(単元03!$H$5:$H$164,$C23)&amp;"")</f>
        <v/>
      </c>
      <c r="Z23" s="61" t="str">
        <f aca="false">IF($C23="","",INDEX(単元04!$F$5:$F$164,$C23)&amp;"")</f>
        <v/>
      </c>
      <c r="AA23" s="61" t="str">
        <f aca="false">IF($C23="","",INDEX(単元04!$G$5:$G$164,$C23)&amp;"")</f>
        <v/>
      </c>
      <c r="AB23" s="61" t="str">
        <f aca="false">IF($C23="","",INDEX(単元04!$H$5:$H$164,$C23)&amp;"")</f>
        <v/>
      </c>
      <c r="AC23" s="61" t="str">
        <f aca="false">IF($C23="","",INDEX(単元05!$F$5:$F$164,$C23)&amp;"")</f>
        <v/>
      </c>
      <c r="AD23" s="61" t="str">
        <f aca="false">IF($C23="","",INDEX(単元05!$G$5:$G$164,$C23)&amp;"")</f>
        <v/>
      </c>
      <c r="AE23" s="61" t="str">
        <f aca="false">IF($C23="","",INDEX(単元05!$H$5:$H$164,$C23)&amp;"")</f>
        <v/>
      </c>
      <c r="AF23" s="61" t="str">
        <f aca="false">IF($C23="","",INDEX(単元06!$F$5:$F$164,$C23)&amp;"")</f>
        <v/>
      </c>
      <c r="AG23" s="61" t="str">
        <f aca="false">IF($C23="","",INDEX(単元06!$G$5:$G$164,$C23)&amp;"")</f>
        <v/>
      </c>
      <c r="AH23" s="61" t="str">
        <f aca="false">IF($C23="","",INDEX(単元06!$H$5:$H$164,$C23)&amp;"")</f>
        <v/>
      </c>
      <c r="AI23" s="61" t="str">
        <f aca="false">IF($C23="","",INDEX(単元07!$F$5:$F$164,$C23)&amp;"")</f>
        <v/>
      </c>
      <c r="AJ23" s="61" t="str">
        <f aca="false">IF($C23="","",INDEX(単元07!$G$5:$G$164,$C23)&amp;"")</f>
        <v/>
      </c>
      <c r="AK23" s="61" t="str">
        <f aca="false">IF($C23="","",INDEX(単元07!$H$5:$H$164,$C23)&amp;"")</f>
        <v/>
      </c>
      <c r="AL23" s="61" t="str">
        <f aca="false">IF($C23="","",INDEX(単元08!$F$5:$F$164,$C23)&amp;"")</f>
        <v/>
      </c>
      <c r="AM23" s="61" t="str">
        <f aca="false">IF($C23="","",INDEX(単元08!$G$5:$G$164,$C23)&amp;"")</f>
        <v/>
      </c>
      <c r="AN23" s="61" t="str">
        <f aca="false">IF($C23="","",INDEX(単元08!$H$5:$H$164,$C23)&amp;"")</f>
        <v/>
      </c>
      <c r="AO23" s="61" t="str">
        <f aca="false">IF($C23="","",INDEX(単元09!$F$5:$F$164,$C23)&amp;"")</f>
        <v/>
      </c>
      <c r="AP23" s="61" t="str">
        <f aca="false">IF($C23="","",INDEX(単元09!$G$5:$G$164,$C23)&amp;"")</f>
        <v/>
      </c>
      <c r="AQ23" s="61" t="str">
        <f aca="false">IF($C23="","",INDEX(単元09!$H$5:$H$164,$C23)&amp;"")</f>
        <v/>
      </c>
      <c r="AR23" s="61" t="str">
        <f aca="false">IF($C23="","",INDEX(単元10!$F$5:$F$164,$C23)&amp;"")</f>
        <v/>
      </c>
      <c r="AS23" s="61" t="str">
        <f aca="false">IF($C23="","",INDEX(単元10!$G$5:$G$164,$C23)&amp;"")</f>
        <v/>
      </c>
      <c r="AT23" s="61" t="str">
        <f aca="false">IF($C23="","",INDEX(単元10!$H$5:$H$164,$C23)&amp;"")</f>
        <v/>
      </c>
      <c r="AU23" s="61" t="str">
        <f aca="false">IF($C23="","",INDEX(単元11!$F$5:$F$164,$C23)&amp;"")</f>
        <v/>
      </c>
      <c r="AV23" s="61" t="str">
        <f aca="false">IF($C23="","",INDEX(単元11!$G$5:$G$164,$C23)&amp;"")</f>
        <v/>
      </c>
      <c r="AW23" s="61" t="str">
        <f aca="false">IF($C23="","",INDEX(単元11!$H$5:$H$164,$C23)&amp;"")</f>
        <v/>
      </c>
      <c r="AX23" s="61" t="str">
        <f aca="false">IF($C23="","",INDEX(単元12!$F$5:$F$164,$C23)&amp;"")</f>
        <v/>
      </c>
      <c r="AY23" s="61" t="str">
        <f aca="false">IF($C23="","",INDEX(単元12!$G$5:$G$164,$C23)&amp;"")</f>
        <v/>
      </c>
      <c r="AZ23" s="61" t="str">
        <f aca="false">IF($C23="","",INDEX(単元12!$H$5:$H$164,$C23)&amp;"")</f>
        <v/>
      </c>
      <c r="BA23" s="61" t="str">
        <f aca="false">IF($C23="","",INDEX(単元13!$F$5:$F$164,$C23)&amp;"")</f>
        <v/>
      </c>
      <c r="BB23" s="61" t="str">
        <f aca="false">IF($C23="","",INDEX(単元13!$G$5:$G$164,$C23)&amp;"")</f>
        <v/>
      </c>
      <c r="BC23" s="61" t="str">
        <f aca="false">IF($C23="","",INDEX(単元13!$H$5:$H$164,$C23)&amp;"")</f>
        <v/>
      </c>
      <c r="BD23" s="61" t="str">
        <f aca="false">IF($C23="","",INDEX(単元14!$F$5:$F$164,$C23)&amp;"")</f>
        <v/>
      </c>
      <c r="BE23" s="61" t="str">
        <f aca="false">IF($C23="","",INDEX(単元14!$G$5:$G$164,$C23)&amp;"")</f>
        <v/>
      </c>
      <c r="BF23" s="61" t="str">
        <f aca="false">IF($C23="","",INDEX(単元14!$H$5:$H$164,$C23)&amp;"")</f>
        <v/>
      </c>
      <c r="BG23" s="61" t="str">
        <f aca="false">IF($C23="","",INDEX(単元15!$F$5:$F$164,$C23)&amp;"")</f>
        <v/>
      </c>
      <c r="BH23" s="61" t="str">
        <f aca="false">IF($C23="","",INDEX(単元15!$G$5:$G$164,$C23)&amp;"")</f>
        <v/>
      </c>
      <c r="BI23" s="61" t="str">
        <f aca="false">IF($C23="","",INDEX(単元15!$H$5:$H$164,$C23)&amp;"")</f>
        <v/>
      </c>
      <c r="BJ23" s="61" t="str">
        <f aca="false">IF($C23="","",INDEX(単元16!$F$5:$F$164,$C23)&amp;"")</f>
        <v/>
      </c>
      <c r="BK23" s="61" t="str">
        <f aca="false">IF($C23="","",INDEX(単元16!$G$5:$G$164,$C23)&amp;"")</f>
        <v/>
      </c>
      <c r="BL23" s="61" t="str">
        <f aca="false">IF($C23="","",INDEX(単元16!$H$5:$H$164,$C23)&amp;"")</f>
        <v/>
      </c>
      <c r="BM23" s="61" t="str">
        <f aca="false">IF($C23="","",INDEX(単元17!$F$5:$F$164,$C23)&amp;"")</f>
        <v/>
      </c>
      <c r="BN23" s="61" t="str">
        <f aca="false">IF($C23="","",INDEX(単元17!$G$5:$G$164,$C23)&amp;"")</f>
        <v/>
      </c>
      <c r="BO23" s="61" t="str">
        <f aca="false">IF($C23="","",INDEX(単元17!$H$5:$H$164,$C23)&amp;"")</f>
        <v/>
      </c>
      <c r="BP23" s="61" t="str">
        <f aca="false">IF($C23="","",INDEX(単元18!$F$5:$F$164,$C23)&amp;"")</f>
        <v/>
      </c>
      <c r="BQ23" s="61" t="str">
        <f aca="false">IF($C23="","",INDEX(単元18!$G$5:$G$164,$C23)&amp;"")</f>
        <v/>
      </c>
      <c r="BR23" s="61" t="str">
        <f aca="false">IF($C23="","",INDEX(単元18!$H$5:$H$164,$C23)&amp;"")</f>
        <v/>
      </c>
      <c r="BS23" s="61" t="str">
        <f aca="false">IF($C23="","",INDEX(単元19!$F$5:$F$164,$C23)&amp;"")</f>
        <v/>
      </c>
      <c r="BT23" s="61" t="str">
        <f aca="false">IF($C23="","",INDEX(単元19!$G$5:$G$164,$C23)&amp;"")</f>
        <v/>
      </c>
      <c r="BU23" s="61" t="str">
        <f aca="false">IF($C23="","",INDEX(単元19!$H$5:$H$164,$C23)&amp;"")</f>
        <v/>
      </c>
      <c r="BV23" s="61" t="str">
        <f aca="false">IF($C23="","",INDEX(単元20!$F$5:$F$164,$C23)&amp;"")</f>
        <v/>
      </c>
      <c r="BW23" s="61" t="str">
        <f aca="false">IF($C23="","",INDEX(単元20!$G$5:$G$164,$C23)&amp;"")</f>
        <v/>
      </c>
      <c r="BX23" s="61" t="str">
        <f aca="false">IF($C23="","",INDEX(単元20!$H$5:$H$164,$C23)&amp;"")</f>
        <v/>
      </c>
    </row>
    <row r="24" customFormat="false" ht="19.5" hidden="false" customHeight="true" outlineLevel="0" collapsed="false">
      <c r="A24" s="91" t="str">
        <f aca="false">IF($C24="","",INDEX(名簿!$C$5:$C$164,$C24))</f>
        <v/>
      </c>
      <c r="B24" s="59" t="str">
        <f aca="false">IF($C24="","",INDEX(名簿!$D$5:$D$164,$C24)&amp;IF(INDEX(名簿!$F$5:$F$164,$C24)="転出","（転出）",""))</f>
        <v/>
      </c>
      <c r="C24" s="41" t="str">
        <f aca="false">IFERROR(MATCH($B$2&amp;"|"&amp;18,名簿!$G$5:$G$164,0),"")</f>
        <v/>
      </c>
      <c r="D24" s="60" t="str">
        <f aca="false">IF($C24="","",SUMPRODUCT(($Q24:$BX24=D$6)*($Q$6:$BX$6=D$3)*((($F$2&amp;"")="通年")+($Q$3:$BX$3=($F$2&amp;""))&gt;0)))</f>
        <v/>
      </c>
      <c r="E24" s="60" t="str">
        <f aca="false">IF($C24="","",SUMPRODUCT(($Q24:$BX24=E$6)*($Q$6:$BX$6=E$3)*((($F$2&amp;"")="通年")+($Q$3:$BX$3=($F$2&amp;""))&gt;0)))</f>
        <v/>
      </c>
      <c r="F24" s="60" t="str">
        <f aca="false">IF($C24="","",SUMPRODUCT(($Q24:$BX24=F$6)*($Q$6:$BX$6=F$3)*((($F$2&amp;"")="通年")+($Q$3:$BX$3=($F$2&amp;""))&gt;0)))</f>
        <v/>
      </c>
      <c r="G24" s="60" t="str">
        <f aca="false">IF($C24="","",SUMPRODUCT(($Q24:$BX24=G$6)*($Q$6:$BX$6=G$3)*((($F$2&amp;"")="通年")+($Q$3:$BX$3=($F$2&amp;""))&gt;0)))</f>
        <v/>
      </c>
      <c r="H24" s="60" t="str">
        <f aca="false">IF($C24="","",SUMPRODUCT(($Q24:$BX24=H$6)*($Q$6:$BX$6=H$3)*((($F$2&amp;"")="通年")+($Q$3:$BX$3=($F$2&amp;""))&gt;0)))</f>
        <v/>
      </c>
      <c r="I24" s="60" t="str">
        <f aca="false">IF($C24="","",SUMPRODUCT(($Q24:$BX24=I$6)*($Q$6:$BX$6=I$3)*((($F$2&amp;"")="通年")+($Q$3:$BX$3=($F$2&amp;""))&gt;0)))</f>
        <v/>
      </c>
      <c r="J24" s="60" t="str">
        <f aca="false">IF($C24="","",SUMPRODUCT(($Q24:$BX24=J$6)*($Q$6:$BX$6=J$3)*((($F$2&amp;"")="通年")+($Q$3:$BX$3=($F$2&amp;""))&gt;0)))</f>
        <v/>
      </c>
      <c r="K24" s="60" t="str">
        <f aca="false">IF($C24="","",SUMPRODUCT(($Q24:$BX24=K$6)*($Q$6:$BX$6=K$3)*((($F$2&amp;"")="通年")+($Q$3:$BX$3=($F$2&amp;""))&gt;0)))</f>
        <v/>
      </c>
      <c r="L24" s="60" t="str">
        <f aca="false">IF($C24="","",SUMPRODUCT(($Q24:$BX24=L$6)*($Q$6:$BX$6=L$3)*((($F$2&amp;"")="通年")+($Q$3:$BX$3=($F$2&amp;""))&gt;0)))</f>
        <v/>
      </c>
      <c r="M24" s="62" t="str">
        <f aca="false">IF($C24="","",IF(SUM(D24:F24)=0,"",IF(D24/SUM(D24:F24)&gt;=設定!$I$17,設定!$G$8,IF(F24/SUM(D24:F24)&gt;=設定!$I$18,設定!$G$10,設定!$G$9))))</f>
        <v/>
      </c>
      <c r="N24" s="62" t="str">
        <f aca="false">IF($C24="","",IF(SUM(G24:I24)=0,"",IF(G24/SUM(G24:I24)&gt;=設定!$I$17,設定!$G$8,IF(I24/SUM(G24:I24)&gt;=設定!$I$18,設定!$G$10,設定!$G$9))))</f>
        <v/>
      </c>
      <c r="O24" s="62" t="str">
        <f aca="false">IF($C24="","",IF(SUM(J24:L24)=0,"",IF(J24/SUM(J24:L24)&gt;=設定!$I$17,設定!$G$8,IF(L24/SUM(J24:L24)&gt;=設定!$I$18,設定!$G$10,設定!$G$9))))</f>
        <v/>
      </c>
      <c r="P24" s="13"/>
      <c r="Q24" s="61" t="str">
        <f aca="false">IF($C24="","",INDEX(単元01!$F$5:$F$164,$C24)&amp;"")</f>
        <v/>
      </c>
      <c r="R24" s="61" t="str">
        <f aca="false">IF($C24="","",INDEX(単元01!$G$5:$G$164,$C24)&amp;"")</f>
        <v/>
      </c>
      <c r="S24" s="61" t="str">
        <f aca="false">IF($C24="","",INDEX(単元01!$H$5:$H$164,$C24)&amp;"")</f>
        <v/>
      </c>
      <c r="T24" s="61" t="str">
        <f aca="false">IF($C24="","",INDEX(単元02!$F$5:$F$164,$C24)&amp;"")</f>
        <v/>
      </c>
      <c r="U24" s="61" t="str">
        <f aca="false">IF($C24="","",INDEX(単元02!$G$5:$G$164,$C24)&amp;"")</f>
        <v/>
      </c>
      <c r="V24" s="61" t="str">
        <f aca="false">IF($C24="","",INDEX(単元02!$H$5:$H$164,$C24)&amp;"")</f>
        <v/>
      </c>
      <c r="W24" s="61" t="str">
        <f aca="false">IF($C24="","",INDEX(単元03!$F$5:$F$164,$C24)&amp;"")</f>
        <v/>
      </c>
      <c r="X24" s="61" t="str">
        <f aca="false">IF($C24="","",INDEX(単元03!$G$5:$G$164,$C24)&amp;"")</f>
        <v/>
      </c>
      <c r="Y24" s="61" t="str">
        <f aca="false">IF($C24="","",INDEX(単元03!$H$5:$H$164,$C24)&amp;"")</f>
        <v/>
      </c>
      <c r="Z24" s="61" t="str">
        <f aca="false">IF($C24="","",INDEX(単元04!$F$5:$F$164,$C24)&amp;"")</f>
        <v/>
      </c>
      <c r="AA24" s="61" t="str">
        <f aca="false">IF($C24="","",INDEX(単元04!$G$5:$G$164,$C24)&amp;"")</f>
        <v/>
      </c>
      <c r="AB24" s="61" t="str">
        <f aca="false">IF($C24="","",INDEX(単元04!$H$5:$H$164,$C24)&amp;"")</f>
        <v/>
      </c>
      <c r="AC24" s="61" t="str">
        <f aca="false">IF($C24="","",INDEX(単元05!$F$5:$F$164,$C24)&amp;"")</f>
        <v/>
      </c>
      <c r="AD24" s="61" t="str">
        <f aca="false">IF($C24="","",INDEX(単元05!$G$5:$G$164,$C24)&amp;"")</f>
        <v/>
      </c>
      <c r="AE24" s="61" t="str">
        <f aca="false">IF($C24="","",INDEX(単元05!$H$5:$H$164,$C24)&amp;"")</f>
        <v/>
      </c>
      <c r="AF24" s="61" t="str">
        <f aca="false">IF($C24="","",INDEX(単元06!$F$5:$F$164,$C24)&amp;"")</f>
        <v/>
      </c>
      <c r="AG24" s="61" t="str">
        <f aca="false">IF($C24="","",INDEX(単元06!$G$5:$G$164,$C24)&amp;"")</f>
        <v/>
      </c>
      <c r="AH24" s="61" t="str">
        <f aca="false">IF($C24="","",INDEX(単元06!$H$5:$H$164,$C24)&amp;"")</f>
        <v/>
      </c>
      <c r="AI24" s="61" t="str">
        <f aca="false">IF($C24="","",INDEX(単元07!$F$5:$F$164,$C24)&amp;"")</f>
        <v/>
      </c>
      <c r="AJ24" s="61" t="str">
        <f aca="false">IF($C24="","",INDEX(単元07!$G$5:$G$164,$C24)&amp;"")</f>
        <v/>
      </c>
      <c r="AK24" s="61" t="str">
        <f aca="false">IF($C24="","",INDEX(単元07!$H$5:$H$164,$C24)&amp;"")</f>
        <v/>
      </c>
      <c r="AL24" s="61" t="str">
        <f aca="false">IF($C24="","",INDEX(単元08!$F$5:$F$164,$C24)&amp;"")</f>
        <v/>
      </c>
      <c r="AM24" s="61" t="str">
        <f aca="false">IF($C24="","",INDEX(単元08!$G$5:$G$164,$C24)&amp;"")</f>
        <v/>
      </c>
      <c r="AN24" s="61" t="str">
        <f aca="false">IF($C24="","",INDEX(単元08!$H$5:$H$164,$C24)&amp;"")</f>
        <v/>
      </c>
      <c r="AO24" s="61" t="str">
        <f aca="false">IF($C24="","",INDEX(単元09!$F$5:$F$164,$C24)&amp;"")</f>
        <v/>
      </c>
      <c r="AP24" s="61" t="str">
        <f aca="false">IF($C24="","",INDEX(単元09!$G$5:$G$164,$C24)&amp;"")</f>
        <v/>
      </c>
      <c r="AQ24" s="61" t="str">
        <f aca="false">IF($C24="","",INDEX(単元09!$H$5:$H$164,$C24)&amp;"")</f>
        <v/>
      </c>
      <c r="AR24" s="61" t="str">
        <f aca="false">IF($C24="","",INDEX(単元10!$F$5:$F$164,$C24)&amp;"")</f>
        <v/>
      </c>
      <c r="AS24" s="61" t="str">
        <f aca="false">IF($C24="","",INDEX(単元10!$G$5:$G$164,$C24)&amp;"")</f>
        <v/>
      </c>
      <c r="AT24" s="61" t="str">
        <f aca="false">IF($C24="","",INDEX(単元10!$H$5:$H$164,$C24)&amp;"")</f>
        <v/>
      </c>
      <c r="AU24" s="61" t="str">
        <f aca="false">IF($C24="","",INDEX(単元11!$F$5:$F$164,$C24)&amp;"")</f>
        <v/>
      </c>
      <c r="AV24" s="61" t="str">
        <f aca="false">IF($C24="","",INDEX(単元11!$G$5:$G$164,$C24)&amp;"")</f>
        <v/>
      </c>
      <c r="AW24" s="61" t="str">
        <f aca="false">IF($C24="","",INDEX(単元11!$H$5:$H$164,$C24)&amp;"")</f>
        <v/>
      </c>
      <c r="AX24" s="61" t="str">
        <f aca="false">IF($C24="","",INDEX(単元12!$F$5:$F$164,$C24)&amp;"")</f>
        <v/>
      </c>
      <c r="AY24" s="61" t="str">
        <f aca="false">IF($C24="","",INDEX(単元12!$G$5:$G$164,$C24)&amp;"")</f>
        <v/>
      </c>
      <c r="AZ24" s="61" t="str">
        <f aca="false">IF($C24="","",INDEX(単元12!$H$5:$H$164,$C24)&amp;"")</f>
        <v/>
      </c>
      <c r="BA24" s="61" t="str">
        <f aca="false">IF($C24="","",INDEX(単元13!$F$5:$F$164,$C24)&amp;"")</f>
        <v/>
      </c>
      <c r="BB24" s="61" t="str">
        <f aca="false">IF($C24="","",INDEX(単元13!$G$5:$G$164,$C24)&amp;"")</f>
        <v/>
      </c>
      <c r="BC24" s="61" t="str">
        <f aca="false">IF($C24="","",INDEX(単元13!$H$5:$H$164,$C24)&amp;"")</f>
        <v/>
      </c>
      <c r="BD24" s="61" t="str">
        <f aca="false">IF($C24="","",INDEX(単元14!$F$5:$F$164,$C24)&amp;"")</f>
        <v/>
      </c>
      <c r="BE24" s="61" t="str">
        <f aca="false">IF($C24="","",INDEX(単元14!$G$5:$G$164,$C24)&amp;"")</f>
        <v/>
      </c>
      <c r="BF24" s="61" t="str">
        <f aca="false">IF($C24="","",INDEX(単元14!$H$5:$H$164,$C24)&amp;"")</f>
        <v/>
      </c>
      <c r="BG24" s="61" t="str">
        <f aca="false">IF($C24="","",INDEX(単元15!$F$5:$F$164,$C24)&amp;"")</f>
        <v/>
      </c>
      <c r="BH24" s="61" t="str">
        <f aca="false">IF($C24="","",INDEX(単元15!$G$5:$G$164,$C24)&amp;"")</f>
        <v/>
      </c>
      <c r="BI24" s="61" t="str">
        <f aca="false">IF($C24="","",INDEX(単元15!$H$5:$H$164,$C24)&amp;"")</f>
        <v/>
      </c>
      <c r="BJ24" s="61" t="str">
        <f aca="false">IF($C24="","",INDEX(単元16!$F$5:$F$164,$C24)&amp;"")</f>
        <v/>
      </c>
      <c r="BK24" s="61" t="str">
        <f aca="false">IF($C24="","",INDEX(単元16!$G$5:$G$164,$C24)&amp;"")</f>
        <v/>
      </c>
      <c r="BL24" s="61" t="str">
        <f aca="false">IF($C24="","",INDEX(単元16!$H$5:$H$164,$C24)&amp;"")</f>
        <v/>
      </c>
      <c r="BM24" s="61" t="str">
        <f aca="false">IF($C24="","",INDEX(単元17!$F$5:$F$164,$C24)&amp;"")</f>
        <v/>
      </c>
      <c r="BN24" s="61" t="str">
        <f aca="false">IF($C24="","",INDEX(単元17!$G$5:$G$164,$C24)&amp;"")</f>
        <v/>
      </c>
      <c r="BO24" s="61" t="str">
        <f aca="false">IF($C24="","",INDEX(単元17!$H$5:$H$164,$C24)&amp;"")</f>
        <v/>
      </c>
      <c r="BP24" s="61" t="str">
        <f aca="false">IF($C24="","",INDEX(単元18!$F$5:$F$164,$C24)&amp;"")</f>
        <v/>
      </c>
      <c r="BQ24" s="61" t="str">
        <f aca="false">IF($C24="","",INDEX(単元18!$G$5:$G$164,$C24)&amp;"")</f>
        <v/>
      </c>
      <c r="BR24" s="61" t="str">
        <f aca="false">IF($C24="","",INDEX(単元18!$H$5:$H$164,$C24)&amp;"")</f>
        <v/>
      </c>
      <c r="BS24" s="61" t="str">
        <f aca="false">IF($C24="","",INDEX(単元19!$F$5:$F$164,$C24)&amp;"")</f>
        <v/>
      </c>
      <c r="BT24" s="61" t="str">
        <f aca="false">IF($C24="","",INDEX(単元19!$G$5:$G$164,$C24)&amp;"")</f>
        <v/>
      </c>
      <c r="BU24" s="61" t="str">
        <f aca="false">IF($C24="","",INDEX(単元19!$H$5:$H$164,$C24)&amp;"")</f>
        <v/>
      </c>
      <c r="BV24" s="61" t="str">
        <f aca="false">IF($C24="","",INDEX(単元20!$F$5:$F$164,$C24)&amp;"")</f>
        <v/>
      </c>
      <c r="BW24" s="61" t="str">
        <f aca="false">IF($C24="","",INDEX(単元20!$G$5:$G$164,$C24)&amp;"")</f>
        <v/>
      </c>
      <c r="BX24" s="61" t="str">
        <f aca="false">IF($C24="","",INDEX(単元20!$H$5:$H$164,$C24)&amp;"")</f>
        <v/>
      </c>
    </row>
    <row r="25" customFormat="false" ht="19.5" hidden="false" customHeight="true" outlineLevel="0" collapsed="false">
      <c r="A25" s="91" t="str">
        <f aca="false">IF($C25="","",INDEX(名簿!$C$5:$C$164,$C25))</f>
        <v/>
      </c>
      <c r="B25" s="59" t="str">
        <f aca="false">IF($C25="","",INDEX(名簿!$D$5:$D$164,$C25)&amp;IF(INDEX(名簿!$F$5:$F$164,$C25)="転出","（転出）",""))</f>
        <v/>
      </c>
      <c r="C25" s="41" t="str">
        <f aca="false">IFERROR(MATCH($B$2&amp;"|"&amp;19,名簿!$G$5:$G$164,0),"")</f>
        <v/>
      </c>
      <c r="D25" s="60" t="str">
        <f aca="false">IF($C25="","",SUMPRODUCT(($Q25:$BX25=D$6)*($Q$6:$BX$6=D$3)*((($F$2&amp;"")="通年")+($Q$3:$BX$3=($F$2&amp;""))&gt;0)))</f>
        <v/>
      </c>
      <c r="E25" s="60" t="str">
        <f aca="false">IF($C25="","",SUMPRODUCT(($Q25:$BX25=E$6)*($Q$6:$BX$6=E$3)*((($F$2&amp;"")="通年")+($Q$3:$BX$3=($F$2&amp;""))&gt;0)))</f>
        <v/>
      </c>
      <c r="F25" s="60" t="str">
        <f aca="false">IF($C25="","",SUMPRODUCT(($Q25:$BX25=F$6)*($Q$6:$BX$6=F$3)*((($F$2&amp;"")="通年")+($Q$3:$BX$3=($F$2&amp;""))&gt;0)))</f>
        <v/>
      </c>
      <c r="G25" s="60" t="str">
        <f aca="false">IF($C25="","",SUMPRODUCT(($Q25:$BX25=G$6)*($Q$6:$BX$6=G$3)*((($F$2&amp;"")="通年")+($Q$3:$BX$3=($F$2&amp;""))&gt;0)))</f>
        <v/>
      </c>
      <c r="H25" s="60" t="str">
        <f aca="false">IF($C25="","",SUMPRODUCT(($Q25:$BX25=H$6)*($Q$6:$BX$6=H$3)*((($F$2&amp;"")="通年")+($Q$3:$BX$3=($F$2&amp;""))&gt;0)))</f>
        <v/>
      </c>
      <c r="I25" s="60" t="str">
        <f aca="false">IF($C25="","",SUMPRODUCT(($Q25:$BX25=I$6)*($Q$6:$BX$6=I$3)*((($F$2&amp;"")="通年")+($Q$3:$BX$3=($F$2&amp;""))&gt;0)))</f>
        <v/>
      </c>
      <c r="J25" s="60" t="str">
        <f aca="false">IF($C25="","",SUMPRODUCT(($Q25:$BX25=J$6)*($Q$6:$BX$6=J$3)*((($F$2&amp;"")="通年")+($Q$3:$BX$3=($F$2&amp;""))&gt;0)))</f>
        <v/>
      </c>
      <c r="K25" s="60" t="str">
        <f aca="false">IF($C25="","",SUMPRODUCT(($Q25:$BX25=K$6)*($Q$6:$BX$6=K$3)*((($F$2&amp;"")="通年")+($Q$3:$BX$3=($F$2&amp;""))&gt;0)))</f>
        <v/>
      </c>
      <c r="L25" s="60" t="str">
        <f aca="false">IF($C25="","",SUMPRODUCT(($Q25:$BX25=L$6)*($Q$6:$BX$6=L$3)*((($F$2&amp;"")="通年")+($Q$3:$BX$3=($F$2&amp;""))&gt;0)))</f>
        <v/>
      </c>
      <c r="M25" s="62" t="str">
        <f aca="false">IF($C25="","",IF(SUM(D25:F25)=0,"",IF(D25/SUM(D25:F25)&gt;=設定!$I$17,設定!$G$8,IF(F25/SUM(D25:F25)&gt;=設定!$I$18,設定!$G$10,設定!$G$9))))</f>
        <v/>
      </c>
      <c r="N25" s="62" t="str">
        <f aca="false">IF($C25="","",IF(SUM(G25:I25)=0,"",IF(G25/SUM(G25:I25)&gt;=設定!$I$17,設定!$G$8,IF(I25/SUM(G25:I25)&gt;=設定!$I$18,設定!$G$10,設定!$G$9))))</f>
        <v/>
      </c>
      <c r="O25" s="62" t="str">
        <f aca="false">IF($C25="","",IF(SUM(J25:L25)=0,"",IF(J25/SUM(J25:L25)&gt;=設定!$I$17,設定!$G$8,IF(L25/SUM(J25:L25)&gt;=設定!$I$18,設定!$G$10,設定!$G$9))))</f>
        <v/>
      </c>
      <c r="P25" s="13"/>
      <c r="Q25" s="61" t="str">
        <f aca="false">IF($C25="","",INDEX(単元01!$F$5:$F$164,$C25)&amp;"")</f>
        <v/>
      </c>
      <c r="R25" s="61" t="str">
        <f aca="false">IF($C25="","",INDEX(単元01!$G$5:$G$164,$C25)&amp;"")</f>
        <v/>
      </c>
      <c r="S25" s="61" t="str">
        <f aca="false">IF($C25="","",INDEX(単元01!$H$5:$H$164,$C25)&amp;"")</f>
        <v/>
      </c>
      <c r="T25" s="61" t="str">
        <f aca="false">IF($C25="","",INDEX(単元02!$F$5:$F$164,$C25)&amp;"")</f>
        <v/>
      </c>
      <c r="U25" s="61" t="str">
        <f aca="false">IF($C25="","",INDEX(単元02!$G$5:$G$164,$C25)&amp;"")</f>
        <v/>
      </c>
      <c r="V25" s="61" t="str">
        <f aca="false">IF($C25="","",INDEX(単元02!$H$5:$H$164,$C25)&amp;"")</f>
        <v/>
      </c>
      <c r="W25" s="61" t="str">
        <f aca="false">IF($C25="","",INDEX(単元03!$F$5:$F$164,$C25)&amp;"")</f>
        <v/>
      </c>
      <c r="X25" s="61" t="str">
        <f aca="false">IF($C25="","",INDEX(単元03!$G$5:$G$164,$C25)&amp;"")</f>
        <v/>
      </c>
      <c r="Y25" s="61" t="str">
        <f aca="false">IF($C25="","",INDEX(単元03!$H$5:$H$164,$C25)&amp;"")</f>
        <v/>
      </c>
      <c r="Z25" s="61" t="str">
        <f aca="false">IF($C25="","",INDEX(単元04!$F$5:$F$164,$C25)&amp;"")</f>
        <v/>
      </c>
      <c r="AA25" s="61" t="str">
        <f aca="false">IF($C25="","",INDEX(単元04!$G$5:$G$164,$C25)&amp;"")</f>
        <v/>
      </c>
      <c r="AB25" s="61" t="str">
        <f aca="false">IF($C25="","",INDEX(単元04!$H$5:$H$164,$C25)&amp;"")</f>
        <v/>
      </c>
      <c r="AC25" s="61" t="str">
        <f aca="false">IF($C25="","",INDEX(単元05!$F$5:$F$164,$C25)&amp;"")</f>
        <v/>
      </c>
      <c r="AD25" s="61" t="str">
        <f aca="false">IF($C25="","",INDEX(単元05!$G$5:$G$164,$C25)&amp;"")</f>
        <v/>
      </c>
      <c r="AE25" s="61" t="str">
        <f aca="false">IF($C25="","",INDEX(単元05!$H$5:$H$164,$C25)&amp;"")</f>
        <v/>
      </c>
      <c r="AF25" s="61" t="str">
        <f aca="false">IF($C25="","",INDEX(単元06!$F$5:$F$164,$C25)&amp;"")</f>
        <v/>
      </c>
      <c r="AG25" s="61" t="str">
        <f aca="false">IF($C25="","",INDEX(単元06!$G$5:$G$164,$C25)&amp;"")</f>
        <v/>
      </c>
      <c r="AH25" s="61" t="str">
        <f aca="false">IF($C25="","",INDEX(単元06!$H$5:$H$164,$C25)&amp;"")</f>
        <v/>
      </c>
      <c r="AI25" s="61" t="str">
        <f aca="false">IF($C25="","",INDEX(単元07!$F$5:$F$164,$C25)&amp;"")</f>
        <v/>
      </c>
      <c r="AJ25" s="61" t="str">
        <f aca="false">IF($C25="","",INDEX(単元07!$G$5:$G$164,$C25)&amp;"")</f>
        <v/>
      </c>
      <c r="AK25" s="61" t="str">
        <f aca="false">IF($C25="","",INDEX(単元07!$H$5:$H$164,$C25)&amp;"")</f>
        <v/>
      </c>
      <c r="AL25" s="61" t="str">
        <f aca="false">IF($C25="","",INDEX(単元08!$F$5:$F$164,$C25)&amp;"")</f>
        <v/>
      </c>
      <c r="AM25" s="61" t="str">
        <f aca="false">IF($C25="","",INDEX(単元08!$G$5:$G$164,$C25)&amp;"")</f>
        <v/>
      </c>
      <c r="AN25" s="61" t="str">
        <f aca="false">IF($C25="","",INDEX(単元08!$H$5:$H$164,$C25)&amp;"")</f>
        <v/>
      </c>
      <c r="AO25" s="61" t="str">
        <f aca="false">IF($C25="","",INDEX(単元09!$F$5:$F$164,$C25)&amp;"")</f>
        <v/>
      </c>
      <c r="AP25" s="61" t="str">
        <f aca="false">IF($C25="","",INDEX(単元09!$G$5:$G$164,$C25)&amp;"")</f>
        <v/>
      </c>
      <c r="AQ25" s="61" t="str">
        <f aca="false">IF($C25="","",INDEX(単元09!$H$5:$H$164,$C25)&amp;"")</f>
        <v/>
      </c>
      <c r="AR25" s="61" t="str">
        <f aca="false">IF($C25="","",INDEX(単元10!$F$5:$F$164,$C25)&amp;"")</f>
        <v/>
      </c>
      <c r="AS25" s="61" t="str">
        <f aca="false">IF($C25="","",INDEX(単元10!$G$5:$G$164,$C25)&amp;"")</f>
        <v/>
      </c>
      <c r="AT25" s="61" t="str">
        <f aca="false">IF($C25="","",INDEX(単元10!$H$5:$H$164,$C25)&amp;"")</f>
        <v/>
      </c>
      <c r="AU25" s="61" t="str">
        <f aca="false">IF($C25="","",INDEX(単元11!$F$5:$F$164,$C25)&amp;"")</f>
        <v/>
      </c>
      <c r="AV25" s="61" t="str">
        <f aca="false">IF($C25="","",INDEX(単元11!$G$5:$G$164,$C25)&amp;"")</f>
        <v/>
      </c>
      <c r="AW25" s="61" t="str">
        <f aca="false">IF($C25="","",INDEX(単元11!$H$5:$H$164,$C25)&amp;"")</f>
        <v/>
      </c>
      <c r="AX25" s="61" t="str">
        <f aca="false">IF($C25="","",INDEX(単元12!$F$5:$F$164,$C25)&amp;"")</f>
        <v/>
      </c>
      <c r="AY25" s="61" t="str">
        <f aca="false">IF($C25="","",INDEX(単元12!$G$5:$G$164,$C25)&amp;"")</f>
        <v/>
      </c>
      <c r="AZ25" s="61" t="str">
        <f aca="false">IF($C25="","",INDEX(単元12!$H$5:$H$164,$C25)&amp;"")</f>
        <v/>
      </c>
      <c r="BA25" s="61" t="str">
        <f aca="false">IF($C25="","",INDEX(単元13!$F$5:$F$164,$C25)&amp;"")</f>
        <v/>
      </c>
      <c r="BB25" s="61" t="str">
        <f aca="false">IF($C25="","",INDEX(単元13!$G$5:$G$164,$C25)&amp;"")</f>
        <v/>
      </c>
      <c r="BC25" s="61" t="str">
        <f aca="false">IF($C25="","",INDEX(単元13!$H$5:$H$164,$C25)&amp;"")</f>
        <v/>
      </c>
      <c r="BD25" s="61" t="str">
        <f aca="false">IF($C25="","",INDEX(単元14!$F$5:$F$164,$C25)&amp;"")</f>
        <v/>
      </c>
      <c r="BE25" s="61" t="str">
        <f aca="false">IF($C25="","",INDEX(単元14!$G$5:$G$164,$C25)&amp;"")</f>
        <v/>
      </c>
      <c r="BF25" s="61" t="str">
        <f aca="false">IF($C25="","",INDEX(単元14!$H$5:$H$164,$C25)&amp;"")</f>
        <v/>
      </c>
      <c r="BG25" s="61" t="str">
        <f aca="false">IF($C25="","",INDEX(単元15!$F$5:$F$164,$C25)&amp;"")</f>
        <v/>
      </c>
      <c r="BH25" s="61" t="str">
        <f aca="false">IF($C25="","",INDEX(単元15!$G$5:$G$164,$C25)&amp;"")</f>
        <v/>
      </c>
      <c r="BI25" s="61" t="str">
        <f aca="false">IF($C25="","",INDEX(単元15!$H$5:$H$164,$C25)&amp;"")</f>
        <v/>
      </c>
      <c r="BJ25" s="61" t="str">
        <f aca="false">IF($C25="","",INDEX(単元16!$F$5:$F$164,$C25)&amp;"")</f>
        <v/>
      </c>
      <c r="BK25" s="61" t="str">
        <f aca="false">IF($C25="","",INDEX(単元16!$G$5:$G$164,$C25)&amp;"")</f>
        <v/>
      </c>
      <c r="BL25" s="61" t="str">
        <f aca="false">IF($C25="","",INDEX(単元16!$H$5:$H$164,$C25)&amp;"")</f>
        <v/>
      </c>
      <c r="BM25" s="61" t="str">
        <f aca="false">IF($C25="","",INDEX(単元17!$F$5:$F$164,$C25)&amp;"")</f>
        <v/>
      </c>
      <c r="BN25" s="61" t="str">
        <f aca="false">IF($C25="","",INDEX(単元17!$G$5:$G$164,$C25)&amp;"")</f>
        <v/>
      </c>
      <c r="BO25" s="61" t="str">
        <f aca="false">IF($C25="","",INDEX(単元17!$H$5:$H$164,$C25)&amp;"")</f>
        <v/>
      </c>
      <c r="BP25" s="61" t="str">
        <f aca="false">IF($C25="","",INDEX(単元18!$F$5:$F$164,$C25)&amp;"")</f>
        <v/>
      </c>
      <c r="BQ25" s="61" t="str">
        <f aca="false">IF($C25="","",INDEX(単元18!$G$5:$G$164,$C25)&amp;"")</f>
        <v/>
      </c>
      <c r="BR25" s="61" t="str">
        <f aca="false">IF($C25="","",INDEX(単元18!$H$5:$H$164,$C25)&amp;"")</f>
        <v/>
      </c>
      <c r="BS25" s="61" t="str">
        <f aca="false">IF($C25="","",INDEX(単元19!$F$5:$F$164,$C25)&amp;"")</f>
        <v/>
      </c>
      <c r="BT25" s="61" t="str">
        <f aca="false">IF($C25="","",INDEX(単元19!$G$5:$G$164,$C25)&amp;"")</f>
        <v/>
      </c>
      <c r="BU25" s="61" t="str">
        <f aca="false">IF($C25="","",INDEX(単元19!$H$5:$H$164,$C25)&amp;"")</f>
        <v/>
      </c>
      <c r="BV25" s="61" t="str">
        <f aca="false">IF($C25="","",INDEX(単元20!$F$5:$F$164,$C25)&amp;"")</f>
        <v/>
      </c>
      <c r="BW25" s="61" t="str">
        <f aca="false">IF($C25="","",INDEX(単元20!$G$5:$G$164,$C25)&amp;"")</f>
        <v/>
      </c>
      <c r="BX25" s="61" t="str">
        <f aca="false">IF($C25="","",INDEX(単元20!$H$5:$H$164,$C25)&amp;"")</f>
        <v/>
      </c>
    </row>
    <row r="26" customFormat="false" ht="19.5" hidden="false" customHeight="true" outlineLevel="0" collapsed="false">
      <c r="A26" s="91" t="str">
        <f aca="false">IF($C26="","",INDEX(名簿!$C$5:$C$164,$C26))</f>
        <v/>
      </c>
      <c r="B26" s="59" t="str">
        <f aca="false">IF($C26="","",INDEX(名簿!$D$5:$D$164,$C26)&amp;IF(INDEX(名簿!$F$5:$F$164,$C26)="転出","（転出）",""))</f>
        <v/>
      </c>
      <c r="C26" s="41" t="str">
        <f aca="false">IFERROR(MATCH($B$2&amp;"|"&amp;20,名簿!$G$5:$G$164,0),"")</f>
        <v/>
      </c>
      <c r="D26" s="60" t="str">
        <f aca="false">IF($C26="","",SUMPRODUCT(($Q26:$BX26=D$6)*($Q$6:$BX$6=D$3)*((($F$2&amp;"")="通年")+($Q$3:$BX$3=($F$2&amp;""))&gt;0)))</f>
        <v/>
      </c>
      <c r="E26" s="60" t="str">
        <f aca="false">IF($C26="","",SUMPRODUCT(($Q26:$BX26=E$6)*($Q$6:$BX$6=E$3)*((($F$2&amp;"")="通年")+($Q$3:$BX$3=($F$2&amp;""))&gt;0)))</f>
        <v/>
      </c>
      <c r="F26" s="60" t="str">
        <f aca="false">IF($C26="","",SUMPRODUCT(($Q26:$BX26=F$6)*($Q$6:$BX$6=F$3)*((($F$2&amp;"")="通年")+($Q$3:$BX$3=($F$2&amp;""))&gt;0)))</f>
        <v/>
      </c>
      <c r="G26" s="60" t="str">
        <f aca="false">IF($C26="","",SUMPRODUCT(($Q26:$BX26=G$6)*($Q$6:$BX$6=G$3)*((($F$2&amp;"")="通年")+($Q$3:$BX$3=($F$2&amp;""))&gt;0)))</f>
        <v/>
      </c>
      <c r="H26" s="60" t="str">
        <f aca="false">IF($C26="","",SUMPRODUCT(($Q26:$BX26=H$6)*($Q$6:$BX$6=H$3)*((($F$2&amp;"")="通年")+($Q$3:$BX$3=($F$2&amp;""))&gt;0)))</f>
        <v/>
      </c>
      <c r="I26" s="60" t="str">
        <f aca="false">IF($C26="","",SUMPRODUCT(($Q26:$BX26=I$6)*($Q$6:$BX$6=I$3)*((($F$2&amp;"")="通年")+($Q$3:$BX$3=($F$2&amp;""))&gt;0)))</f>
        <v/>
      </c>
      <c r="J26" s="60" t="str">
        <f aca="false">IF($C26="","",SUMPRODUCT(($Q26:$BX26=J$6)*($Q$6:$BX$6=J$3)*((($F$2&amp;"")="通年")+($Q$3:$BX$3=($F$2&amp;""))&gt;0)))</f>
        <v/>
      </c>
      <c r="K26" s="60" t="str">
        <f aca="false">IF($C26="","",SUMPRODUCT(($Q26:$BX26=K$6)*($Q$6:$BX$6=K$3)*((($F$2&amp;"")="通年")+($Q$3:$BX$3=($F$2&amp;""))&gt;0)))</f>
        <v/>
      </c>
      <c r="L26" s="60" t="str">
        <f aca="false">IF($C26="","",SUMPRODUCT(($Q26:$BX26=L$6)*($Q$6:$BX$6=L$3)*((($F$2&amp;"")="通年")+($Q$3:$BX$3=($F$2&amp;""))&gt;0)))</f>
        <v/>
      </c>
      <c r="M26" s="62" t="str">
        <f aca="false">IF($C26="","",IF(SUM(D26:F26)=0,"",IF(D26/SUM(D26:F26)&gt;=設定!$I$17,設定!$G$8,IF(F26/SUM(D26:F26)&gt;=設定!$I$18,設定!$G$10,設定!$G$9))))</f>
        <v/>
      </c>
      <c r="N26" s="62" t="str">
        <f aca="false">IF($C26="","",IF(SUM(G26:I26)=0,"",IF(G26/SUM(G26:I26)&gt;=設定!$I$17,設定!$G$8,IF(I26/SUM(G26:I26)&gt;=設定!$I$18,設定!$G$10,設定!$G$9))))</f>
        <v/>
      </c>
      <c r="O26" s="62" t="str">
        <f aca="false">IF($C26="","",IF(SUM(J26:L26)=0,"",IF(J26/SUM(J26:L26)&gt;=設定!$I$17,設定!$G$8,IF(L26/SUM(J26:L26)&gt;=設定!$I$18,設定!$G$10,設定!$G$9))))</f>
        <v/>
      </c>
      <c r="P26" s="13"/>
      <c r="Q26" s="61" t="str">
        <f aca="false">IF($C26="","",INDEX(単元01!$F$5:$F$164,$C26)&amp;"")</f>
        <v/>
      </c>
      <c r="R26" s="61" t="str">
        <f aca="false">IF($C26="","",INDEX(単元01!$G$5:$G$164,$C26)&amp;"")</f>
        <v/>
      </c>
      <c r="S26" s="61" t="str">
        <f aca="false">IF($C26="","",INDEX(単元01!$H$5:$H$164,$C26)&amp;"")</f>
        <v/>
      </c>
      <c r="T26" s="61" t="str">
        <f aca="false">IF($C26="","",INDEX(単元02!$F$5:$F$164,$C26)&amp;"")</f>
        <v/>
      </c>
      <c r="U26" s="61" t="str">
        <f aca="false">IF($C26="","",INDEX(単元02!$G$5:$G$164,$C26)&amp;"")</f>
        <v/>
      </c>
      <c r="V26" s="61" t="str">
        <f aca="false">IF($C26="","",INDEX(単元02!$H$5:$H$164,$C26)&amp;"")</f>
        <v/>
      </c>
      <c r="W26" s="61" t="str">
        <f aca="false">IF($C26="","",INDEX(単元03!$F$5:$F$164,$C26)&amp;"")</f>
        <v/>
      </c>
      <c r="X26" s="61" t="str">
        <f aca="false">IF($C26="","",INDEX(単元03!$G$5:$G$164,$C26)&amp;"")</f>
        <v/>
      </c>
      <c r="Y26" s="61" t="str">
        <f aca="false">IF($C26="","",INDEX(単元03!$H$5:$H$164,$C26)&amp;"")</f>
        <v/>
      </c>
      <c r="Z26" s="61" t="str">
        <f aca="false">IF($C26="","",INDEX(単元04!$F$5:$F$164,$C26)&amp;"")</f>
        <v/>
      </c>
      <c r="AA26" s="61" t="str">
        <f aca="false">IF($C26="","",INDEX(単元04!$G$5:$G$164,$C26)&amp;"")</f>
        <v/>
      </c>
      <c r="AB26" s="61" t="str">
        <f aca="false">IF($C26="","",INDEX(単元04!$H$5:$H$164,$C26)&amp;"")</f>
        <v/>
      </c>
      <c r="AC26" s="61" t="str">
        <f aca="false">IF($C26="","",INDEX(単元05!$F$5:$F$164,$C26)&amp;"")</f>
        <v/>
      </c>
      <c r="AD26" s="61" t="str">
        <f aca="false">IF($C26="","",INDEX(単元05!$G$5:$G$164,$C26)&amp;"")</f>
        <v/>
      </c>
      <c r="AE26" s="61" t="str">
        <f aca="false">IF($C26="","",INDEX(単元05!$H$5:$H$164,$C26)&amp;"")</f>
        <v/>
      </c>
      <c r="AF26" s="61" t="str">
        <f aca="false">IF($C26="","",INDEX(単元06!$F$5:$F$164,$C26)&amp;"")</f>
        <v/>
      </c>
      <c r="AG26" s="61" t="str">
        <f aca="false">IF($C26="","",INDEX(単元06!$G$5:$G$164,$C26)&amp;"")</f>
        <v/>
      </c>
      <c r="AH26" s="61" t="str">
        <f aca="false">IF($C26="","",INDEX(単元06!$H$5:$H$164,$C26)&amp;"")</f>
        <v/>
      </c>
      <c r="AI26" s="61" t="str">
        <f aca="false">IF($C26="","",INDEX(単元07!$F$5:$F$164,$C26)&amp;"")</f>
        <v/>
      </c>
      <c r="AJ26" s="61" t="str">
        <f aca="false">IF($C26="","",INDEX(単元07!$G$5:$G$164,$C26)&amp;"")</f>
        <v/>
      </c>
      <c r="AK26" s="61" t="str">
        <f aca="false">IF($C26="","",INDEX(単元07!$H$5:$H$164,$C26)&amp;"")</f>
        <v/>
      </c>
      <c r="AL26" s="61" t="str">
        <f aca="false">IF($C26="","",INDEX(単元08!$F$5:$F$164,$C26)&amp;"")</f>
        <v/>
      </c>
      <c r="AM26" s="61" t="str">
        <f aca="false">IF($C26="","",INDEX(単元08!$G$5:$G$164,$C26)&amp;"")</f>
        <v/>
      </c>
      <c r="AN26" s="61" t="str">
        <f aca="false">IF($C26="","",INDEX(単元08!$H$5:$H$164,$C26)&amp;"")</f>
        <v/>
      </c>
      <c r="AO26" s="61" t="str">
        <f aca="false">IF($C26="","",INDEX(単元09!$F$5:$F$164,$C26)&amp;"")</f>
        <v/>
      </c>
      <c r="AP26" s="61" t="str">
        <f aca="false">IF($C26="","",INDEX(単元09!$G$5:$G$164,$C26)&amp;"")</f>
        <v/>
      </c>
      <c r="AQ26" s="61" t="str">
        <f aca="false">IF($C26="","",INDEX(単元09!$H$5:$H$164,$C26)&amp;"")</f>
        <v/>
      </c>
      <c r="AR26" s="61" t="str">
        <f aca="false">IF($C26="","",INDEX(単元10!$F$5:$F$164,$C26)&amp;"")</f>
        <v/>
      </c>
      <c r="AS26" s="61" t="str">
        <f aca="false">IF($C26="","",INDEX(単元10!$G$5:$G$164,$C26)&amp;"")</f>
        <v/>
      </c>
      <c r="AT26" s="61" t="str">
        <f aca="false">IF($C26="","",INDEX(単元10!$H$5:$H$164,$C26)&amp;"")</f>
        <v/>
      </c>
      <c r="AU26" s="61" t="str">
        <f aca="false">IF($C26="","",INDEX(単元11!$F$5:$F$164,$C26)&amp;"")</f>
        <v/>
      </c>
      <c r="AV26" s="61" t="str">
        <f aca="false">IF($C26="","",INDEX(単元11!$G$5:$G$164,$C26)&amp;"")</f>
        <v/>
      </c>
      <c r="AW26" s="61" t="str">
        <f aca="false">IF($C26="","",INDEX(単元11!$H$5:$H$164,$C26)&amp;"")</f>
        <v/>
      </c>
      <c r="AX26" s="61" t="str">
        <f aca="false">IF($C26="","",INDEX(単元12!$F$5:$F$164,$C26)&amp;"")</f>
        <v/>
      </c>
      <c r="AY26" s="61" t="str">
        <f aca="false">IF($C26="","",INDEX(単元12!$G$5:$G$164,$C26)&amp;"")</f>
        <v/>
      </c>
      <c r="AZ26" s="61" t="str">
        <f aca="false">IF($C26="","",INDEX(単元12!$H$5:$H$164,$C26)&amp;"")</f>
        <v/>
      </c>
      <c r="BA26" s="61" t="str">
        <f aca="false">IF($C26="","",INDEX(単元13!$F$5:$F$164,$C26)&amp;"")</f>
        <v/>
      </c>
      <c r="BB26" s="61" t="str">
        <f aca="false">IF($C26="","",INDEX(単元13!$G$5:$G$164,$C26)&amp;"")</f>
        <v/>
      </c>
      <c r="BC26" s="61" t="str">
        <f aca="false">IF($C26="","",INDEX(単元13!$H$5:$H$164,$C26)&amp;"")</f>
        <v/>
      </c>
      <c r="BD26" s="61" t="str">
        <f aca="false">IF($C26="","",INDEX(単元14!$F$5:$F$164,$C26)&amp;"")</f>
        <v/>
      </c>
      <c r="BE26" s="61" t="str">
        <f aca="false">IF($C26="","",INDEX(単元14!$G$5:$G$164,$C26)&amp;"")</f>
        <v/>
      </c>
      <c r="BF26" s="61" t="str">
        <f aca="false">IF($C26="","",INDEX(単元14!$H$5:$H$164,$C26)&amp;"")</f>
        <v/>
      </c>
      <c r="BG26" s="61" t="str">
        <f aca="false">IF($C26="","",INDEX(単元15!$F$5:$F$164,$C26)&amp;"")</f>
        <v/>
      </c>
      <c r="BH26" s="61" t="str">
        <f aca="false">IF($C26="","",INDEX(単元15!$G$5:$G$164,$C26)&amp;"")</f>
        <v/>
      </c>
      <c r="BI26" s="61" t="str">
        <f aca="false">IF($C26="","",INDEX(単元15!$H$5:$H$164,$C26)&amp;"")</f>
        <v/>
      </c>
      <c r="BJ26" s="61" t="str">
        <f aca="false">IF($C26="","",INDEX(単元16!$F$5:$F$164,$C26)&amp;"")</f>
        <v/>
      </c>
      <c r="BK26" s="61" t="str">
        <f aca="false">IF($C26="","",INDEX(単元16!$G$5:$G$164,$C26)&amp;"")</f>
        <v/>
      </c>
      <c r="BL26" s="61" t="str">
        <f aca="false">IF($C26="","",INDEX(単元16!$H$5:$H$164,$C26)&amp;"")</f>
        <v/>
      </c>
      <c r="BM26" s="61" t="str">
        <f aca="false">IF($C26="","",INDEX(単元17!$F$5:$F$164,$C26)&amp;"")</f>
        <v/>
      </c>
      <c r="BN26" s="61" t="str">
        <f aca="false">IF($C26="","",INDEX(単元17!$G$5:$G$164,$C26)&amp;"")</f>
        <v/>
      </c>
      <c r="BO26" s="61" t="str">
        <f aca="false">IF($C26="","",INDEX(単元17!$H$5:$H$164,$C26)&amp;"")</f>
        <v/>
      </c>
      <c r="BP26" s="61" t="str">
        <f aca="false">IF($C26="","",INDEX(単元18!$F$5:$F$164,$C26)&amp;"")</f>
        <v/>
      </c>
      <c r="BQ26" s="61" t="str">
        <f aca="false">IF($C26="","",INDEX(単元18!$G$5:$G$164,$C26)&amp;"")</f>
        <v/>
      </c>
      <c r="BR26" s="61" t="str">
        <f aca="false">IF($C26="","",INDEX(単元18!$H$5:$H$164,$C26)&amp;"")</f>
        <v/>
      </c>
      <c r="BS26" s="61" t="str">
        <f aca="false">IF($C26="","",INDEX(単元19!$F$5:$F$164,$C26)&amp;"")</f>
        <v/>
      </c>
      <c r="BT26" s="61" t="str">
        <f aca="false">IF($C26="","",INDEX(単元19!$G$5:$G$164,$C26)&amp;"")</f>
        <v/>
      </c>
      <c r="BU26" s="61" t="str">
        <f aca="false">IF($C26="","",INDEX(単元19!$H$5:$H$164,$C26)&amp;"")</f>
        <v/>
      </c>
      <c r="BV26" s="61" t="str">
        <f aca="false">IF($C26="","",INDEX(単元20!$F$5:$F$164,$C26)&amp;"")</f>
        <v/>
      </c>
      <c r="BW26" s="61" t="str">
        <f aca="false">IF($C26="","",INDEX(単元20!$G$5:$G$164,$C26)&amp;"")</f>
        <v/>
      </c>
      <c r="BX26" s="61" t="str">
        <f aca="false">IF($C26="","",INDEX(単元20!$H$5:$H$164,$C26)&amp;"")</f>
        <v/>
      </c>
    </row>
    <row r="27" customFormat="false" ht="19.5" hidden="false" customHeight="true" outlineLevel="0" collapsed="false">
      <c r="A27" s="91" t="str">
        <f aca="false">IF($C27="","",INDEX(名簿!$C$5:$C$164,$C27))</f>
        <v/>
      </c>
      <c r="B27" s="59" t="str">
        <f aca="false">IF($C27="","",INDEX(名簿!$D$5:$D$164,$C27)&amp;IF(INDEX(名簿!$F$5:$F$164,$C27)="転出","（転出）",""))</f>
        <v/>
      </c>
      <c r="C27" s="41" t="str">
        <f aca="false">IFERROR(MATCH($B$2&amp;"|"&amp;21,名簿!$G$5:$G$164,0),"")</f>
        <v/>
      </c>
      <c r="D27" s="60" t="str">
        <f aca="false">IF($C27="","",SUMPRODUCT(($Q27:$BX27=D$6)*($Q$6:$BX$6=D$3)*((($F$2&amp;"")="通年")+($Q$3:$BX$3=($F$2&amp;""))&gt;0)))</f>
        <v/>
      </c>
      <c r="E27" s="60" t="str">
        <f aca="false">IF($C27="","",SUMPRODUCT(($Q27:$BX27=E$6)*($Q$6:$BX$6=E$3)*((($F$2&amp;"")="通年")+($Q$3:$BX$3=($F$2&amp;""))&gt;0)))</f>
        <v/>
      </c>
      <c r="F27" s="60" t="str">
        <f aca="false">IF($C27="","",SUMPRODUCT(($Q27:$BX27=F$6)*($Q$6:$BX$6=F$3)*((($F$2&amp;"")="通年")+($Q$3:$BX$3=($F$2&amp;""))&gt;0)))</f>
        <v/>
      </c>
      <c r="G27" s="60" t="str">
        <f aca="false">IF($C27="","",SUMPRODUCT(($Q27:$BX27=G$6)*($Q$6:$BX$6=G$3)*((($F$2&amp;"")="通年")+($Q$3:$BX$3=($F$2&amp;""))&gt;0)))</f>
        <v/>
      </c>
      <c r="H27" s="60" t="str">
        <f aca="false">IF($C27="","",SUMPRODUCT(($Q27:$BX27=H$6)*($Q$6:$BX$6=H$3)*((($F$2&amp;"")="通年")+($Q$3:$BX$3=($F$2&amp;""))&gt;0)))</f>
        <v/>
      </c>
      <c r="I27" s="60" t="str">
        <f aca="false">IF($C27="","",SUMPRODUCT(($Q27:$BX27=I$6)*($Q$6:$BX$6=I$3)*((($F$2&amp;"")="通年")+($Q$3:$BX$3=($F$2&amp;""))&gt;0)))</f>
        <v/>
      </c>
      <c r="J27" s="60" t="str">
        <f aca="false">IF($C27="","",SUMPRODUCT(($Q27:$BX27=J$6)*($Q$6:$BX$6=J$3)*((($F$2&amp;"")="通年")+($Q$3:$BX$3=($F$2&amp;""))&gt;0)))</f>
        <v/>
      </c>
      <c r="K27" s="60" t="str">
        <f aca="false">IF($C27="","",SUMPRODUCT(($Q27:$BX27=K$6)*($Q$6:$BX$6=K$3)*((($F$2&amp;"")="通年")+($Q$3:$BX$3=($F$2&amp;""))&gt;0)))</f>
        <v/>
      </c>
      <c r="L27" s="60" t="str">
        <f aca="false">IF($C27="","",SUMPRODUCT(($Q27:$BX27=L$6)*($Q$6:$BX$6=L$3)*((($F$2&amp;"")="通年")+($Q$3:$BX$3=($F$2&amp;""))&gt;0)))</f>
        <v/>
      </c>
      <c r="M27" s="62" t="str">
        <f aca="false">IF($C27="","",IF(SUM(D27:F27)=0,"",IF(D27/SUM(D27:F27)&gt;=設定!$I$17,設定!$G$8,IF(F27/SUM(D27:F27)&gt;=設定!$I$18,設定!$G$10,設定!$G$9))))</f>
        <v/>
      </c>
      <c r="N27" s="62" t="str">
        <f aca="false">IF($C27="","",IF(SUM(G27:I27)=0,"",IF(G27/SUM(G27:I27)&gt;=設定!$I$17,設定!$G$8,IF(I27/SUM(G27:I27)&gt;=設定!$I$18,設定!$G$10,設定!$G$9))))</f>
        <v/>
      </c>
      <c r="O27" s="62" t="str">
        <f aca="false">IF($C27="","",IF(SUM(J27:L27)=0,"",IF(J27/SUM(J27:L27)&gt;=設定!$I$17,設定!$G$8,IF(L27/SUM(J27:L27)&gt;=設定!$I$18,設定!$G$10,設定!$G$9))))</f>
        <v/>
      </c>
      <c r="P27" s="13"/>
      <c r="Q27" s="61" t="str">
        <f aca="false">IF($C27="","",INDEX(単元01!$F$5:$F$164,$C27)&amp;"")</f>
        <v/>
      </c>
      <c r="R27" s="61" t="str">
        <f aca="false">IF($C27="","",INDEX(単元01!$G$5:$G$164,$C27)&amp;"")</f>
        <v/>
      </c>
      <c r="S27" s="61" t="str">
        <f aca="false">IF($C27="","",INDEX(単元01!$H$5:$H$164,$C27)&amp;"")</f>
        <v/>
      </c>
      <c r="T27" s="61" t="str">
        <f aca="false">IF($C27="","",INDEX(単元02!$F$5:$F$164,$C27)&amp;"")</f>
        <v/>
      </c>
      <c r="U27" s="61" t="str">
        <f aca="false">IF($C27="","",INDEX(単元02!$G$5:$G$164,$C27)&amp;"")</f>
        <v/>
      </c>
      <c r="V27" s="61" t="str">
        <f aca="false">IF($C27="","",INDEX(単元02!$H$5:$H$164,$C27)&amp;"")</f>
        <v/>
      </c>
      <c r="W27" s="61" t="str">
        <f aca="false">IF($C27="","",INDEX(単元03!$F$5:$F$164,$C27)&amp;"")</f>
        <v/>
      </c>
      <c r="X27" s="61" t="str">
        <f aca="false">IF($C27="","",INDEX(単元03!$G$5:$G$164,$C27)&amp;"")</f>
        <v/>
      </c>
      <c r="Y27" s="61" t="str">
        <f aca="false">IF($C27="","",INDEX(単元03!$H$5:$H$164,$C27)&amp;"")</f>
        <v/>
      </c>
      <c r="Z27" s="61" t="str">
        <f aca="false">IF($C27="","",INDEX(単元04!$F$5:$F$164,$C27)&amp;"")</f>
        <v/>
      </c>
      <c r="AA27" s="61" t="str">
        <f aca="false">IF($C27="","",INDEX(単元04!$G$5:$G$164,$C27)&amp;"")</f>
        <v/>
      </c>
      <c r="AB27" s="61" t="str">
        <f aca="false">IF($C27="","",INDEX(単元04!$H$5:$H$164,$C27)&amp;"")</f>
        <v/>
      </c>
      <c r="AC27" s="61" t="str">
        <f aca="false">IF($C27="","",INDEX(単元05!$F$5:$F$164,$C27)&amp;"")</f>
        <v/>
      </c>
      <c r="AD27" s="61" t="str">
        <f aca="false">IF($C27="","",INDEX(単元05!$G$5:$G$164,$C27)&amp;"")</f>
        <v/>
      </c>
      <c r="AE27" s="61" t="str">
        <f aca="false">IF($C27="","",INDEX(単元05!$H$5:$H$164,$C27)&amp;"")</f>
        <v/>
      </c>
      <c r="AF27" s="61" t="str">
        <f aca="false">IF($C27="","",INDEX(単元06!$F$5:$F$164,$C27)&amp;"")</f>
        <v/>
      </c>
      <c r="AG27" s="61" t="str">
        <f aca="false">IF($C27="","",INDEX(単元06!$G$5:$G$164,$C27)&amp;"")</f>
        <v/>
      </c>
      <c r="AH27" s="61" t="str">
        <f aca="false">IF($C27="","",INDEX(単元06!$H$5:$H$164,$C27)&amp;"")</f>
        <v/>
      </c>
      <c r="AI27" s="61" t="str">
        <f aca="false">IF($C27="","",INDEX(単元07!$F$5:$F$164,$C27)&amp;"")</f>
        <v/>
      </c>
      <c r="AJ27" s="61" t="str">
        <f aca="false">IF($C27="","",INDEX(単元07!$G$5:$G$164,$C27)&amp;"")</f>
        <v/>
      </c>
      <c r="AK27" s="61" t="str">
        <f aca="false">IF($C27="","",INDEX(単元07!$H$5:$H$164,$C27)&amp;"")</f>
        <v/>
      </c>
      <c r="AL27" s="61" t="str">
        <f aca="false">IF($C27="","",INDEX(単元08!$F$5:$F$164,$C27)&amp;"")</f>
        <v/>
      </c>
      <c r="AM27" s="61" t="str">
        <f aca="false">IF($C27="","",INDEX(単元08!$G$5:$G$164,$C27)&amp;"")</f>
        <v/>
      </c>
      <c r="AN27" s="61" t="str">
        <f aca="false">IF($C27="","",INDEX(単元08!$H$5:$H$164,$C27)&amp;"")</f>
        <v/>
      </c>
      <c r="AO27" s="61" t="str">
        <f aca="false">IF($C27="","",INDEX(単元09!$F$5:$F$164,$C27)&amp;"")</f>
        <v/>
      </c>
      <c r="AP27" s="61" t="str">
        <f aca="false">IF($C27="","",INDEX(単元09!$G$5:$G$164,$C27)&amp;"")</f>
        <v/>
      </c>
      <c r="AQ27" s="61" t="str">
        <f aca="false">IF($C27="","",INDEX(単元09!$H$5:$H$164,$C27)&amp;"")</f>
        <v/>
      </c>
      <c r="AR27" s="61" t="str">
        <f aca="false">IF($C27="","",INDEX(単元10!$F$5:$F$164,$C27)&amp;"")</f>
        <v/>
      </c>
      <c r="AS27" s="61" t="str">
        <f aca="false">IF($C27="","",INDEX(単元10!$G$5:$G$164,$C27)&amp;"")</f>
        <v/>
      </c>
      <c r="AT27" s="61" t="str">
        <f aca="false">IF($C27="","",INDEX(単元10!$H$5:$H$164,$C27)&amp;"")</f>
        <v/>
      </c>
      <c r="AU27" s="61" t="str">
        <f aca="false">IF($C27="","",INDEX(単元11!$F$5:$F$164,$C27)&amp;"")</f>
        <v/>
      </c>
      <c r="AV27" s="61" t="str">
        <f aca="false">IF($C27="","",INDEX(単元11!$G$5:$G$164,$C27)&amp;"")</f>
        <v/>
      </c>
      <c r="AW27" s="61" t="str">
        <f aca="false">IF($C27="","",INDEX(単元11!$H$5:$H$164,$C27)&amp;"")</f>
        <v/>
      </c>
      <c r="AX27" s="61" t="str">
        <f aca="false">IF($C27="","",INDEX(単元12!$F$5:$F$164,$C27)&amp;"")</f>
        <v/>
      </c>
      <c r="AY27" s="61" t="str">
        <f aca="false">IF($C27="","",INDEX(単元12!$G$5:$G$164,$C27)&amp;"")</f>
        <v/>
      </c>
      <c r="AZ27" s="61" t="str">
        <f aca="false">IF($C27="","",INDEX(単元12!$H$5:$H$164,$C27)&amp;"")</f>
        <v/>
      </c>
      <c r="BA27" s="61" t="str">
        <f aca="false">IF($C27="","",INDEX(単元13!$F$5:$F$164,$C27)&amp;"")</f>
        <v/>
      </c>
      <c r="BB27" s="61" t="str">
        <f aca="false">IF($C27="","",INDEX(単元13!$G$5:$G$164,$C27)&amp;"")</f>
        <v/>
      </c>
      <c r="BC27" s="61" t="str">
        <f aca="false">IF($C27="","",INDEX(単元13!$H$5:$H$164,$C27)&amp;"")</f>
        <v/>
      </c>
      <c r="BD27" s="61" t="str">
        <f aca="false">IF($C27="","",INDEX(単元14!$F$5:$F$164,$C27)&amp;"")</f>
        <v/>
      </c>
      <c r="BE27" s="61" t="str">
        <f aca="false">IF($C27="","",INDEX(単元14!$G$5:$G$164,$C27)&amp;"")</f>
        <v/>
      </c>
      <c r="BF27" s="61" t="str">
        <f aca="false">IF($C27="","",INDEX(単元14!$H$5:$H$164,$C27)&amp;"")</f>
        <v/>
      </c>
      <c r="BG27" s="61" t="str">
        <f aca="false">IF($C27="","",INDEX(単元15!$F$5:$F$164,$C27)&amp;"")</f>
        <v/>
      </c>
      <c r="BH27" s="61" t="str">
        <f aca="false">IF($C27="","",INDEX(単元15!$G$5:$G$164,$C27)&amp;"")</f>
        <v/>
      </c>
      <c r="BI27" s="61" t="str">
        <f aca="false">IF($C27="","",INDEX(単元15!$H$5:$H$164,$C27)&amp;"")</f>
        <v/>
      </c>
      <c r="BJ27" s="61" t="str">
        <f aca="false">IF($C27="","",INDEX(単元16!$F$5:$F$164,$C27)&amp;"")</f>
        <v/>
      </c>
      <c r="BK27" s="61" t="str">
        <f aca="false">IF($C27="","",INDEX(単元16!$G$5:$G$164,$C27)&amp;"")</f>
        <v/>
      </c>
      <c r="BL27" s="61" t="str">
        <f aca="false">IF($C27="","",INDEX(単元16!$H$5:$H$164,$C27)&amp;"")</f>
        <v/>
      </c>
      <c r="BM27" s="61" t="str">
        <f aca="false">IF($C27="","",INDEX(単元17!$F$5:$F$164,$C27)&amp;"")</f>
        <v/>
      </c>
      <c r="BN27" s="61" t="str">
        <f aca="false">IF($C27="","",INDEX(単元17!$G$5:$G$164,$C27)&amp;"")</f>
        <v/>
      </c>
      <c r="BO27" s="61" t="str">
        <f aca="false">IF($C27="","",INDEX(単元17!$H$5:$H$164,$C27)&amp;"")</f>
        <v/>
      </c>
      <c r="BP27" s="61" t="str">
        <f aca="false">IF($C27="","",INDEX(単元18!$F$5:$F$164,$C27)&amp;"")</f>
        <v/>
      </c>
      <c r="BQ27" s="61" t="str">
        <f aca="false">IF($C27="","",INDEX(単元18!$G$5:$G$164,$C27)&amp;"")</f>
        <v/>
      </c>
      <c r="BR27" s="61" t="str">
        <f aca="false">IF($C27="","",INDEX(単元18!$H$5:$H$164,$C27)&amp;"")</f>
        <v/>
      </c>
      <c r="BS27" s="61" t="str">
        <f aca="false">IF($C27="","",INDEX(単元19!$F$5:$F$164,$C27)&amp;"")</f>
        <v/>
      </c>
      <c r="BT27" s="61" t="str">
        <f aca="false">IF($C27="","",INDEX(単元19!$G$5:$G$164,$C27)&amp;"")</f>
        <v/>
      </c>
      <c r="BU27" s="61" t="str">
        <f aca="false">IF($C27="","",INDEX(単元19!$H$5:$H$164,$C27)&amp;"")</f>
        <v/>
      </c>
      <c r="BV27" s="61" t="str">
        <f aca="false">IF($C27="","",INDEX(単元20!$F$5:$F$164,$C27)&amp;"")</f>
        <v/>
      </c>
      <c r="BW27" s="61" t="str">
        <f aca="false">IF($C27="","",INDEX(単元20!$G$5:$G$164,$C27)&amp;"")</f>
        <v/>
      </c>
      <c r="BX27" s="61" t="str">
        <f aca="false">IF($C27="","",INDEX(単元20!$H$5:$H$164,$C27)&amp;"")</f>
        <v/>
      </c>
    </row>
    <row r="28" customFormat="false" ht="19.5" hidden="false" customHeight="true" outlineLevel="0" collapsed="false">
      <c r="A28" s="91" t="str">
        <f aca="false">IF($C28="","",INDEX(名簿!$C$5:$C$164,$C28))</f>
        <v/>
      </c>
      <c r="B28" s="59" t="str">
        <f aca="false">IF($C28="","",INDEX(名簿!$D$5:$D$164,$C28)&amp;IF(INDEX(名簿!$F$5:$F$164,$C28)="転出","（転出）",""))</f>
        <v/>
      </c>
      <c r="C28" s="41" t="str">
        <f aca="false">IFERROR(MATCH($B$2&amp;"|"&amp;22,名簿!$G$5:$G$164,0),"")</f>
        <v/>
      </c>
      <c r="D28" s="60" t="str">
        <f aca="false">IF($C28="","",SUMPRODUCT(($Q28:$BX28=D$6)*($Q$6:$BX$6=D$3)*((($F$2&amp;"")="通年")+($Q$3:$BX$3=($F$2&amp;""))&gt;0)))</f>
        <v/>
      </c>
      <c r="E28" s="60" t="str">
        <f aca="false">IF($C28="","",SUMPRODUCT(($Q28:$BX28=E$6)*($Q$6:$BX$6=E$3)*((($F$2&amp;"")="通年")+($Q$3:$BX$3=($F$2&amp;""))&gt;0)))</f>
        <v/>
      </c>
      <c r="F28" s="60" t="str">
        <f aca="false">IF($C28="","",SUMPRODUCT(($Q28:$BX28=F$6)*($Q$6:$BX$6=F$3)*((($F$2&amp;"")="通年")+($Q$3:$BX$3=($F$2&amp;""))&gt;0)))</f>
        <v/>
      </c>
      <c r="G28" s="60" t="str">
        <f aca="false">IF($C28="","",SUMPRODUCT(($Q28:$BX28=G$6)*($Q$6:$BX$6=G$3)*((($F$2&amp;"")="通年")+($Q$3:$BX$3=($F$2&amp;""))&gt;0)))</f>
        <v/>
      </c>
      <c r="H28" s="60" t="str">
        <f aca="false">IF($C28="","",SUMPRODUCT(($Q28:$BX28=H$6)*($Q$6:$BX$6=H$3)*((($F$2&amp;"")="通年")+($Q$3:$BX$3=($F$2&amp;""))&gt;0)))</f>
        <v/>
      </c>
      <c r="I28" s="60" t="str">
        <f aca="false">IF($C28="","",SUMPRODUCT(($Q28:$BX28=I$6)*($Q$6:$BX$6=I$3)*((($F$2&amp;"")="通年")+($Q$3:$BX$3=($F$2&amp;""))&gt;0)))</f>
        <v/>
      </c>
      <c r="J28" s="60" t="str">
        <f aca="false">IF($C28="","",SUMPRODUCT(($Q28:$BX28=J$6)*($Q$6:$BX$6=J$3)*((($F$2&amp;"")="通年")+($Q$3:$BX$3=($F$2&amp;""))&gt;0)))</f>
        <v/>
      </c>
      <c r="K28" s="60" t="str">
        <f aca="false">IF($C28="","",SUMPRODUCT(($Q28:$BX28=K$6)*($Q$6:$BX$6=K$3)*((($F$2&amp;"")="通年")+($Q$3:$BX$3=($F$2&amp;""))&gt;0)))</f>
        <v/>
      </c>
      <c r="L28" s="60" t="str">
        <f aca="false">IF($C28="","",SUMPRODUCT(($Q28:$BX28=L$6)*($Q$6:$BX$6=L$3)*((($F$2&amp;"")="通年")+($Q$3:$BX$3=($F$2&amp;""))&gt;0)))</f>
        <v/>
      </c>
      <c r="M28" s="62" t="str">
        <f aca="false">IF($C28="","",IF(SUM(D28:F28)=0,"",IF(D28/SUM(D28:F28)&gt;=設定!$I$17,設定!$G$8,IF(F28/SUM(D28:F28)&gt;=設定!$I$18,設定!$G$10,設定!$G$9))))</f>
        <v/>
      </c>
      <c r="N28" s="62" t="str">
        <f aca="false">IF($C28="","",IF(SUM(G28:I28)=0,"",IF(G28/SUM(G28:I28)&gt;=設定!$I$17,設定!$G$8,IF(I28/SUM(G28:I28)&gt;=設定!$I$18,設定!$G$10,設定!$G$9))))</f>
        <v/>
      </c>
      <c r="O28" s="62" t="str">
        <f aca="false">IF($C28="","",IF(SUM(J28:L28)=0,"",IF(J28/SUM(J28:L28)&gt;=設定!$I$17,設定!$G$8,IF(L28/SUM(J28:L28)&gt;=設定!$I$18,設定!$G$10,設定!$G$9))))</f>
        <v/>
      </c>
      <c r="P28" s="13"/>
      <c r="Q28" s="61" t="str">
        <f aca="false">IF($C28="","",INDEX(単元01!$F$5:$F$164,$C28)&amp;"")</f>
        <v/>
      </c>
      <c r="R28" s="61" t="str">
        <f aca="false">IF($C28="","",INDEX(単元01!$G$5:$G$164,$C28)&amp;"")</f>
        <v/>
      </c>
      <c r="S28" s="61" t="str">
        <f aca="false">IF($C28="","",INDEX(単元01!$H$5:$H$164,$C28)&amp;"")</f>
        <v/>
      </c>
      <c r="T28" s="61" t="str">
        <f aca="false">IF($C28="","",INDEX(単元02!$F$5:$F$164,$C28)&amp;"")</f>
        <v/>
      </c>
      <c r="U28" s="61" t="str">
        <f aca="false">IF($C28="","",INDEX(単元02!$G$5:$G$164,$C28)&amp;"")</f>
        <v/>
      </c>
      <c r="V28" s="61" t="str">
        <f aca="false">IF($C28="","",INDEX(単元02!$H$5:$H$164,$C28)&amp;"")</f>
        <v/>
      </c>
      <c r="W28" s="61" t="str">
        <f aca="false">IF($C28="","",INDEX(単元03!$F$5:$F$164,$C28)&amp;"")</f>
        <v/>
      </c>
      <c r="X28" s="61" t="str">
        <f aca="false">IF($C28="","",INDEX(単元03!$G$5:$G$164,$C28)&amp;"")</f>
        <v/>
      </c>
      <c r="Y28" s="61" t="str">
        <f aca="false">IF($C28="","",INDEX(単元03!$H$5:$H$164,$C28)&amp;"")</f>
        <v/>
      </c>
      <c r="Z28" s="61" t="str">
        <f aca="false">IF($C28="","",INDEX(単元04!$F$5:$F$164,$C28)&amp;"")</f>
        <v/>
      </c>
      <c r="AA28" s="61" t="str">
        <f aca="false">IF($C28="","",INDEX(単元04!$G$5:$G$164,$C28)&amp;"")</f>
        <v/>
      </c>
      <c r="AB28" s="61" t="str">
        <f aca="false">IF($C28="","",INDEX(単元04!$H$5:$H$164,$C28)&amp;"")</f>
        <v/>
      </c>
      <c r="AC28" s="61" t="str">
        <f aca="false">IF($C28="","",INDEX(単元05!$F$5:$F$164,$C28)&amp;"")</f>
        <v/>
      </c>
      <c r="AD28" s="61" t="str">
        <f aca="false">IF($C28="","",INDEX(単元05!$G$5:$G$164,$C28)&amp;"")</f>
        <v/>
      </c>
      <c r="AE28" s="61" t="str">
        <f aca="false">IF($C28="","",INDEX(単元05!$H$5:$H$164,$C28)&amp;"")</f>
        <v/>
      </c>
      <c r="AF28" s="61" t="str">
        <f aca="false">IF($C28="","",INDEX(単元06!$F$5:$F$164,$C28)&amp;"")</f>
        <v/>
      </c>
      <c r="AG28" s="61" t="str">
        <f aca="false">IF($C28="","",INDEX(単元06!$G$5:$G$164,$C28)&amp;"")</f>
        <v/>
      </c>
      <c r="AH28" s="61" t="str">
        <f aca="false">IF($C28="","",INDEX(単元06!$H$5:$H$164,$C28)&amp;"")</f>
        <v/>
      </c>
      <c r="AI28" s="61" t="str">
        <f aca="false">IF($C28="","",INDEX(単元07!$F$5:$F$164,$C28)&amp;"")</f>
        <v/>
      </c>
      <c r="AJ28" s="61" t="str">
        <f aca="false">IF($C28="","",INDEX(単元07!$G$5:$G$164,$C28)&amp;"")</f>
        <v/>
      </c>
      <c r="AK28" s="61" t="str">
        <f aca="false">IF($C28="","",INDEX(単元07!$H$5:$H$164,$C28)&amp;"")</f>
        <v/>
      </c>
      <c r="AL28" s="61" t="str">
        <f aca="false">IF($C28="","",INDEX(単元08!$F$5:$F$164,$C28)&amp;"")</f>
        <v/>
      </c>
      <c r="AM28" s="61" t="str">
        <f aca="false">IF($C28="","",INDEX(単元08!$G$5:$G$164,$C28)&amp;"")</f>
        <v/>
      </c>
      <c r="AN28" s="61" t="str">
        <f aca="false">IF($C28="","",INDEX(単元08!$H$5:$H$164,$C28)&amp;"")</f>
        <v/>
      </c>
      <c r="AO28" s="61" t="str">
        <f aca="false">IF($C28="","",INDEX(単元09!$F$5:$F$164,$C28)&amp;"")</f>
        <v/>
      </c>
      <c r="AP28" s="61" t="str">
        <f aca="false">IF($C28="","",INDEX(単元09!$G$5:$G$164,$C28)&amp;"")</f>
        <v/>
      </c>
      <c r="AQ28" s="61" t="str">
        <f aca="false">IF($C28="","",INDEX(単元09!$H$5:$H$164,$C28)&amp;"")</f>
        <v/>
      </c>
      <c r="AR28" s="61" t="str">
        <f aca="false">IF($C28="","",INDEX(単元10!$F$5:$F$164,$C28)&amp;"")</f>
        <v/>
      </c>
      <c r="AS28" s="61" t="str">
        <f aca="false">IF($C28="","",INDEX(単元10!$G$5:$G$164,$C28)&amp;"")</f>
        <v/>
      </c>
      <c r="AT28" s="61" t="str">
        <f aca="false">IF($C28="","",INDEX(単元10!$H$5:$H$164,$C28)&amp;"")</f>
        <v/>
      </c>
      <c r="AU28" s="61" t="str">
        <f aca="false">IF($C28="","",INDEX(単元11!$F$5:$F$164,$C28)&amp;"")</f>
        <v/>
      </c>
      <c r="AV28" s="61" t="str">
        <f aca="false">IF($C28="","",INDEX(単元11!$G$5:$G$164,$C28)&amp;"")</f>
        <v/>
      </c>
      <c r="AW28" s="61" t="str">
        <f aca="false">IF($C28="","",INDEX(単元11!$H$5:$H$164,$C28)&amp;"")</f>
        <v/>
      </c>
      <c r="AX28" s="61" t="str">
        <f aca="false">IF($C28="","",INDEX(単元12!$F$5:$F$164,$C28)&amp;"")</f>
        <v/>
      </c>
      <c r="AY28" s="61" t="str">
        <f aca="false">IF($C28="","",INDEX(単元12!$G$5:$G$164,$C28)&amp;"")</f>
        <v/>
      </c>
      <c r="AZ28" s="61" t="str">
        <f aca="false">IF($C28="","",INDEX(単元12!$H$5:$H$164,$C28)&amp;"")</f>
        <v/>
      </c>
      <c r="BA28" s="61" t="str">
        <f aca="false">IF($C28="","",INDEX(単元13!$F$5:$F$164,$C28)&amp;"")</f>
        <v/>
      </c>
      <c r="BB28" s="61" t="str">
        <f aca="false">IF($C28="","",INDEX(単元13!$G$5:$G$164,$C28)&amp;"")</f>
        <v/>
      </c>
      <c r="BC28" s="61" t="str">
        <f aca="false">IF($C28="","",INDEX(単元13!$H$5:$H$164,$C28)&amp;"")</f>
        <v/>
      </c>
      <c r="BD28" s="61" t="str">
        <f aca="false">IF($C28="","",INDEX(単元14!$F$5:$F$164,$C28)&amp;"")</f>
        <v/>
      </c>
      <c r="BE28" s="61" t="str">
        <f aca="false">IF($C28="","",INDEX(単元14!$G$5:$G$164,$C28)&amp;"")</f>
        <v/>
      </c>
      <c r="BF28" s="61" t="str">
        <f aca="false">IF($C28="","",INDEX(単元14!$H$5:$H$164,$C28)&amp;"")</f>
        <v/>
      </c>
      <c r="BG28" s="61" t="str">
        <f aca="false">IF($C28="","",INDEX(単元15!$F$5:$F$164,$C28)&amp;"")</f>
        <v/>
      </c>
      <c r="BH28" s="61" t="str">
        <f aca="false">IF($C28="","",INDEX(単元15!$G$5:$G$164,$C28)&amp;"")</f>
        <v/>
      </c>
      <c r="BI28" s="61" t="str">
        <f aca="false">IF($C28="","",INDEX(単元15!$H$5:$H$164,$C28)&amp;"")</f>
        <v/>
      </c>
      <c r="BJ28" s="61" t="str">
        <f aca="false">IF($C28="","",INDEX(単元16!$F$5:$F$164,$C28)&amp;"")</f>
        <v/>
      </c>
      <c r="BK28" s="61" t="str">
        <f aca="false">IF($C28="","",INDEX(単元16!$G$5:$G$164,$C28)&amp;"")</f>
        <v/>
      </c>
      <c r="BL28" s="61" t="str">
        <f aca="false">IF($C28="","",INDEX(単元16!$H$5:$H$164,$C28)&amp;"")</f>
        <v/>
      </c>
      <c r="BM28" s="61" t="str">
        <f aca="false">IF($C28="","",INDEX(単元17!$F$5:$F$164,$C28)&amp;"")</f>
        <v/>
      </c>
      <c r="BN28" s="61" t="str">
        <f aca="false">IF($C28="","",INDEX(単元17!$G$5:$G$164,$C28)&amp;"")</f>
        <v/>
      </c>
      <c r="BO28" s="61" t="str">
        <f aca="false">IF($C28="","",INDEX(単元17!$H$5:$H$164,$C28)&amp;"")</f>
        <v/>
      </c>
      <c r="BP28" s="61" t="str">
        <f aca="false">IF($C28="","",INDEX(単元18!$F$5:$F$164,$C28)&amp;"")</f>
        <v/>
      </c>
      <c r="BQ28" s="61" t="str">
        <f aca="false">IF($C28="","",INDEX(単元18!$G$5:$G$164,$C28)&amp;"")</f>
        <v/>
      </c>
      <c r="BR28" s="61" t="str">
        <f aca="false">IF($C28="","",INDEX(単元18!$H$5:$H$164,$C28)&amp;"")</f>
        <v/>
      </c>
      <c r="BS28" s="61" t="str">
        <f aca="false">IF($C28="","",INDEX(単元19!$F$5:$F$164,$C28)&amp;"")</f>
        <v/>
      </c>
      <c r="BT28" s="61" t="str">
        <f aca="false">IF($C28="","",INDEX(単元19!$G$5:$G$164,$C28)&amp;"")</f>
        <v/>
      </c>
      <c r="BU28" s="61" t="str">
        <f aca="false">IF($C28="","",INDEX(単元19!$H$5:$H$164,$C28)&amp;"")</f>
        <v/>
      </c>
      <c r="BV28" s="61" t="str">
        <f aca="false">IF($C28="","",INDEX(単元20!$F$5:$F$164,$C28)&amp;"")</f>
        <v/>
      </c>
      <c r="BW28" s="61" t="str">
        <f aca="false">IF($C28="","",INDEX(単元20!$G$5:$G$164,$C28)&amp;"")</f>
        <v/>
      </c>
      <c r="BX28" s="61" t="str">
        <f aca="false">IF($C28="","",INDEX(単元20!$H$5:$H$164,$C28)&amp;"")</f>
        <v/>
      </c>
    </row>
    <row r="29" customFormat="false" ht="19.5" hidden="false" customHeight="true" outlineLevel="0" collapsed="false">
      <c r="A29" s="91" t="str">
        <f aca="false">IF($C29="","",INDEX(名簿!$C$5:$C$164,$C29))</f>
        <v/>
      </c>
      <c r="B29" s="59" t="str">
        <f aca="false">IF($C29="","",INDEX(名簿!$D$5:$D$164,$C29)&amp;IF(INDEX(名簿!$F$5:$F$164,$C29)="転出","（転出）",""))</f>
        <v/>
      </c>
      <c r="C29" s="41" t="str">
        <f aca="false">IFERROR(MATCH($B$2&amp;"|"&amp;23,名簿!$G$5:$G$164,0),"")</f>
        <v/>
      </c>
      <c r="D29" s="60" t="str">
        <f aca="false">IF($C29="","",SUMPRODUCT(($Q29:$BX29=D$6)*($Q$6:$BX$6=D$3)*((($F$2&amp;"")="通年")+($Q$3:$BX$3=($F$2&amp;""))&gt;0)))</f>
        <v/>
      </c>
      <c r="E29" s="60" t="str">
        <f aca="false">IF($C29="","",SUMPRODUCT(($Q29:$BX29=E$6)*($Q$6:$BX$6=E$3)*((($F$2&amp;"")="通年")+($Q$3:$BX$3=($F$2&amp;""))&gt;0)))</f>
        <v/>
      </c>
      <c r="F29" s="60" t="str">
        <f aca="false">IF($C29="","",SUMPRODUCT(($Q29:$BX29=F$6)*($Q$6:$BX$6=F$3)*((($F$2&amp;"")="通年")+($Q$3:$BX$3=($F$2&amp;""))&gt;0)))</f>
        <v/>
      </c>
      <c r="G29" s="60" t="str">
        <f aca="false">IF($C29="","",SUMPRODUCT(($Q29:$BX29=G$6)*($Q$6:$BX$6=G$3)*((($F$2&amp;"")="通年")+($Q$3:$BX$3=($F$2&amp;""))&gt;0)))</f>
        <v/>
      </c>
      <c r="H29" s="60" t="str">
        <f aca="false">IF($C29="","",SUMPRODUCT(($Q29:$BX29=H$6)*($Q$6:$BX$6=H$3)*((($F$2&amp;"")="通年")+($Q$3:$BX$3=($F$2&amp;""))&gt;0)))</f>
        <v/>
      </c>
      <c r="I29" s="60" t="str">
        <f aca="false">IF($C29="","",SUMPRODUCT(($Q29:$BX29=I$6)*($Q$6:$BX$6=I$3)*((($F$2&amp;"")="通年")+($Q$3:$BX$3=($F$2&amp;""))&gt;0)))</f>
        <v/>
      </c>
      <c r="J29" s="60" t="str">
        <f aca="false">IF($C29="","",SUMPRODUCT(($Q29:$BX29=J$6)*($Q$6:$BX$6=J$3)*((($F$2&amp;"")="通年")+($Q$3:$BX$3=($F$2&amp;""))&gt;0)))</f>
        <v/>
      </c>
      <c r="K29" s="60" t="str">
        <f aca="false">IF($C29="","",SUMPRODUCT(($Q29:$BX29=K$6)*($Q$6:$BX$6=K$3)*((($F$2&amp;"")="通年")+($Q$3:$BX$3=($F$2&amp;""))&gt;0)))</f>
        <v/>
      </c>
      <c r="L29" s="60" t="str">
        <f aca="false">IF($C29="","",SUMPRODUCT(($Q29:$BX29=L$6)*($Q$6:$BX$6=L$3)*((($F$2&amp;"")="通年")+($Q$3:$BX$3=($F$2&amp;""))&gt;0)))</f>
        <v/>
      </c>
      <c r="M29" s="62" t="str">
        <f aca="false">IF($C29="","",IF(SUM(D29:F29)=0,"",IF(D29/SUM(D29:F29)&gt;=設定!$I$17,設定!$G$8,IF(F29/SUM(D29:F29)&gt;=設定!$I$18,設定!$G$10,設定!$G$9))))</f>
        <v/>
      </c>
      <c r="N29" s="62" t="str">
        <f aca="false">IF($C29="","",IF(SUM(G29:I29)=0,"",IF(G29/SUM(G29:I29)&gt;=設定!$I$17,設定!$G$8,IF(I29/SUM(G29:I29)&gt;=設定!$I$18,設定!$G$10,設定!$G$9))))</f>
        <v/>
      </c>
      <c r="O29" s="62" t="str">
        <f aca="false">IF($C29="","",IF(SUM(J29:L29)=0,"",IF(J29/SUM(J29:L29)&gt;=設定!$I$17,設定!$G$8,IF(L29/SUM(J29:L29)&gt;=設定!$I$18,設定!$G$10,設定!$G$9))))</f>
        <v/>
      </c>
      <c r="P29" s="13"/>
      <c r="Q29" s="61" t="str">
        <f aca="false">IF($C29="","",INDEX(単元01!$F$5:$F$164,$C29)&amp;"")</f>
        <v/>
      </c>
      <c r="R29" s="61" t="str">
        <f aca="false">IF($C29="","",INDEX(単元01!$G$5:$G$164,$C29)&amp;"")</f>
        <v/>
      </c>
      <c r="S29" s="61" t="str">
        <f aca="false">IF($C29="","",INDEX(単元01!$H$5:$H$164,$C29)&amp;"")</f>
        <v/>
      </c>
      <c r="T29" s="61" t="str">
        <f aca="false">IF($C29="","",INDEX(単元02!$F$5:$F$164,$C29)&amp;"")</f>
        <v/>
      </c>
      <c r="U29" s="61" t="str">
        <f aca="false">IF($C29="","",INDEX(単元02!$G$5:$G$164,$C29)&amp;"")</f>
        <v/>
      </c>
      <c r="V29" s="61" t="str">
        <f aca="false">IF($C29="","",INDEX(単元02!$H$5:$H$164,$C29)&amp;"")</f>
        <v/>
      </c>
      <c r="W29" s="61" t="str">
        <f aca="false">IF($C29="","",INDEX(単元03!$F$5:$F$164,$C29)&amp;"")</f>
        <v/>
      </c>
      <c r="X29" s="61" t="str">
        <f aca="false">IF($C29="","",INDEX(単元03!$G$5:$G$164,$C29)&amp;"")</f>
        <v/>
      </c>
      <c r="Y29" s="61" t="str">
        <f aca="false">IF($C29="","",INDEX(単元03!$H$5:$H$164,$C29)&amp;"")</f>
        <v/>
      </c>
      <c r="Z29" s="61" t="str">
        <f aca="false">IF($C29="","",INDEX(単元04!$F$5:$F$164,$C29)&amp;"")</f>
        <v/>
      </c>
      <c r="AA29" s="61" t="str">
        <f aca="false">IF($C29="","",INDEX(単元04!$G$5:$G$164,$C29)&amp;"")</f>
        <v/>
      </c>
      <c r="AB29" s="61" t="str">
        <f aca="false">IF($C29="","",INDEX(単元04!$H$5:$H$164,$C29)&amp;"")</f>
        <v/>
      </c>
      <c r="AC29" s="61" t="str">
        <f aca="false">IF($C29="","",INDEX(単元05!$F$5:$F$164,$C29)&amp;"")</f>
        <v/>
      </c>
      <c r="AD29" s="61" t="str">
        <f aca="false">IF($C29="","",INDEX(単元05!$G$5:$G$164,$C29)&amp;"")</f>
        <v/>
      </c>
      <c r="AE29" s="61" t="str">
        <f aca="false">IF($C29="","",INDEX(単元05!$H$5:$H$164,$C29)&amp;"")</f>
        <v/>
      </c>
      <c r="AF29" s="61" t="str">
        <f aca="false">IF($C29="","",INDEX(単元06!$F$5:$F$164,$C29)&amp;"")</f>
        <v/>
      </c>
      <c r="AG29" s="61" t="str">
        <f aca="false">IF($C29="","",INDEX(単元06!$G$5:$G$164,$C29)&amp;"")</f>
        <v/>
      </c>
      <c r="AH29" s="61" t="str">
        <f aca="false">IF($C29="","",INDEX(単元06!$H$5:$H$164,$C29)&amp;"")</f>
        <v/>
      </c>
      <c r="AI29" s="61" t="str">
        <f aca="false">IF($C29="","",INDEX(単元07!$F$5:$F$164,$C29)&amp;"")</f>
        <v/>
      </c>
      <c r="AJ29" s="61" t="str">
        <f aca="false">IF($C29="","",INDEX(単元07!$G$5:$G$164,$C29)&amp;"")</f>
        <v/>
      </c>
      <c r="AK29" s="61" t="str">
        <f aca="false">IF($C29="","",INDEX(単元07!$H$5:$H$164,$C29)&amp;"")</f>
        <v/>
      </c>
      <c r="AL29" s="61" t="str">
        <f aca="false">IF($C29="","",INDEX(単元08!$F$5:$F$164,$C29)&amp;"")</f>
        <v/>
      </c>
      <c r="AM29" s="61" t="str">
        <f aca="false">IF($C29="","",INDEX(単元08!$G$5:$G$164,$C29)&amp;"")</f>
        <v/>
      </c>
      <c r="AN29" s="61" t="str">
        <f aca="false">IF($C29="","",INDEX(単元08!$H$5:$H$164,$C29)&amp;"")</f>
        <v/>
      </c>
      <c r="AO29" s="61" t="str">
        <f aca="false">IF($C29="","",INDEX(単元09!$F$5:$F$164,$C29)&amp;"")</f>
        <v/>
      </c>
      <c r="AP29" s="61" t="str">
        <f aca="false">IF($C29="","",INDEX(単元09!$G$5:$G$164,$C29)&amp;"")</f>
        <v/>
      </c>
      <c r="AQ29" s="61" t="str">
        <f aca="false">IF($C29="","",INDEX(単元09!$H$5:$H$164,$C29)&amp;"")</f>
        <v/>
      </c>
      <c r="AR29" s="61" t="str">
        <f aca="false">IF($C29="","",INDEX(単元10!$F$5:$F$164,$C29)&amp;"")</f>
        <v/>
      </c>
      <c r="AS29" s="61" t="str">
        <f aca="false">IF($C29="","",INDEX(単元10!$G$5:$G$164,$C29)&amp;"")</f>
        <v/>
      </c>
      <c r="AT29" s="61" t="str">
        <f aca="false">IF($C29="","",INDEX(単元10!$H$5:$H$164,$C29)&amp;"")</f>
        <v/>
      </c>
      <c r="AU29" s="61" t="str">
        <f aca="false">IF($C29="","",INDEX(単元11!$F$5:$F$164,$C29)&amp;"")</f>
        <v/>
      </c>
      <c r="AV29" s="61" t="str">
        <f aca="false">IF($C29="","",INDEX(単元11!$G$5:$G$164,$C29)&amp;"")</f>
        <v/>
      </c>
      <c r="AW29" s="61" t="str">
        <f aca="false">IF($C29="","",INDEX(単元11!$H$5:$H$164,$C29)&amp;"")</f>
        <v/>
      </c>
      <c r="AX29" s="61" t="str">
        <f aca="false">IF($C29="","",INDEX(単元12!$F$5:$F$164,$C29)&amp;"")</f>
        <v/>
      </c>
      <c r="AY29" s="61" t="str">
        <f aca="false">IF($C29="","",INDEX(単元12!$G$5:$G$164,$C29)&amp;"")</f>
        <v/>
      </c>
      <c r="AZ29" s="61" t="str">
        <f aca="false">IF($C29="","",INDEX(単元12!$H$5:$H$164,$C29)&amp;"")</f>
        <v/>
      </c>
      <c r="BA29" s="61" t="str">
        <f aca="false">IF($C29="","",INDEX(単元13!$F$5:$F$164,$C29)&amp;"")</f>
        <v/>
      </c>
      <c r="BB29" s="61" t="str">
        <f aca="false">IF($C29="","",INDEX(単元13!$G$5:$G$164,$C29)&amp;"")</f>
        <v/>
      </c>
      <c r="BC29" s="61" t="str">
        <f aca="false">IF($C29="","",INDEX(単元13!$H$5:$H$164,$C29)&amp;"")</f>
        <v/>
      </c>
      <c r="BD29" s="61" t="str">
        <f aca="false">IF($C29="","",INDEX(単元14!$F$5:$F$164,$C29)&amp;"")</f>
        <v/>
      </c>
      <c r="BE29" s="61" t="str">
        <f aca="false">IF($C29="","",INDEX(単元14!$G$5:$G$164,$C29)&amp;"")</f>
        <v/>
      </c>
      <c r="BF29" s="61" t="str">
        <f aca="false">IF($C29="","",INDEX(単元14!$H$5:$H$164,$C29)&amp;"")</f>
        <v/>
      </c>
      <c r="BG29" s="61" t="str">
        <f aca="false">IF($C29="","",INDEX(単元15!$F$5:$F$164,$C29)&amp;"")</f>
        <v/>
      </c>
      <c r="BH29" s="61" t="str">
        <f aca="false">IF($C29="","",INDEX(単元15!$G$5:$G$164,$C29)&amp;"")</f>
        <v/>
      </c>
      <c r="BI29" s="61" t="str">
        <f aca="false">IF($C29="","",INDEX(単元15!$H$5:$H$164,$C29)&amp;"")</f>
        <v/>
      </c>
      <c r="BJ29" s="61" t="str">
        <f aca="false">IF($C29="","",INDEX(単元16!$F$5:$F$164,$C29)&amp;"")</f>
        <v/>
      </c>
      <c r="BK29" s="61" t="str">
        <f aca="false">IF($C29="","",INDEX(単元16!$G$5:$G$164,$C29)&amp;"")</f>
        <v/>
      </c>
      <c r="BL29" s="61" t="str">
        <f aca="false">IF($C29="","",INDEX(単元16!$H$5:$H$164,$C29)&amp;"")</f>
        <v/>
      </c>
      <c r="BM29" s="61" t="str">
        <f aca="false">IF($C29="","",INDEX(単元17!$F$5:$F$164,$C29)&amp;"")</f>
        <v/>
      </c>
      <c r="BN29" s="61" t="str">
        <f aca="false">IF($C29="","",INDEX(単元17!$G$5:$G$164,$C29)&amp;"")</f>
        <v/>
      </c>
      <c r="BO29" s="61" t="str">
        <f aca="false">IF($C29="","",INDEX(単元17!$H$5:$H$164,$C29)&amp;"")</f>
        <v/>
      </c>
      <c r="BP29" s="61" t="str">
        <f aca="false">IF($C29="","",INDEX(単元18!$F$5:$F$164,$C29)&amp;"")</f>
        <v/>
      </c>
      <c r="BQ29" s="61" t="str">
        <f aca="false">IF($C29="","",INDEX(単元18!$G$5:$G$164,$C29)&amp;"")</f>
        <v/>
      </c>
      <c r="BR29" s="61" t="str">
        <f aca="false">IF($C29="","",INDEX(単元18!$H$5:$H$164,$C29)&amp;"")</f>
        <v/>
      </c>
      <c r="BS29" s="61" t="str">
        <f aca="false">IF($C29="","",INDEX(単元19!$F$5:$F$164,$C29)&amp;"")</f>
        <v/>
      </c>
      <c r="BT29" s="61" t="str">
        <f aca="false">IF($C29="","",INDEX(単元19!$G$5:$G$164,$C29)&amp;"")</f>
        <v/>
      </c>
      <c r="BU29" s="61" t="str">
        <f aca="false">IF($C29="","",INDEX(単元19!$H$5:$H$164,$C29)&amp;"")</f>
        <v/>
      </c>
      <c r="BV29" s="61" t="str">
        <f aca="false">IF($C29="","",INDEX(単元20!$F$5:$F$164,$C29)&amp;"")</f>
        <v/>
      </c>
      <c r="BW29" s="61" t="str">
        <f aca="false">IF($C29="","",INDEX(単元20!$G$5:$G$164,$C29)&amp;"")</f>
        <v/>
      </c>
      <c r="BX29" s="61" t="str">
        <f aca="false">IF($C29="","",INDEX(単元20!$H$5:$H$164,$C29)&amp;"")</f>
        <v/>
      </c>
    </row>
    <row r="30" customFormat="false" ht="19.5" hidden="false" customHeight="true" outlineLevel="0" collapsed="false">
      <c r="A30" s="91" t="str">
        <f aca="false">IF($C30="","",INDEX(名簿!$C$5:$C$164,$C30))</f>
        <v/>
      </c>
      <c r="B30" s="59" t="str">
        <f aca="false">IF($C30="","",INDEX(名簿!$D$5:$D$164,$C30)&amp;IF(INDEX(名簿!$F$5:$F$164,$C30)="転出","（転出）",""))</f>
        <v/>
      </c>
      <c r="C30" s="41" t="str">
        <f aca="false">IFERROR(MATCH($B$2&amp;"|"&amp;24,名簿!$G$5:$G$164,0),"")</f>
        <v/>
      </c>
      <c r="D30" s="60" t="str">
        <f aca="false">IF($C30="","",SUMPRODUCT(($Q30:$BX30=D$6)*($Q$6:$BX$6=D$3)*((($F$2&amp;"")="通年")+($Q$3:$BX$3=($F$2&amp;""))&gt;0)))</f>
        <v/>
      </c>
      <c r="E30" s="60" t="str">
        <f aca="false">IF($C30="","",SUMPRODUCT(($Q30:$BX30=E$6)*($Q$6:$BX$6=E$3)*((($F$2&amp;"")="通年")+($Q$3:$BX$3=($F$2&amp;""))&gt;0)))</f>
        <v/>
      </c>
      <c r="F30" s="60" t="str">
        <f aca="false">IF($C30="","",SUMPRODUCT(($Q30:$BX30=F$6)*($Q$6:$BX$6=F$3)*((($F$2&amp;"")="通年")+($Q$3:$BX$3=($F$2&amp;""))&gt;0)))</f>
        <v/>
      </c>
      <c r="G30" s="60" t="str">
        <f aca="false">IF($C30="","",SUMPRODUCT(($Q30:$BX30=G$6)*($Q$6:$BX$6=G$3)*((($F$2&amp;"")="通年")+($Q$3:$BX$3=($F$2&amp;""))&gt;0)))</f>
        <v/>
      </c>
      <c r="H30" s="60" t="str">
        <f aca="false">IF($C30="","",SUMPRODUCT(($Q30:$BX30=H$6)*($Q$6:$BX$6=H$3)*((($F$2&amp;"")="通年")+($Q$3:$BX$3=($F$2&amp;""))&gt;0)))</f>
        <v/>
      </c>
      <c r="I30" s="60" t="str">
        <f aca="false">IF($C30="","",SUMPRODUCT(($Q30:$BX30=I$6)*($Q$6:$BX$6=I$3)*((($F$2&amp;"")="通年")+($Q$3:$BX$3=($F$2&amp;""))&gt;0)))</f>
        <v/>
      </c>
      <c r="J30" s="60" t="str">
        <f aca="false">IF($C30="","",SUMPRODUCT(($Q30:$BX30=J$6)*($Q$6:$BX$6=J$3)*((($F$2&amp;"")="通年")+($Q$3:$BX$3=($F$2&amp;""))&gt;0)))</f>
        <v/>
      </c>
      <c r="K30" s="60" t="str">
        <f aca="false">IF($C30="","",SUMPRODUCT(($Q30:$BX30=K$6)*($Q$6:$BX$6=K$3)*((($F$2&amp;"")="通年")+($Q$3:$BX$3=($F$2&amp;""))&gt;0)))</f>
        <v/>
      </c>
      <c r="L30" s="60" t="str">
        <f aca="false">IF($C30="","",SUMPRODUCT(($Q30:$BX30=L$6)*($Q$6:$BX$6=L$3)*((($F$2&amp;"")="通年")+($Q$3:$BX$3=($F$2&amp;""))&gt;0)))</f>
        <v/>
      </c>
      <c r="M30" s="62" t="str">
        <f aca="false">IF($C30="","",IF(SUM(D30:F30)=0,"",IF(D30/SUM(D30:F30)&gt;=設定!$I$17,設定!$G$8,IF(F30/SUM(D30:F30)&gt;=設定!$I$18,設定!$G$10,設定!$G$9))))</f>
        <v/>
      </c>
      <c r="N30" s="62" t="str">
        <f aca="false">IF($C30="","",IF(SUM(G30:I30)=0,"",IF(G30/SUM(G30:I30)&gt;=設定!$I$17,設定!$G$8,IF(I30/SUM(G30:I30)&gt;=設定!$I$18,設定!$G$10,設定!$G$9))))</f>
        <v/>
      </c>
      <c r="O30" s="62" t="str">
        <f aca="false">IF($C30="","",IF(SUM(J30:L30)=0,"",IF(J30/SUM(J30:L30)&gt;=設定!$I$17,設定!$G$8,IF(L30/SUM(J30:L30)&gt;=設定!$I$18,設定!$G$10,設定!$G$9))))</f>
        <v/>
      </c>
      <c r="P30" s="13"/>
      <c r="Q30" s="61" t="str">
        <f aca="false">IF($C30="","",INDEX(単元01!$F$5:$F$164,$C30)&amp;"")</f>
        <v/>
      </c>
      <c r="R30" s="61" t="str">
        <f aca="false">IF($C30="","",INDEX(単元01!$G$5:$G$164,$C30)&amp;"")</f>
        <v/>
      </c>
      <c r="S30" s="61" t="str">
        <f aca="false">IF($C30="","",INDEX(単元01!$H$5:$H$164,$C30)&amp;"")</f>
        <v/>
      </c>
      <c r="T30" s="61" t="str">
        <f aca="false">IF($C30="","",INDEX(単元02!$F$5:$F$164,$C30)&amp;"")</f>
        <v/>
      </c>
      <c r="U30" s="61" t="str">
        <f aca="false">IF($C30="","",INDEX(単元02!$G$5:$G$164,$C30)&amp;"")</f>
        <v/>
      </c>
      <c r="V30" s="61" t="str">
        <f aca="false">IF($C30="","",INDEX(単元02!$H$5:$H$164,$C30)&amp;"")</f>
        <v/>
      </c>
      <c r="W30" s="61" t="str">
        <f aca="false">IF($C30="","",INDEX(単元03!$F$5:$F$164,$C30)&amp;"")</f>
        <v/>
      </c>
      <c r="X30" s="61" t="str">
        <f aca="false">IF($C30="","",INDEX(単元03!$G$5:$G$164,$C30)&amp;"")</f>
        <v/>
      </c>
      <c r="Y30" s="61" t="str">
        <f aca="false">IF($C30="","",INDEX(単元03!$H$5:$H$164,$C30)&amp;"")</f>
        <v/>
      </c>
      <c r="Z30" s="61" t="str">
        <f aca="false">IF($C30="","",INDEX(単元04!$F$5:$F$164,$C30)&amp;"")</f>
        <v/>
      </c>
      <c r="AA30" s="61" t="str">
        <f aca="false">IF($C30="","",INDEX(単元04!$G$5:$G$164,$C30)&amp;"")</f>
        <v/>
      </c>
      <c r="AB30" s="61" t="str">
        <f aca="false">IF($C30="","",INDEX(単元04!$H$5:$H$164,$C30)&amp;"")</f>
        <v/>
      </c>
      <c r="AC30" s="61" t="str">
        <f aca="false">IF($C30="","",INDEX(単元05!$F$5:$F$164,$C30)&amp;"")</f>
        <v/>
      </c>
      <c r="AD30" s="61" t="str">
        <f aca="false">IF($C30="","",INDEX(単元05!$G$5:$G$164,$C30)&amp;"")</f>
        <v/>
      </c>
      <c r="AE30" s="61" t="str">
        <f aca="false">IF($C30="","",INDEX(単元05!$H$5:$H$164,$C30)&amp;"")</f>
        <v/>
      </c>
      <c r="AF30" s="61" t="str">
        <f aca="false">IF($C30="","",INDEX(単元06!$F$5:$F$164,$C30)&amp;"")</f>
        <v/>
      </c>
      <c r="AG30" s="61" t="str">
        <f aca="false">IF($C30="","",INDEX(単元06!$G$5:$G$164,$C30)&amp;"")</f>
        <v/>
      </c>
      <c r="AH30" s="61" t="str">
        <f aca="false">IF($C30="","",INDEX(単元06!$H$5:$H$164,$C30)&amp;"")</f>
        <v/>
      </c>
      <c r="AI30" s="61" t="str">
        <f aca="false">IF($C30="","",INDEX(単元07!$F$5:$F$164,$C30)&amp;"")</f>
        <v/>
      </c>
      <c r="AJ30" s="61" t="str">
        <f aca="false">IF($C30="","",INDEX(単元07!$G$5:$G$164,$C30)&amp;"")</f>
        <v/>
      </c>
      <c r="AK30" s="61" t="str">
        <f aca="false">IF($C30="","",INDEX(単元07!$H$5:$H$164,$C30)&amp;"")</f>
        <v/>
      </c>
      <c r="AL30" s="61" t="str">
        <f aca="false">IF($C30="","",INDEX(単元08!$F$5:$F$164,$C30)&amp;"")</f>
        <v/>
      </c>
      <c r="AM30" s="61" t="str">
        <f aca="false">IF($C30="","",INDEX(単元08!$G$5:$G$164,$C30)&amp;"")</f>
        <v/>
      </c>
      <c r="AN30" s="61" t="str">
        <f aca="false">IF($C30="","",INDEX(単元08!$H$5:$H$164,$C30)&amp;"")</f>
        <v/>
      </c>
      <c r="AO30" s="61" t="str">
        <f aca="false">IF($C30="","",INDEX(単元09!$F$5:$F$164,$C30)&amp;"")</f>
        <v/>
      </c>
      <c r="AP30" s="61" t="str">
        <f aca="false">IF($C30="","",INDEX(単元09!$G$5:$G$164,$C30)&amp;"")</f>
        <v/>
      </c>
      <c r="AQ30" s="61" t="str">
        <f aca="false">IF($C30="","",INDEX(単元09!$H$5:$H$164,$C30)&amp;"")</f>
        <v/>
      </c>
      <c r="AR30" s="61" t="str">
        <f aca="false">IF($C30="","",INDEX(単元10!$F$5:$F$164,$C30)&amp;"")</f>
        <v/>
      </c>
      <c r="AS30" s="61" t="str">
        <f aca="false">IF($C30="","",INDEX(単元10!$G$5:$G$164,$C30)&amp;"")</f>
        <v/>
      </c>
      <c r="AT30" s="61" t="str">
        <f aca="false">IF($C30="","",INDEX(単元10!$H$5:$H$164,$C30)&amp;"")</f>
        <v/>
      </c>
      <c r="AU30" s="61" t="str">
        <f aca="false">IF($C30="","",INDEX(単元11!$F$5:$F$164,$C30)&amp;"")</f>
        <v/>
      </c>
      <c r="AV30" s="61" t="str">
        <f aca="false">IF($C30="","",INDEX(単元11!$G$5:$G$164,$C30)&amp;"")</f>
        <v/>
      </c>
      <c r="AW30" s="61" t="str">
        <f aca="false">IF($C30="","",INDEX(単元11!$H$5:$H$164,$C30)&amp;"")</f>
        <v/>
      </c>
      <c r="AX30" s="61" t="str">
        <f aca="false">IF($C30="","",INDEX(単元12!$F$5:$F$164,$C30)&amp;"")</f>
        <v/>
      </c>
      <c r="AY30" s="61" t="str">
        <f aca="false">IF($C30="","",INDEX(単元12!$G$5:$G$164,$C30)&amp;"")</f>
        <v/>
      </c>
      <c r="AZ30" s="61" t="str">
        <f aca="false">IF($C30="","",INDEX(単元12!$H$5:$H$164,$C30)&amp;"")</f>
        <v/>
      </c>
      <c r="BA30" s="61" t="str">
        <f aca="false">IF($C30="","",INDEX(単元13!$F$5:$F$164,$C30)&amp;"")</f>
        <v/>
      </c>
      <c r="BB30" s="61" t="str">
        <f aca="false">IF($C30="","",INDEX(単元13!$G$5:$G$164,$C30)&amp;"")</f>
        <v/>
      </c>
      <c r="BC30" s="61" t="str">
        <f aca="false">IF($C30="","",INDEX(単元13!$H$5:$H$164,$C30)&amp;"")</f>
        <v/>
      </c>
      <c r="BD30" s="61" t="str">
        <f aca="false">IF($C30="","",INDEX(単元14!$F$5:$F$164,$C30)&amp;"")</f>
        <v/>
      </c>
      <c r="BE30" s="61" t="str">
        <f aca="false">IF($C30="","",INDEX(単元14!$G$5:$G$164,$C30)&amp;"")</f>
        <v/>
      </c>
      <c r="BF30" s="61" t="str">
        <f aca="false">IF($C30="","",INDEX(単元14!$H$5:$H$164,$C30)&amp;"")</f>
        <v/>
      </c>
      <c r="BG30" s="61" t="str">
        <f aca="false">IF($C30="","",INDEX(単元15!$F$5:$F$164,$C30)&amp;"")</f>
        <v/>
      </c>
      <c r="BH30" s="61" t="str">
        <f aca="false">IF($C30="","",INDEX(単元15!$G$5:$G$164,$C30)&amp;"")</f>
        <v/>
      </c>
      <c r="BI30" s="61" t="str">
        <f aca="false">IF($C30="","",INDEX(単元15!$H$5:$H$164,$C30)&amp;"")</f>
        <v/>
      </c>
      <c r="BJ30" s="61" t="str">
        <f aca="false">IF($C30="","",INDEX(単元16!$F$5:$F$164,$C30)&amp;"")</f>
        <v/>
      </c>
      <c r="BK30" s="61" t="str">
        <f aca="false">IF($C30="","",INDEX(単元16!$G$5:$G$164,$C30)&amp;"")</f>
        <v/>
      </c>
      <c r="BL30" s="61" t="str">
        <f aca="false">IF($C30="","",INDEX(単元16!$H$5:$H$164,$C30)&amp;"")</f>
        <v/>
      </c>
      <c r="BM30" s="61" t="str">
        <f aca="false">IF($C30="","",INDEX(単元17!$F$5:$F$164,$C30)&amp;"")</f>
        <v/>
      </c>
      <c r="BN30" s="61" t="str">
        <f aca="false">IF($C30="","",INDEX(単元17!$G$5:$G$164,$C30)&amp;"")</f>
        <v/>
      </c>
      <c r="BO30" s="61" t="str">
        <f aca="false">IF($C30="","",INDEX(単元17!$H$5:$H$164,$C30)&amp;"")</f>
        <v/>
      </c>
      <c r="BP30" s="61" t="str">
        <f aca="false">IF($C30="","",INDEX(単元18!$F$5:$F$164,$C30)&amp;"")</f>
        <v/>
      </c>
      <c r="BQ30" s="61" t="str">
        <f aca="false">IF($C30="","",INDEX(単元18!$G$5:$G$164,$C30)&amp;"")</f>
        <v/>
      </c>
      <c r="BR30" s="61" t="str">
        <f aca="false">IF($C30="","",INDEX(単元18!$H$5:$H$164,$C30)&amp;"")</f>
        <v/>
      </c>
      <c r="BS30" s="61" t="str">
        <f aca="false">IF($C30="","",INDEX(単元19!$F$5:$F$164,$C30)&amp;"")</f>
        <v/>
      </c>
      <c r="BT30" s="61" t="str">
        <f aca="false">IF($C30="","",INDEX(単元19!$G$5:$G$164,$C30)&amp;"")</f>
        <v/>
      </c>
      <c r="BU30" s="61" t="str">
        <f aca="false">IF($C30="","",INDEX(単元19!$H$5:$H$164,$C30)&amp;"")</f>
        <v/>
      </c>
      <c r="BV30" s="61" t="str">
        <f aca="false">IF($C30="","",INDEX(単元20!$F$5:$F$164,$C30)&amp;"")</f>
        <v/>
      </c>
      <c r="BW30" s="61" t="str">
        <f aca="false">IF($C30="","",INDEX(単元20!$G$5:$G$164,$C30)&amp;"")</f>
        <v/>
      </c>
      <c r="BX30" s="61" t="str">
        <f aca="false">IF($C30="","",INDEX(単元20!$H$5:$H$164,$C30)&amp;"")</f>
        <v/>
      </c>
    </row>
    <row r="31" customFormat="false" ht="19.5" hidden="false" customHeight="true" outlineLevel="0" collapsed="false">
      <c r="A31" s="91" t="str">
        <f aca="false">IF($C31="","",INDEX(名簿!$C$5:$C$164,$C31))</f>
        <v/>
      </c>
      <c r="B31" s="59" t="str">
        <f aca="false">IF($C31="","",INDEX(名簿!$D$5:$D$164,$C31)&amp;IF(INDEX(名簿!$F$5:$F$164,$C31)="転出","（転出）",""))</f>
        <v/>
      </c>
      <c r="C31" s="41" t="str">
        <f aca="false">IFERROR(MATCH($B$2&amp;"|"&amp;25,名簿!$G$5:$G$164,0),"")</f>
        <v/>
      </c>
      <c r="D31" s="60" t="str">
        <f aca="false">IF($C31="","",SUMPRODUCT(($Q31:$BX31=D$6)*($Q$6:$BX$6=D$3)*((($F$2&amp;"")="通年")+($Q$3:$BX$3=($F$2&amp;""))&gt;0)))</f>
        <v/>
      </c>
      <c r="E31" s="60" t="str">
        <f aca="false">IF($C31="","",SUMPRODUCT(($Q31:$BX31=E$6)*($Q$6:$BX$6=E$3)*((($F$2&amp;"")="通年")+($Q$3:$BX$3=($F$2&amp;""))&gt;0)))</f>
        <v/>
      </c>
      <c r="F31" s="60" t="str">
        <f aca="false">IF($C31="","",SUMPRODUCT(($Q31:$BX31=F$6)*($Q$6:$BX$6=F$3)*((($F$2&amp;"")="通年")+($Q$3:$BX$3=($F$2&amp;""))&gt;0)))</f>
        <v/>
      </c>
      <c r="G31" s="60" t="str">
        <f aca="false">IF($C31="","",SUMPRODUCT(($Q31:$BX31=G$6)*($Q$6:$BX$6=G$3)*((($F$2&amp;"")="通年")+($Q$3:$BX$3=($F$2&amp;""))&gt;0)))</f>
        <v/>
      </c>
      <c r="H31" s="60" t="str">
        <f aca="false">IF($C31="","",SUMPRODUCT(($Q31:$BX31=H$6)*($Q$6:$BX$6=H$3)*((($F$2&amp;"")="通年")+($Q$3:$BX$3=($F$2&amp;""))&gt;0)))</f>
        <v/>
      </c>
      <c r="I31" s="60" t="str">
        <f aca="false">IF($C31="","",SUMPRODUCT(($Q31:$BX31=I$6)*($Q$6:$BX$6=I$3)*((($F$2&amp;"")="通年")+($Q$3:$BX$3=($F$2&amp;""))&gt;0)))</f>
        <v/>
      </c>
      <c r="J31" s="60" t="str">
        <f aca="false">IF($C31="","",SUMPRODUCT(($Q31:$BX31=J$6)*($Q$6:$BX$6=J$3)*((($F$2&amp;"")="通年")+($Q$3:$BX$3=($F$2&amp;""))&gt;0)))</f>
        <v/>
      </c>
      <c r="K31" s="60" t="str">
        <f aca="false">IF($C31="","",SUMPRODUCT(($Q31:$BX31=K$6)*($Q$6:$BX$6=K$3)*((($F$2&amp;"")="通年")+($Q$3:$BX$3=($F$2&amp;""))&gt;0)))</f>
        <v/>
      </c>
      <c r="L31" s="60" t="str">
        <f aca="false">IF($C31="","",SUMPRODUCT(($Q31:$BX31=L$6)*($Q$6:$BX$6=L$3)*((($F$2&amp;"")="通年")+($Q$3:$BX$3=($F$2&amp;""))&gt;0)))</f>
        <v/>
      </c>
      <c r="M31" s="62" t="str">
        <f aca="false">IF($C31="","",IF(SUM(D31:F31)=0,"",IF(D31/SUM(D31:F31)&gt;=設定!$I$17,設定!$G$8,IF(F31/SUM(D31:F31)&gt;=設定!$I$18,設定!$G$10,設定!$G$9))))</f>
        <v/>
      </c>
      <c r="N31" s="62" t="str">
        <f aca="false">IF($C31="","",IF(SUM(G31:I31)=0,"",IF(G31/SUM(G31:I31)&gt;=設定!$I$17,設定!$G$8,IF(I31/SUM(G31:I31)&gt;=設定!$I$18,設定!$G$10,設定!$G$9))))</f>
        <v/>
      </c>
      <c r="O31" s="62" t="str">
        <f aca="false">IF($C31="","",IF(SUM(J31:L31)=0,"",IF(J31/SUM(J31:L31)&gt;=設定!$I$17,設定!$G$8,IF(L31/SUM(J31:L31)&gt;=設定!$I$18,設定!$G$10,設定!$G$9))))</f>
        <v/>
      </c>
      <c r="P31" s="13"/>
      <c r="Q31" s="61" t="str">
        <f aca="false">IF($C31="","",INDEX(単元01!$F$5:$F$164,$C31)&amp;"")</f>
        <v/>
      </c>
      <c r="R31" s="61" t="str">
        <f aca="false">IF($C31="","",INDEX(単元01!$G$5:$G$164,$C31)&amp;"")</f>
        <v/>
      </c>
      <c r="S31" s="61" t="str">
        <f aca="false">IF($C31="","",INDEX(単元01!$H$5:$H$164,$C31)&amp;"")</f>
        <v/>
      </c>
      <c r="T31" s="61" t="str">
        <f aca="false">IF($C31="","",INDEX(単元02!$F$5:$F$164,$C31)&amp;"")</f>
        <v/>
      </c>
      <c r="U31" s="61" t="str">
        <f aca="false">IF($C31="","",INDEX(単元02!$G$5:$G$164,$C31)&amp;"")</f>
        <v/>
      </c>
      <c r="V31" s="61" t="str">
        <f aca="false">IF($C31="","",INDEX(単元02!$H$5:$H$164,$C31)&amp;"")</f>
        <v/>
      </c>
      <c r="W31" s="61" t="str">
        <f aca="false">IF($C31="","",INDEX(単元03!$F$5:$F$164,$C31)&amp;"")</f>
        <v/>
      </c>
      <c r="X31" s="61" t="str">
        <f aca="false">IF($C31="","",INDEX(単元03!$G$5:$G$164,$C31)&amp;"")</f>
        <v/>
      </c>
      <c r="Y31" s="61" t="str">
        <f aca="false">IF($C31="","",INDEX(単元03!$H$5:$H$164,$C31)&amp;"")</f>
        <v/>
      </c>
      <c r="Z31" s="61" t="str">
        <f aca="false">IF($C31="","",INDEX(単元04!$F$5:$F$164,$C31)&amp;"")</f>
        <v/>
      </c>
      <c r="AA31" s="61" t="str">
        <f aca="false">IF($C31="","",INDEX(単元04!$G$5:$G$164,$C31)&amp;"")</f>
        <v/>
      </c>
      <c r="AB31" s="61" t="str">
        <f aca="false">IF($C31="","",INDEX(単元04!$H$5:$H$164,$C31)&amp;"")</f>
        <v/>
      </c>
      <c r="AC31" s="61" t="str">
        <f aca="false">IF($C31="","",INDEX(単元05!$F$5:$F$164,$C31)&amp;"")</f>
        <v/>
      </c>
      <c r="AD31" s="61" t="str">
        <f aca="false">IF($C31="","",INDEX(単元05!$G$5:$G$164,$C31)&amp;"")</f>
        <v/>
      </c>
      <c r="AE31" s="61" t="str">
        <f aca="false">IF($C31="","",INDEX(単元05!$H$5:$H$164,$C31)&amp;"")</f>
        <v/>
      </c>
      <c r="AF31" s="61" t="str">
        <f aca="false">IF($C31="","",INDEX(単元06!$F$5:$F$164,$C31)&amp;"")</f>
        <v/>
      </c>
      <c r="AG31" s="61" t="str">
        <f aca="false">IF($C31="","",INDEX(単元06!$G$5:$G$164,$C31)&amp;"")</f>
        <v/>
      </c>
      <c r="AH31" s="61" t="str">
        <f aca="false">IF($C31="","",INDEX(単元06!$H$5:$H$164,$C31)&amp;"")</f>
        <v/>
      </c>
      <c r="AI31" s="61" t="str">
        <f aca="false">IF($C31="","",INDEX(単元07!$F$5:$F$164,$C31)&amp;"")</f>
        <v/>
      </c>
      <c r="AJ31" s="61" t="str">
        <f aca="false">IF($C31="","",INDEX(単元07!$G$5:$G$164,$C31)&amp;"")</f>
        <v/>
      </c>
      <c r="AK31" s="61" t="str">
        <f aca="false">IF($C31="","",INDEX(単元07!$H$5:$H$164,$C31)&amp;"")</f>
        <v/>
      </c>
      <c r="AL31" s="61" t="str">
        <f aca="false">IF($C31="","",INDEX(単元08!$F$5:$F$164,$C31)&amp;"")</f>
        <v/>
      </c>
      <c r="AM31" s="61" t="str">
        <f aca="false">IF($C31="","",INDEX(単元08!$G$5:$G$164,$C31)&amp;"")</f>
        <v/>
      </c>
      <c r="AN31" s="61" t="str">
        <f aca="false">IF($C31="","",INDEX(単元08!$H$5:$H$164,$C31)&amp;"")</f>
        <v/>
      </c>
      <c r="AO31" s="61" t="str">
        <f aca="false">IF($C31="","",INDEX(単元09!$F$5:$F$164,$C31)&amp;"")</f>
        <v/>
      </c>
      <c r="AP31" s="61" t="str">
        <f aca="false">IF($C31="","",INDEX(単元09!$G$5:$G$164,$C31)&amp;"")</f>
        <v/>
      </c>
      <c r="AQ31" s="61" t="str">
        <f aca="false">IF($C31="","",INDEX(単元09!$H$5:$H$164,$C31)&amp;"")</f>
        <v/>
      </c>
      <c r="AR31" s="61" t="str">
        <f aca="false">IF($C31="","",INDEX(単元10!$F$5:$F$164,$C31)&amp;"")</f>
        <v/>
      </c>
      <c r="AS31" s="61" t="str">
        <f aca="false">IF($C31="","",INDEX(単元10!$G$5:$G$164,$C31)&amp;"")</f>
        <v/>
      </c>
      <c r="AT31" s="61" t="str">
        <f aca="false">IF($C31="","",INDEX(単元10!$H$5:$H$164,$C31)&amp;"")</f>
        <v/>
      </c>
      <c r="AU31" s="61" t="str">
        <f aca="false">IF($C31="","",INDEX(単元11!$F$5:$F$164,$C31)&amp;"")</f>
        <v/>
      </c>
      <c r="AV31" s="61" t="str">
        <f aca="false">IF($C31="","",INDEX(単元11!$G$5:$G$164,$C31)&amp;"")</f>
        <v/>
      </c>
      <c r="AW31" s="61" t="str">
        <f aca="false">IF($C31="","",INDEX(単元11!$H$5:$H$164,$C31)&amp;"")</f>
        <v/>
      </c>
      <c r="AX31" s="61" t="str">
        <f aca="false">IF($C31="","",INDEX(単元12!$F$5:$F$164,$C31)&amp;"")</f>
        <v/>
      </c>
      <c r="AY31" s="61" t="str">
        <f aca="false">IF($C31="","",INDEX(単元12!$G$5:$G$164,$C31)&amp;"")</f>
        <v/>
      </c>
      <c r="AZ31" s="61" t="str">
        <f aca="false">IF($C31="","",INDEX(単元12!$H$5:$H$164,$C31)&amp;"")</f>
        <v/>
      </c>
      <c r="BA31" s="61" t="str">
        <f aca="false">IF($C31="","",INDEX(単元13!$F$5:$F$164,$C31)&amp;"")</f>
        <v/>
      </c>
      <c r="BB31" s="61" t="str">
        <f aca="false">IF($C31="","",INDEX(単元13!$G$5:$G$164,$C31)&amp;"")</f>
        <v/>
      </c>
      <c r="BC31" s="61" t="str">
        <f aca="false">IF($C31="","",INDEX(単元13!$H$5:$H$164,$C31)&amp;"")</f>
        <v/>
      </c>
      <c r="BD31" s="61" t="str">
        <f aca="false">IF($C31="","",INDEX(単元14!$F$5:$F$164,$C31)&amp;"")</f>
        <v/>
      </c>
      <c r="BE31" s="61" t="str">
        <f aca="false">IF($C31="","",INDEX(単元14!$G$5:$G$164,$C31)&amp;"")</f>
        <v/>
      </c>
      <c r="BF31" s="61" t="str">
        <f aca="false">IF($C31="","",INDEX(単元14!$H$5:$H$164,$C31)&amp;"")</f>
        <v/>
      </c>
      <c r="BG31" s="61" t="str">
        <f aca="false">IF($C31="","",INDEX(単元15!$F$5:$F$164,$C31)&amp;"")</f>
        <v/>
      </c>
      <c r="BH31" s="61" t="str">
        <f aca="false">IF($C31="","",INDEX(単元15!$G$5:$G$164,$C31)&amp;"")</f>
        <v/>
      </c>
      <c r="BI31" s="61" t="str">
        <f aca="false">IF($C31="","",INDEX(単元15!$H$5:$H$164,$C31)&amp;"")</f>
        <v/>
      </c>
      <c r="BJ31" s="61" t="str">
        <f aca="false">IF($C31="","",INDEX(単元16!$F$5:$F$164,$C31)&amp;"")</f>
        <v/>
      </c>
      <c r="BK31" s="61" t="str">
        <f aca="false">IF($C31="","",INDEX(単元16!$G$5:$G$164,$C31)&amp;"")</f>
        <v/>
      </c>
      <c r="BL31" s="61" t="str">
        <f aca="false">IF($C31="","",INDEX(単元16!$H$5:$H$164,$C31)&amp;"")</f>
        <v/>
      </c>
      <c r="BM31" s="61" t="str">
        <f aca="false">IF($C31="","",INDEX(単元17!$F$5:$F$164,$C31)&amp;"")</f>
        <v/>
      </c>
      <c r="BN31" s="61" t="str">
        <f aca="false">IF($C31="","",INDEX(単元17!$G$5:$G$164,$C31)&amp;"")</f>
        <v/>
      </c>
      <c r="BO31" s="61" t="str">
        <f aca="false">IF($C31="","",INDEX(単元17!$H$5:$H$164,$C31)&amp;"")</f>
        <v/>
      </c>
      <c r="BP31" s="61" t="str">
        <f aca="false">IF($C31="","",INDEX(単元18!$F$5:$F$164,$C31)&amp;"")</f>
        <v/>
      </c>
      <c r="BQ31" s="61" t="str">
        <f aca="false">IF($C31="","",INDEX(単元18!$G$5:$G$164,$C31)&amp;"")</f>
        <v/>
      </c>
      <c r="BR31" s="61" t="str">
        <f aca="false">IF($C31="","",INDEX(単元18!$H$5:$H$164,$C31)&amp;"")</f>
        <v/>
      </c>
      <c r="BS31" s="61" t="str">
        <f aca="false">IF($C31="","",INDEX(単元19!$F$5:$F$164,$C31)&amp;"")</f>
        <v/>
      </c>
      <c r="BT31" s="61" t="str">
        <f aca="false">IF($C31="","",INDEX(単元19!$G$5:$G$164,$C31)&amp;"")</f>
        <v/>
      </c>
      <c r="BU31" s="61" t="str">
        <f aca="false">IF($C31="","",INDEX(単元19!$H$5:$H$164,$C31)&amp;"")</f>
        <v/>
      </c>
      <c r="BV31" s="61" t="str">
        <f aca="false">IF($C31="","",INDEX(単元20!$F$5:$F$164,$C31)&amp;"")</f>
        <v/>
      </c>
      <c r="BW31" s="61" t="str">
        <f aca="false">IF($C31="","",INDEX(単元20!$G$5:$G$164,$C31)&amp;"")</f>
        <v/>
      </c>
      <c r="BX31" s="61" t="str">
        <f aca="false">IF($C31="","",INDEX(単元20!$H$5:$H$164,$C31)&amp;"")</f>
        <v/>
      </c>
    </row>
    <row r="32" customFormat="false" ht="19.5" hidden="false" customHeight="true" outlineLevel="0" collapsed="false">
      <c r="A32" s="91" t="str">
        <f aca="false">IF($C32="","",INDEX(名簿!$C$5:$C$164,$C32))</f>
        <v/>
      </c>
      <c r="B32" s="59" t="str">
        <f aca="false">IF($C32="","",INDEX(名簿!$D$5:$D$164,$C32)&amp;IF(INDEX(名簿!$F$5:$F$164,$C32)="転出","（転出）",""))</f>
        <v/>
      </c>
      <c r="C32" s="41" t="str">
        <f aca="false">IFERROR(MATCH($B$2&amp;"|"&amp;26,名簿!$G$5:$G$164,0),"")</f>
        <v/>
      </c>
      <c r="D32" s="60" t="str">
        <f aca="false">IF($C32="","",SUMPRODUCT(($Q32:$BX32=D$6)*($Q$6:$BX$6=D$3)*((($F$2&amp;"")="通年")+($Q$3:$BX$3=($F$2&amp;""))&gt;0)))</f>
        <v/>
      </c>
      <c r="E32" s="60" t="str">
        <f aca="false">IF($C32="","",SUMPRODUCT(($Q32:$BX32=E$6)*($Q$6:$BX$6=E$3)*((($F$2&amp;"")="通年")+($Q$3:$BX$3=($F$2&amp;""))&gt;0)))</f>
        <v/>
      </c>
      <c r="F32" s="60" t="str">
        <f aca="false">IF($C32="","",SUMPRODUCT(($Q32:$BX32=F$6)*($Q$6:$BX$6=F$3)*((($F$2&amp;"")="通年")+($Q$3:$BX$3=($F$2&amp;""))&gt;0)))</f>
        <v/>
      </c>
      <c r="G32" s="60" t="str">
        <f aca="false">IF($C32="","",SUMPRODUCT(($Q32:$BX32=G$6)*($Q$6:$BX$6=G$3)*((($F$2&amp;"")="通年")+($Q$3:$BX$3=($F$2&amp;""))&gt;0)))</f>
        <v/>
      </c>
      <c r="H32" s="60" t="str">
        <f aca="false">IF($C32="","",SUMPRODUCT(($Q32:$BX32=H$6)*($Q$6:$BX$6=H$3)*((($F$2&amp;"")="通年")+($Q$3:$BX$3=($F$2&amp;""))&gt;0)))</f>
        <v/>
      </c>
      <c r="I32" s="60" t="str">
        <f aca="false">IF($C32="","",SUMPRODUCT(($Q32:$BX32=I$6)*($Q$6:$BX$6=I$3)*((($F$2&amp;"")="通年")+($Q$3:$BX$3=($F$2&amp;""))&gt;0)))</f>
        <v/>
      </c>
      <c r="J32" s="60" t="str">
        <f aca="false">IF($C32="","",SUMPRODUCT(($Q32:$BX32=J$6)*($Q$6:$BX$6=J$3)*((($F$2&amp;"")="通年")+($Q$3:$BX$3=($F$2&amp;""))&gt;0)))</f>
        <v/>
      </c>
      <c r="K32" s="60" t="str">
        <f aca="false">IF($C32="","",SUMPRODUCT(($Q32:$BX32=K$6)*($Q$6:$BX$6=K$3)*((($F$2&amp;"")="通年")+($Q$3:$BX$3=($F$2&amp;""))&gt;0)))</f>
        <v/>
      </c>
      <c r="L32" s="60" t="str">
        <f aca="false">IF($C32="","",SUMPRODUCT(($Q32:$BX32=L$6)*($Q$6:$BX$6=L$3)*((($F$2&amp;"")="通年")+($Q$3:$BX$3=($F$2&amp;""))&gt;0)))</f>
        <v/>
      </c>
      <c r="M32" s="62" t="str">
        <f aca="false">IF($C32="","",IF(SUM(D32:F32)=0,"",IF(D32/SUM(D32:F32)&gt;=設定!$I$17,設定!$G$8,IF(F32/SUM(D32:F32)&gt;=設定!$I$18,設定!$G$10,設定!$G$9))))</f>
        <v/>
      </c>
      <c r="N32" s="62" t="str">
        <f aca="false">IF($C32="","",IF(SUM(G32:I32)=0,"",IF(G32/SUM(G32:I32)&gt;=設定!$I$17,設定!$G$8,IF(I32/SUM(G32:I32)&gt;=設定!$I$18,設定!$G$10,設定!$G$9))))</f>
        <v/>
      </c>
      <c r="O32" s="62" t="str">
        <f aca="false">IF($C32="","",IF(SUM(J32:L32)=0,"",IF(J32/SUM(J32:L32)&gt;=設定!$I$17,設定!$G$8,IF(L32/SUM(J32:L32)&gt;=設定!$I$18,設定!$G$10,設定!$G$9))))</f>
        <v/>
      </c>
      <c r="P32" s="13"/>
      <c r="Q32" s="61" t="str">
        <f aca="false">IF($C32="","",INDEX(単元01!$F$5:$F$164,$C32)&amp;"")</f>
        <v/>
      </c>
      <c r="R32" s="61" t="str">
        <f aca="false">IF($C32="","",INDEX(単元01!$G$5:$G$164,$C32)&amp;"")</f>
        <v/>
      </c>
      <c r="S32" s="61" t="str">
        <f aca="false">IF($C32="","",INDEX(単元01!$H$5:$H$164,$C32)&amp;"")</f>
        <v/>
      </c>
      <c r="T32" s="61" t="str">
        <f aca="false">IF($C32="","",INDEX(単元02!$F$5:$F$164,$C32)&amp;"")</f>
        <v/>
      </c>
      <c r="U32" s="61" t="str">
        <f aca="false">IF($C32="","",INDEX(単元02!$G$5:$G$164,$C32)&amp;"")</f>
        <v/>
      </c>
      <c r="V32" s="61" t="str">
        <f aca="false">IF($C32="","",INDEX(単元02!$H$5:$H$164,$C32)&amp;"")</f>
        <v/>
      </c>
      <c r="W32" s="61" t="str">
        <f aca="false">IF($C32="","",INDEX(単元03!$F$5:$F$164,$C32)&amp;"")</f>
        <v/>
      </c>
      <c r="X32" s="61" t="str">
        <f aca="false">IF($C32="","",INDEX(単元03!$G$5:$G$164,$C32)&amp;"")</f>
        <v/>
      </c>
      <c r="Y32" s="61" t="str">
        <f aca="false">IF($C32="","",INDEX(単元03!$H$5:$H$164,$C32)&amp;"")</f>
        <v/>
      </c>
      <c r="Z32" s="61" t="str">
        <f aca="false">IF($C32="","",INDEX(単元04!$F$5:$F$164,$C32)&amp;"")</f>
        <v/>
      </c>
      <c r="AA32" s="61" t="str">
        <f aca="false">IF($C32="","",INDEX(単元04!$G$5:$G$164,$C32)&amp;"")</f>
        <v/>
      </c>
      <c r="AB32" s="61" t="str">
        <f aca="false">IF($C32="","",INDEX(単元04!$H$5:$H$164,$C32)&amp;"")</f>
        <v/>
      </c>
      <c r="AC32" s="61" t="str">
        <f aca="false">IF($C32="","",INDEX(単元05!$F$5:$F$164,$C32)&amp;"")</f>
        <v/>
      </c>
      <c r="AD32" s="61" t="str">
        <f aca="false">IF($C32="","",INDEX(単元05!$G$5:$G$164,$C32)&amp;"")</f>
        <v/>
      </c>
      <c r="AE32" s="61" t="str">
        <f aca="false">IF($C32="","",INDEX(単元05!$H$5:$H$164,$C32)&amp;"")</f>
        <v/>
      </c>
      <c r="AF32" s="61" t="str">
        <f aca="false">IF($C32="","",INDEX(単元06!$F$5:$F$164,$C32)&amp;"")</f>
        <v/>
      </c>
      <c r="AG32" s="61" t="str">
        <f aca="false">IF($C32="","",INDEX(単元06!$G$5:$G$164,$C32)&amp;"")</f>
        <v/>
      </c>
      <c r="AH32" s="61" t="str">
        <f aca="false">IF($C32="","",INDEX(単元06!$H$5:$H$164,$C32)&amp;"")</f>
        <v/>
      </c>
      <c r="AI32" s="61" t="str">
        <f aca="false">IF($C32="","",INDEX(単元07!$F$5:$F$164,$C32)&amp;"")</f>
        <v/>
      </c>
      <c r="AJ32" s="61" t="str">
        <f aca="false">IF($C32="","",INDEX(単元07!$G$5:$G$164,$C32)&amp;"")</f>
        <v/>
      </c>
      <c r="AK32" s="61" t="str">
        <f aca="false">IF($C32="","",INDEX(単元07!$H$5:$H$164,$C32)&amp;"")</f>
        <v/>
      </c>
      <c r="AL32" s="61" t="str">
        <f aca="false">IF($C32="","",INDEX(単元08!$F$5:$F$164,$C32)&amp;"")</f>
        <v/>
      </c>
      <c r="AM32" s="61" t="str">
        <f aca="false">IF($C32="","",INDEX(単元08!$G$5:$G$164,$C32)&amp;"")</f>
        <v/>
      </c>
      <c r="AN32" s="61" t="str">
        <f aca="false">IF($C32="","",INDEX(単元08!$H$5:$H$164,$C32)&amp;"")</f>
        <v/>
      </c>
      <c r="AO32" s="61" t="str">
        <f aca="false">IF($C32="","",INDEX(単元09!$F$5:$F$164,$C32)&amp;"")</f>
        <v/>
      </c>
      <c r="AP32" s="61" t="str">
        <f aca="false">IF($C32="","",INDEX(単元09!$G$5:$G$164,$C32)&amp;"")</f>
        <v/>
      </c>
      <c r="AQ32" s="61" t="str">
        <f aca="false">IF($C32="","",INDEX(単元09!$H$5:$H$164,$C32)&amp;"")</f>
        <v/>
      </c>
      <c r="AR32" s="61" t="str">
        <f aca="false">IF($C32="","",INDEX(単元10!$F$5:$F$164,$C32)&amp;"")</f>
        <v/>
      </c>
      <c r="AS32" s="61" t="str">
        <f aca="false">IF($C32="","",INDEX(単元10!$G$5:$G$164,$C32)&amp;"")</f>
        <v/>
      </c>
      <c r="AT32" s="61" t="str">
        <f aca="false">IF($C32="","",INDEX(単元10!$H$5:$H$164,$C32)&amp;"")</f>
        <v/>
      </c>
      <c r="AU32" s="61" t="str">
        <f aca="false">IF($C32="","",INDEX(単元11!$F$5:$F$164,$C32)&amp;"")</f>
        <v/>
      </c>
      <c r="AV32" s="61" t="str">
        <f aca="false">IF($C32="","",INDEX(単元11!$G$5:$G$164,$C32)&amp;"")</f>
        <v/>
      </c>
      <c r="AW32" s="61" t="str">
        <f aca="false">IF($C32="","",INDEX(単元11!$H$5:$H$164,$C32)&amp;"")</f>
        <v/>
      </c>
      <c r="AX32" s="61" t="str">
        <f aca="false">IF($C32="","",INDEX(単元12!$F$5:$F$164,$C32)&amp;"")</f>
        <v/>
      </c>
      <c r="AY32" s="61" t="str">
        <f aca="false">IF($C32="","",INDEX(単元12!$G$5:$G$164,$C32)&amp;"")</f>
        <v/>
      </c>
      <c r="AZ32" s="61" t="str">
        <f aca="false">IF($C32="","",INDEX(単元12!$H$5:$H$164,$C32)&amp;"")</f>
        <v/>
      </c>
      <c r="BA32" s="61" t="str">
        <f aca="false">IF($C32="","",INDEX(単元13!$F$5:$F$164,$C32)&amp;"")</f>
        <v/>
      </c>
      <c r="BB32" s="61" t="str">
        <f aca="false">IF($C32="","",INDEX(単元13!$G$5:$G$164,$C32)&amp;"")</f>
        <v/>
      </c>
      <c r="BC32" s="61" t="str">
        <f aca="false">IF($C32="","",INDEX(単元13!$H$5:$H$164,$C32)&amp;"")</f>
        <v/>
      </c>
      <c r="BD32" s="61" t="str">
        <f aca="false">IF($C32="","",INDEX(単元14!$F$5:$F$164,$C32)&amp;"")</f>
        <v/>
      </c>
      <c r="BE32" s="61" t="str">
        <f aca="false">IF($C32="","",INDEX(単元14!$G$5:$G$164,$C32)&amp;"")</f>
        <v/>
      </c>
      <c r="BF32" s="61" t="str">
        <f aca="false">IF($C32="","",INDEX(単元14!$H$5:$H$164,$C32)&amp;"")</f>
        <v/>
      </c>
      <c r="BG32" s="61" t="str">
        <f aca="false">IF($C32="","",INDEX(単元15!$F$5:$F$164,$C32)&amp;"")</f>
        <v/>
      </c>
      <c r="BH32" s="61" t="str">
        <f aca="false">IF($C32="","",INDEX(単元15!$G$5:$G$164,$C32)&amp;"")</f>
        <v/>
      </c>
      <c r="BI32" s="61" t="str">
        <f aca="false">IF($C32="","",INDEX(単元15!$H$5:$H$164,$C32)&amp;"")</f>
        <v/>
      </c>
      <c r="BJ32" s="61" t="str">
        <f aca="false">IF($C32="","",INDEX(単元16!$F$5:$F$164,$C32)&amp;"")</f>
        <v/>
      </c>
      <c r="BK32" s="61" t="str">
        <f aca="false">IF($C32="","",INDEX(単元16!$G$5:$G$164,$C32)&amp;"")</f>
        <v/>
      </c>
      <c r="BL32" s="61" t="str">
        <f aca="false">IF($C32="","",INDEX(単元16!$H$5:$H$164,$C32)&amp;"")</f>
        <v/>
      </c>
      <c r="BM32" s="61" t="str">
        <f aca="false">IF($C32="","",INDEX(単元17!$F$5:$F$164,$C32)&amp;"")</f>
        <v/>
      </c>
      <c r="BN32" s="61" t="str">
        <f aca="false">IF($C32="","",INDEX(単元17!$G$5:$G$164,$C32)&amp;"")</f>
        <v/>
      </c>
      <c r="BO32" s="61" t="str">
        <f aca="false">IF($C32="","",INDEX(単元17!$H$5:$H$164,$C32)&amp;"")</f>
        <v/>
      </c>
      <c r="BP32" s="61" t="str">
        <f aca="false">IF($C32="","",INDEX(単元18!$F$5:$F$164,$C32)&amp;"")</f>
        <v/>
      </c>
      <c r="BQ32" s="61" t="str">
        <f aca="false">IF($C32="","",INDEX(単元18!$G$5:$G$164,$C32)&amp;"")</f>
        <v/>
      </c>
      <c r="BR32" s="61" t="str">
        <f aca="false">IF($C32="","",INDEX(単元18!$H$5:$H$164,$C32)&amp;"")</f>
        <v/>
      </c>
      <c r="BS32" s="61" t="str">
        <f aca="false">IF($C32="","",INDEX(単元19!$F$5:$F$164,$C32)&amp;"")</f>
        <v/>
      </c>
      <c r="BT32" s="61" t="str">
        <f aca="false">IF($C32="","",INDEX(単元19!$G$5:$G$164,$C32)&amp;"")</f>
        <v/>
      </c>
      <c r="BU32" s="61" t="str">
        <f aca="false">IF($C32="","",INDEX(単元19!$H$5:$H$164,$C32)&amp;"")</f>
        <v/>
      </c>
      <c r="BV32" s="61" t="str">
        <f aca="false">IF($C32="","",INDEX(単元20!$F$5:$F$164,$C32)&amp;"")</f>
        <v/>
      </c>
      <c r="BW32" s="61" t="str">
        <f aca="false">IF($C32="","",INDEX(単元20!$G$5:$G$164,$C32)&amp;"")</f>
        <v/>
      </c>
      <c r="BX32" s="61" t="str">
        <f aca="false">IF($C32="","",INDEX(単元20!$H$5:$H$164,$C32)&amp;"")</f>
        <v/>
      </c>
    </row>
    <row r="33" customFormat="false" ht="19.5" hidden="false" customHeight="true" outlineLevel="0" collapsed="false">
      <c r="A33" s="91" t="str">
        <f aca="false">IF($C33="","",INDEX(名簿!$C$5:$C$164,$C33))</f>
        <v/>
      </c>
      <c r="B33" s="59" t="str">
        <f aca="false">IF($C33="","",INDEX(名簿!$D$5:$D$164,$C33)&amp;IF(INDEX(名簿!$F$5:$F$164,$C33)="転出","（転出）",""))</f>
        <v/>
      </c>
      <c r="C33" s="41" t="str">
        <f aca="false">IFERROR(MATCH($B$2&amp;"|"&amp;27,名簿!$G$5:$G$164,0),"")</f>
        <v/>
      </c>
      <c r="D33" s="60" t="str">
        <f aca="false">IF($C33="","",SUMPRODUCT(($Q33:$BX33=D$6)*($Q$6:$BX$6=D$3)*((($F$2&amp;"")="通年")+($Q$3:$BX$3=($F$2&amp;""))&gt;0)))</f>
        <v/>
      </c>
      <c r="E33" s="60" t="str">
        <f aca="false">IF($C33="","",SUMPRODUCT(($Q33:$BX33=E$6)*($Q$6:$BX$6=E$3)*((($F$2&amp;"")="通年")+($Q$3:$BX$3=($F$2&amp;""))&gt;0)))</f>
        <v/>
      </c>
      <c r="F33" s="60" t="str">
        <f aca="false">IF($C33="","",SUMPRODUCT(($Q33:$BX33=F$6)*($Q$6:$BX$6=F$3)*((($F$2&amp;"")="通年")+($Q$3:$BX$3=($F$2&amp;""))&gt;0)))</f>
        <v/>
      </c>
      <c r="G33" s="60" t="str">
        <f aca="false">IF($C33="","",SUMPRODUCT(($Q33:$BX33=G$6)*($Q$6:$BX$6=G$3)*((($F$2&amp;"")="通年")+($Q$3:$BX$3=($F$2&amp;""))&gt;0)))</f>
        <v/>
      </c>
      <c r="H33" s="60" t="str">
        <f aca="false">IF($C33="","",SUMPRODUCT(($Q33:$BX33=H$6)*($Q$6:$BX$6=H$3)*((($F$2&amp;"")="通年")+($Q$3:$BX$3=($F$2&amp;""))&gt;0)))</f>
        <v/>
      </c>
      <c r="I33" s="60" t="str">
        <f aca="false">IF($C33="","",SUMPRODUCT(($Q33:$BX33=I$6)*($Q$6:$BX$6=I$3)*((($F$2&amp;"")="通年")+($Q$3:$BX$3=($F$2&amp;""))&gt;0)))</f>
        <v/>
      </c>
      <c r="J33" s="60" t="str">
        <f aca="false">IF($C33="","",SUMPRODUCT(($Q33:$BX33=J$6)*($Q$6:$BX$6=J$3)*((($F$2&amp;"")="通年")+($Q$3:$BX$3=($F$2&amp;""))&gt;0)))</f>
        <v/>
      </c>
      <c r="K33" s="60" t="str">
        <f aca="false">IF($C33="","",SUMPRODUCT(($Q33:$BX33=K$6)*($Q$6:$BX$6=K$3)*((($F$2&amp;"")="通年")+($Q$3:$BX$3=($F$2&amp;""))&gt;0)))</f>
        <v/>
      </c>
      <c r="L33" s="60" t="str">
        <f aca="false">IF($C33="","",SUMPRODUCT(($Q33:$BX33=L$6)*($Q$6:$BX$6=L$3)*((($F$2&amp;"")="通年")+($Q$3:$BX$3=($F$2&amp;""))&gt;0)))</f>
        <v/>
      </c>
      <c r="M33" s="62" t="str">
        <f aca="false">IF($C33="","",IF(SUM(D33:F33)=0,"",IF(D33/SUM(D33:F33)&gt;=設定!$I$17,設定!$G$8,IF(F33/SUM(D33:F33)&gt;=設定!$I$18,設定!$G$10,設定!$G$9))))</f>
        <v/>
      </c>
      <c r="N33" s="62" t="str">
        <f aca="false">IF($C33="","",IF(SUM(G33:I33)=0,"",IF(G33/SUM(G33:I33)&gt;=設定!$I$17,設定!$G$8,IF(I33/SUM(G33:I33)&gt;=設定!$I$18,設定!$G$10,設定!$G$9))))</f>
        <v/>
      </c>
      <c r="O33" s="62" t="str">
        <f aca="false">IF($C33="","",IF(SUM(J33:L33)=0,"",IF(J33/SUM(J33:L33)&gt;=設定!$I$17,設定!$G$8,IF(L33/SUM(J33:L33)&gt;=設定!$I$18,設定!$G$10,設定!$G$9))))</f>
        <v/>
      </c>
      <c r="P33" s="13"/>
      <c r="Q33" s="61" t="str">
        <f aca="false">IF($C33="","",INDEX(単元01!$F$5:$F$164,$C33)&amp;"")</f>
        <v/>
      </c>
      <c r="R33" s="61" t="str">
        <f aca="false">IF($C33="","",INDEX(単元01!$G$5:$G$164,$C33)&amp;"")</f>
        <v/>
      </c>
      <c r="S33" s="61" t="str">
        <f aca="false">IF($C33="","",INDEX(単元01!$H$5:$H$164,$C33)&amp;"")</f>
        <v/>
      </c>
      <c r="T33" s="61" t="str">
        <f aca="false">IF($C33="","",INDEX(単元02!$F$5:$F$164,$C33)&amp;"")</f>
        <v/>
      </c>
      <c r="U33" s="61" t="str">
        <f aca="false">IF($C33="","",INDEX(単元02!$G$5:$G$164,$C33)&amp;"")</f>
        <v/>
      </c>
      <c r="V33" s="61" t="str">
        <f aca="false">IF($C33="","",INDEX(単元02!$H$5:$H$164,$C33)&amp;"")</f>
        <v/>
      </c>
      <c r="W33" s="61" t="str">
        <f aca="false">IF($C33="","",INDEX(単元03!$F$5:$F$164,$C33)&amp;"")</f>
        <v/>
      </c>
      <c r="X33" s="61" t="str">
        <f aca="false">IF($C33="","",INDEX(単元03!$G$5:$G$164,$C33)&amp;"")</f>
        <v/>
      </c>
      <c r="Y33" s="61" t="str">
        <f aca="false">IF($C33="","",INDEX(単元03!$H$5:$H$164,$C33)&amp;"")</f>
        <v/>
      </c>
      <c r="Z33" s="61" t="str">
        <f aca="false">IF($C33="","",INDEX(単元04!$F$5:$F$164,$C33)&amp;"")</f>
        <v/>
      </c>
      <c r="AA33" s="61" t="str">
        <f aca="false">IF($C33="","",INDEX(単元04!$G$5:$G$164,$C33)&amp;"")</f>
        <v/>
      </c>
      <c r="AB33" s="61" t="str">
        <f aca="false">IF($C33="","",INDEX(単元04!$H$5:$H$164,$C33)&amp;"")</f>
        <v/>
      </c>
      <c r="AC33" s="61" t="str">
        <f aca="false">IF($C33="","",INDEX(単元05!$F$5:$F$164,$C33)&amp;"")</f>
        <v/>
      </c>
      <c r="AD33" s="61" t="str">
        <f aca="false">IF($C33="","",INDEX(単元05!$G$5:$G$164,$C33)&amp;"")</f>
        <v/>
      </c>
      <c r="AE33" s="61" t="str">
        <f aca="false">IF($C33="","",INDEX(単元05!$H$5:$H$164,$C33)&amp;"")</f>
        <v/>
      </c>
      <c r="AF33" s="61" t="str">
        <f aca="false">IF($C33="","",INDEX(単元06!$F$5:$F$164,$C33)&amp;"")</f>
        <v/>
      </c>
      <c r="AG33" s="61" t="str">
        <f aca="false">IF($C33="","",INDEX(単元06!$G$5:$G$164,$C33)&amp;"")</f>
        <v/>
      </c>
      <c r="AH33" s="61" t="str">
        <f aca="false">IF($C33="","",INDEX(単元06!$H$5:$H$164,$C33)&amp;"")</f>
        <v/>
      </c>
      <c r="AI33" s="61" t="str">
        <f aca="false">IF($C33="","",INDEX(単元07!$F$5:$F$164,$C33)&amp;"")</f>
        <v/>
      </c>
      <c r="AJ33" s="61" t="str">
        <f aca="false">IF($C33="","",INDEX(単元07!$G$5:$G$164,$C33)&amp;"")</f>
        <v/>
      </c>
      <c r="AK33" s="61" t="str">
        <f aca="false">IF($C33="","",INDEX(単元07!$H$5:$H$164,$C33)&amp;"")</f>
        <v/>
      </c>
      <c r="AL33" s="61" t="str">
        <f aca="false">IF($C33="","",INDEX(単元08!$F$5:$F$164,$C33)&amp;"")</f>
        <v/>
      </c>
      <c r="AM33" s="61" t="str">
        <f aca="false">IF($C33="","",INDEX(単元08!$G$5:$G$164,$C33)&amp;"")</f>
        <v/>
      </c>
      <c r="AN33" s="61" t="str">
        <f aca="false">IF($C33="","",INDEX(単元08!$H$5:$H$164,$C33)&amp;"")</f>
        <v/>
      </c>
      <c r="AO33" s="61" t="str">
        <f aca="false">IF($C33="","",INDEX(単元09!$F$5:$F$164,$C33)&amp;"")</f>
        <v/>
      </c>
      <c r="AP33" s="61" t="str">
        <f aca="false">IF($C33="","",INDEX(単元09!$G$5:$G$164,$C33)&amp;"")</f>
        <v/>
      </c>
      <c r="AQ33" s="61" t="str">
        <f aca="false">IF($C33="","",INDEX(単元09!$H$5:$H$164,$C33)&amp;"")</f>
        <v/>
      </c>
      <c r="AR33" s="61" t="str">
        <f aca="false">IF($C33="","",INDEX(単元10!$F$5:$F$164,$C33)&amp;"")</f>
        <v/>
      </c>
      <c r="AS33" s="61" t="str">
        <f aca="false">IF($C33="","",INDEX(単元10!$G$5:$G$164,$C33)&amp;"")</f>
        <v/>
      </c>
      <c r="AT33" s="61" t="str">
        <f aca="false">IF($C33="","",INDEX(単元10!$H$5:$H$164,$C33)&amp;"")</f>
        <v/>
      </c>
      <c r="AU33" s="61" t="str">
        <f aca="false">IF($C33="","",INDEX(単元11!$F$5:$F$164,$C33)&amp;"")</f>
        <v/>
      </c>
      <c r="AV33" s="61" t="str">
        <f aca="false">IF($C33="","",INDEX(単元11!$G$5:$G$164,$C33)&amp;"")</f>
        <v/>
      </c>
      <c r="AW33" s="61" t="str">
        <f aca="false">IF($C33="","",INDEX(単元11!$H$5:$H$164,$C33)&amp;"")</f>
        <v/>
      </c>
      <c r="AX33" s="61" t="str">
        <f aca="false">IF($C33="","",INDEX(単元12!$F$5:$F$164,$C33)&amp;"")</f>
        <v/>
      </c>
      <c r="AY33" s="61" t="str">
        <f aca="false">IF($C33="","",INDEX(単元12!$G$5:$G$164,$C33)&amp;"")</f>
        <v/>
      </c>
      <c r="AZ33" s="61" t="str">
        <f aca="false">IF($C33="","",INDEX(単元12!$H$5:$H$164,$C33)&amp;"")</f>
        <v/>
      </c>
      <c r="BA33" s="61" t="str">
        <f aca="false">IF($C33="","",INDEX(単元13!$F$5:$F$164,$C33)&amp;"")</f>
        <v/>
      </c>
      <c r="BB33" s="61" t="str">
        <f aca="false">IF($C33="","",INDEX(単元13!$G$5:$G$164,$C33)&amp;"")</f>
        <v/>
      </c>
      <c r="BC33" s="61" t="str">
        <f aca="false">IF($C33="","",INDEX(単元13!$H$5:$H$164,$C33)&amp;"")</f>
        <v/>
      </c>
      <c r="BD33" s="61" t="str">
        <f aca="false">IF($C33="","",INDEX(単元14!$F$5:$F$164,$C33)&amp;"")</f>
        <v/>
      </c>
      <c r="BE33" s="61" t="str">
        <f aca="false">IF($C33="","",INDEX(単元14!$G$5:$G$164,$C33)&amp;"")</f>
        <v/>
      </c>
      <c r="BF33" s="61" t="str">
        <f aca="false">IF($C33="","",INDEX(単元14!$H$5:$H$164,$C33)&amp;"")</f>
        <v/>
      </c>
      <c r="BG33" s="61" t="str">
        <f aca="false">IF($C33="","",INDEX(単元15!$F$5:$F$164,$C33)&amp;"")</f>
        <v/>
      </c>
      <c r="BH33" s="61" t="str">
        <f aca="false">IF($C33="","",INDEX(単元15!$G$5:$G$164,$C33)&amp;"")</f>
        <v/>
      </c>
      <c r="BI33" s="61" t="str">
        <f aca="false">IF($C33="","",INDEX(単元15!$H$5:$H$164,$C33)&amp;"")</f>
        <v/>
      </c>
      <c r="BJ33" s="61" t="str">
        <f aca="false">IF($C33="","",INDEX(単元16!$F$5:$F$164,$C33)&amp;"")</f>
        <v/>
      </c>
      <c r="BK33" s="61" t="str">
        <f aca="false">IF($C33="","",INDEX(単元16!$G$5:$G$164,$C33)&amp;"")</f>
        <v/>
      </c>
      <c r="BL33" s="61" t="str">
        <f aca="false">IF($C33="","",INDEX(単元16!$H$5:$H$164,$C33)&amp;"")</f>
        <v/>
      </c>
      <c r="BM33" s="61" t="str">
        <f aca="false">IF($C33="","",INDEX(単元17!$F$5:$F$164,$C33)&amp;"")</f>
        <v/>
      </c>
      <c r="BN33" s="61" t="str">
        <f aca="false">IF($C33="","",INDEX(単元17!$G$5:$G$164,$C33)&amp;"")</f>
        <v/>
      </c>
      <c r="BO33" s="61" t="str">
        <f aca="false">IF($C33="","",INDEX(単元17!$H$5:$H$164,$C33)&amp;"")</f>
        <v/>
      </c>
      <c r="BP33" s="61" t="str">
        <f aca="false">IF($C33="","",INDEX(単元18!$F$5:$F$164,$C33)&amp;"")</f>
        <v/>
      </c>
      <c r="BQ33" s="61" t="str">
        <f aca="false">IF($C33="","",INDEX(単元18!$G$5:$G$164,$C33)&amp;"")</f>
        <v/>
      </c>
      <c r="BR33" s="61" t="str">
        <f aca="false">IF($C33="","",INDEX(単元18!$H$5:$H$164,$C33)&amp;"")</f>
        <v/>
      </c>
      <c r="BS33" s="61" t="str">
        <f aca="false">IF($C33="","",INDEX(単元19!$F$5:$F$164,$C33)&amp;"")</f>
        <v/>
      </c>
      <c r="BT33" s="61" t="str">
        <f aca="false">IF($C33="","",INDEX(単元19!$G$5:$G$164,$C33)&amp;"")</f>
        <v/>
      </c>
      <c r="BU33" s="61" t="str">
        <f aca="false">IF($C33="","",INDEX(単元19!$H$5:$H$164,$C33)&amp;"")</f>
        <v/>
      </c>
      <c r="BV33" s="61" t="str">
        <f aca="false">IF($C33="","",INDEX(単元20!$F$5:$F$164,$C33)&amp;"")</f>
        <v/>
      </c>
      <c r="BW33" s="61" t="str">
        <f aca="false">IF($C33="","",INDEX(単元20!$G$5:$G$164,$C33)&amp;"")</f>
        <v/>
      </c>
      <c r="BX33" s="61" t="str">
        <f aca="false">IF($C33="","",INDEX(単元20!$H$5:$H$164,$C33)&amp;"")</f>
        <v/>
      </c>
    </row>
    <row r="34" customFormat="false" ht="19.5" hidden="false" customHeight="true" outlineLevel="0" collapsed="false">
      <c r="A34" s="91" t="str">
        <f aca="false">IF($C34="","",INDEX(名簿!$C$5:$C$164,$C34))</f>
        <v/>
      </c>
      <c r="B34" s="59" t="str">
        <f aca="false">IF($C34="","",INDEX(名簿!$D$5:$D$164,$C34)&amp;IF(INDEX(名簿!$F$5:$F$164,$C34)="転出","（転出）",""))</f>
        <v/>
      </c>
      <c r="C34" s="41" t="str">
        <f aca="false">IFERROR(MATCH($B$2&amp;"|"&amp;28,名簿!$G$5:$G$164,0),"")</f>
        <v/>
      </c>
      <c r="D34" s="60" t="str">
        <f aca="false">IF($C34="","",SUMPRODUCT(($Q34:$BX34=D$6)*($Q$6:$BX$6=D$3)*((($F$2&amp;"")="通年")+($Q$3:$BX$3=($F$2&amp;""))&gt;0)))</f>
        <v/>
      </c>
      <c r="E34" s="60" t="str">
        <f aca="false">IF($C34="","",SUMPRODUCT(($Q34:$BX34=E$6)*($Q$6:$BX$6=E$3)*((($F$2&amp;"")="通年")+($Q$3:$BX$3=($F$2&amp;""))&gt;0)))</f>
        <v/>
      </c>
      <c r="F34" s="60" t="str">
        <f aca="false">IF($C34="","",SUMPRODUCT(($Q34:$BX34=F$6)*($Q$6:$BX$6=F$3)*((($F$2&amp;"")="通年")+($Q$3:$BX$3=($F$2&amp;""))&gt;0)))</f>
        <v/>
      </c>
      <c r="G34" s="60" t="str">
        <f aca="false">IF($C34="","",SUMPRODUCT(($Q34:$BX34=G$6)*($Q$6:$BX$6=G$3)*((($F$2&amp;"")="通年")+($Q$3:$BX$3=($F$2&amp;""))&gt;0)))</f>
        <v/>
      </c>
      <c r="H34" s="60" t="str">
        <f aca="false">IF($C34="","",SUMPRODUCT(($Q34:$BX34=H$6)*($Q$6:$BX$6=H$3)*((($F$2&amp;"")="通年")+($Q$3:$BX$3=($F$2&amp;""))&gt;0)))</f>
        <v/>
      </c>
      <c r="I34" s="60" t="str">
        <f aca="false">IF($C34="","",SUMPRODUCT(($Q34:$BX34=I$6)*($Q$6:$BX$6=I$3)*((($F$2&amp;"")="通年")+($Q$3:$BX$3=($F$2&amp;""))&gt;0)))</f>
        <v/>
      </c>
      <c r="J34" s="60" t="str">
        <f aca="false">IF($C34="","",SUMPRODUCT(($Q34:$BX34=J$6)*($Q$6:$BX$6=J$3)*((($F$2&amp;"")="通年")+($Q$3:$BX$3=($F$2&amp;""))&gt;0)))</f>
        <v/>
      </c>
      <c r="K34" s="60" t="str">
        <f aca="false">IF($C34="","",SUMPRODUCT(($Q34:$BX34=K$6)*($Q$6:$BX$6=K$3)*((($F$2&amp;"")="通年")+($Q$3:$BX$3=($F$2&amp;""))&gt;0)))</f>
        <v/>
      </c>
      <c r="L34" s="60" t="str">
        <f aca="false">IF($C34="","",SUMPRODUCT(($Q34:$BX34=L$6)*($Q$6:$BX$6=L$3)*((($F$2&amp;"")="通年")+($Q$3:$BX$3=($F$2&amp;""))&gt;0)))</f>
        <v/>
      </c>
      <c r="M34" s="62" t="str">
        <f aca="false">IF($C34="","",IF(SUM(D34:F34)=0,"",IF(D34/SUM(D34:F34)&gt;=設定!$I$17,設定!$G$8,IF(F34/SUM(D34:F34)&gt;=設定!$I$18,設定!$G$10,設定!$G$9))))</f>
        <v/>
      </c>
      <c r="N34" s="62" t="str">
        <f aca="false">IF($C34="","",IF(SUM(G34:I34)=0,"",IF(G34/SUM(G34:I34)&gt;=設定!$I$17,設定!$G$8,IF(I34/SUM(G34:I34)&gt;=設定!$I$18,設定!$G$10,設定!$G$9))))</f>
        <v/>
      </c>
      <c r="O34" s="62" t="str">
        <f aca="false">IF($C34="","",IF(SUM(J34:L34)=0,"",IF(J34/SUM(J34:L34)&gt;=設定!$I$17,設定!$G$8,IF(L34/SUM(J34:L34)&gt;=設定!$I$18,設定!$G$10,設定!$G$9))))</f>
        <v/>
      </c>
      <c r="P34" s="13"/>
      <c r="Q34" s="61" t="str">
        <f aca="false">IF($C34="","",INDEX(単元01!$F$5:$F$164,$C34)&amp;"")</f>
        <v/>
      </c>
      <c r="R34" s="61" t="str">
        <f aca="false">IF($C34="","",INDEX(単元01!$G$5:$G$164,$C34)&amp;"")</f>
        <v/>
      </c>
      <c r="S34" s="61" t="str">
        <f aca="false">IF($C34="","",INDEX(単元01!$H$5:$H$164,$C34)&amp;"")</f>
        <v/>
      </c>
      <c r="T34" s="61" t="str">
        <f aca="false">IF($C34="","",INDEX(単元02!$F$5:$F$164,$C34)&amp;"")</f>
        <v/>
      </c>
      <c r="U34" s="61" t="str">
        <f aca="false">IF($C34="","",INDEX(単元02!$G$5:$G$164,$C34)&amp;"")</f>
        <v/>
      </c>
      <c r="V34" s="61" t="str">
        <f aca="false">IF($C34="","",INDEX(単元02!$H$5:$H$164,$C34)&amp;"")</f>
        <v/>
      </c>
      <c r="W34" s="61" t="str">
        <f aca="false">IF($C34="","",INDEX(単元03!$F$5:$F$164,$C34)&amp;"")</f>
        <v/>
      </c>
      <c r="X34" s="61" t="str">
        <f aca="false">IF($C34="","",INDEX(単元03!$G$5:$G$164,$C34)&amp;"")</f>
        <v/>
      </c>
      <c r="Y34" s="61" t="str">
        <f aca="false">IF($C34="","",INDEX(単元03!$H$5:$H$164,$C34)&amp;"")</f>
        <v/>
      </c>
      <c r="Z34" s="61" t="str">
        <f aca="false">IF($C34="","",INDEX(単元04!$F$5:$F$164,$C34)&amp;"")</f>
        <v/>
      </c>
      <c r="AA34" s="61" t="str">
        <f aca="false">IF($C34="","",INDEX(単元04!$G$5:$G$164,$C34)&amp;"")</f>
        <v/>
      </c>
      <c r="AB34" s="61" t="str">
        <f aca="false">IF($C34="","",INDEX(単元04!$H$5:$H$164,$C34)&amp;"")</f>
        <v/>
      </c>
      <c r="AC34" s="61" t="str">
        <f aca="false">IF($C34="","",INDEX(単元05!$F$5:$F$164,$C34)&amp;"")</f>
        <v/>
      </c>
      <c r="AD34" s="61" t="str">
        <f aca="false">IF($C34="","",INDEX(単元05!$G$5:$G$164,$C34)&amp;"")</f>
        <v/>
      </c>
      <c r="AE34" s="61" t="str">
        <f aca="false">IF($C34="","",INDEX(単元05!$H$5:$H$164,$C34)&amp;"")</f>
        <v/>
      </c>
      <c r="AF34" s="61" t="str">
        <f aca="false">IF($C34="","",INDEX(単元06!$F$5:$F$164,$C34)&amp;"")</f>
        <v/>
      </c>
      <c r="AG34" s="61" t="str">
        <f aca="false">IF($C34="","",INDEX(単元06!$G$5:$G$164,$C34)&amp;"")</f>
        <v/>
      </c>
      <c r="AH34" s="61" t="str">
        <f aca="false">IF($C34="","",INDEX(単元06!$H$5:$H$164,$C34)&amp;"")</f>
        <v/>
      </c>
      <c r="AI34" s="61" t="str">
        <f aca="false">IF($C34="","",INDEX(単元07!$F$5:$F$164,$C34)&amp;"")</f>
        <v/>
      </c>
      <c r="AJ34" s="61" t="str">
        <f aca="false">IF($C34="","",INDEX(単元07!$G$5:$G$164,$C34)&amp;"")</f>
        <v/>
      </c>
      <c r="AK34" s="61" t="str">
        <f aca="false">IF($C34="","",INDEX(単元07!$H$5:$H$164,$C34)&amp;"")</f>
        <v/>
      </c>
      <c r="AL34" s="61" t="str">
        <f aca="false">IF($C34="","",INDEX(単元08!$F$5:$F$164,$C34)&amp;"")</f>
        <v/>
      </c>
      <c r="AM34" s="61" t="str">
        <f aca="false">IF($C34="","",INDEX(単元08!$G$5:$G$164,$C34)&amp;"")</f>
        <v/>
      </c>
      <c r="AN34" s="61" t="str">
        <f aca="false">IF($C34="","",INDEX(単元08!$H$5:$H$164,$C34)&amp;"")</f>
        <v/>
      </c>
      <c r="AO34" s="61" t="str">
        <f aca="false">IF($C34="","",INDEX(単元09!$F$5:$F$164,$C34)&amp;"")</f>
        <v/>
      </c>
      <c r="AP34" s="61" t="str">
        <f aca="false">IF($C34="","",INDEX(単元09!$G$5:$G$164,$C34)&amp;"")</f>
        <v/>
      </c>
      <c r="AQ34" s="61" t="str">
        <f aca="false">IF($C34="","",INDEX(単元09!$H$5:$H$164,$C34)&amp;"")</f>
        <v/>
      </c>
      <c r="AR34" s="61" t="str">
        <f aca="false">IF($C34="","",INDEX(単元10!$F$5:$F$164,$C34)&amp;"")</f>
        <v/>
      </c>
      <c r="AS34" s="61" t="str">
        <f aca="false">IF($C34="","",INDEX(単元10!$G$5:$G$164,$C34)&amp;"")</f>
        <v/>
      </c>
      <c r="AT34" s="61" t="str">
        <f aca="false">IF($C34="","",INDEX(単元10!$H$5:$H$164,$C34)&amp;"")</f>
        <v/>
      </c>
      <c r="AU34" s="61" t="str">
        <f aca="false">IF($C34="","",INDEX(単元11!$F$5:$F$164,$C34)&amp;"")</f>
        <v/>
      </c>
      <c r="AV34" s="61" t="str">
        <f aca="false">IF($C34="","",INDEX(単元11!$G$5:$G$164,$C34)&amp;"")</f>
        <v/>
      </c>
      <c r="AW34" s="61" t="str">
        <f aca="false">IF($C34="","",INDEX(単元11!$H$5:$H$164,$C34)&amp;"")</f>
        <v/>
      </c>
      <c r="AX34" s="61" t="str">
        <f aca="false">IF($C34="","",INDEX(単元12!$F$5:$F$164,$C34)&amp;"")</f>
        <v/>
      </c>
      <c r="AY34" s="61" t="str">
        <f aca="false">IF($C34="","",INDEX(単元12!$G$5:$G$164,$C34)&amp;"")</f>
        <v/>
      </c>
      <c r="AZ34" s="61" t="str">
        <f aca="false">IF($C34="","",INDEX(単元12!$H$5:$H$164,$C34)&amp;"")</f>
        <v/>
      </c>
      <c r="BA34" s="61" t="str">
        <f aca="false">IF($C34="","",INDEX(単元13!$F$5:$F$164,$C34)&amp;"")</f>
        <v/>
      </c>
      <c r="BB34" s="61" t="str">
        <f aca="false">IF($C34="","",INDEX(単元13!$G$5:$G$164,$C34)&amp;"")</f>
        <v/>
      </c>
      <c r="BC34" s="61" t="str">
        <f aca="false">IF($C34="","",INDEX(単元13!$H$5:$H$164,$C34)&amp;"")</f>
        <v/>
      </c>
      <c r="BD34" s="61" t="str">
        <f aca="false">IF($C34="","",INDEX(単元14!$F$5:$F$164,$C34)&amp;"")</f>
        <v/>
      </c>
      <c r="BE34" s="61" t="str">
        <f aca="false">IF($C34="","",INDEX(単元14!$G$5:$G$164,$C34)&amp;"")</f>
        <v/>
      </c>
      <c r="BF34" s="61" t="str">
        <f aca="false">IF($C34="","",INDEX(単元14!$H$5:$H$164,$C34)&amp;"")</f>
        <v/>
      </c>
      <c r="BG34" s="61" t="str">
        <f aca="false">IF($C34="","",INDEX(単元15!$F$5:$F$164,$C34)&amp;"")</f>
        <v/>
      </c>
      <c r="BH34" s="61" t="str">
        <f aca="false">IF($C34="","",INDEX(単元15!$G$5:$G$164,$C34)&amp;"")</f>
        <v/>
      </c>
      <c r="BI34" s="61" t="str">
        <f aca="false">IF($C34="","",INDEX(単元15!$H$5:$H$164,$C34)&amp;"")</f>
        <v/>
      </c>
      <c r="BJ34" s="61" t="str">
        <f aca="false">IF($C34="","",INDEX(単元16!$F$5:$F$164,$C34)&amp;"")</f>
        <v/>
      </c>
      <c r="BK34" s="61" t="str">
        <f aca="false">IF($C34="","",INDEX(単元16!$G$5:$G$164,$C34)&amp;"")</f>
        <v/>
      </c>
      <c r="BL34" s="61" t="str">
        <f aca="false">IF($C34="","",INDEX(単元16!$H$5:$H$164,$C34)&amp;"")</f>
        <v/>
      </c>
      <c r="BM34" s="61" t="str">
        <f aca="false">IF($C34="","",INDEX(単元17!$F$5:$F$164,$C34)&amp;"")</f>
        <v/>
      </c>
      <c r="BN34" s="61" t="str">
        <f aca="false">IF($C34="","",INDEX(単元17!$G$5:$G$164,$C34)&amp;"")</f>
        <v/>
      </c>
      <c r="BO34" s="61" t="str">
        <f aca="false">IF($C34="","",INDEX(単元17!$H$5:$H$164,$C34)&amp;"")</f>
        <v/>
      </c>
      <c r="BP34" s="61" t="str">
        <f aca="false">IF($C34="","",INDEX(単元18!$F$5:$F$164,$C34)&amp;"")</f>
        <v/>
      </c>
      <c r="BQ34" s="61" t="str">
        <f aca="false">IF($C34="","",INDEX(単元18!$G$5:$G$164,$C34)&amp;"")</f>
        <v/>
      </c>
      <c r="BR34" s="61" t="str">
        <f aca="false">IF($C34="","",INDEX(単元18!$H$5:$H$164,$C34)&amp;"")</f>
        <v/>
      </c>
      <c r="BS34" s="61" t="str">
        <f aca="false">IF($C34="","",INDEX(単元19!$F$5:$F$164,$C34)&amp;"")</f>
        <v/>
      </c>
      <c r="BT34" s="61" t="str">
        <f aca="false">IF($C34="","",INDEX(単元19!$G$5:$G$164,$C34)&amp;"")</f>
        <v/>
      </c>
      <c r="BU34" s="61" t="str">
        <f aca="false">IF($C34="","",INDEX(単元19!$H$5:$H$164,$C34)&amp;"")</f>
        <v/>
      </c>
      <c r="BV34" s="61" t="str">
        <f aca="false">IF($C34="","",INDEX(単元20!$F$5:$F$164,$C34)&amp;"")</f>
        <v/>
      </c>
      <c r="BW34" s="61" t="str">
        <f aca="false">IF($C34="","",INDEX(単元20!$G$5:$G$164,$C34)&amp;"")</f>
        <v/>
      </c>
      <c r="BX34" s="61" t="str">
        <f aca="false">IF($C34="","",INDEX(単元20!$H$5:$H$164,$C34)&amp;"")</f>
        <v/>
      </c>
    </row>
    <row r="35" customFormat="false" ht="19.5" hidden="false" customHeight="true" outlineLevel="0" collapsed="false">
      <c r="A35" s="91" t="str">
        <f aca="false">IF($C35="","",INDEX(名簿!$C$5:$C$164,$C35))</f>
        <v/>
      </c>
      <c r="B35" s="59" t="str">
        <f aca="false">IF($C35="","",INDEX(名簿!$D$5:$D$164,$C35)&amp;IF(INDEX(名簿!$F$5:$F$164,$C35)="転出","（転出）",""))</f>
        <v/>
      </c>
      <c r="C35" s="41" t="str">
        <f aca="false">IFERROR(MATCH($B$2&amp;"|"&amp;29,名簿!$G$5:$G$164,0),"")</f>
        <v/>
      </c>
      <c r="D35" s="60" t="str">
        <f aca="false">IF($C35="","",SUMPRODUCT(($Q35:$BX35=D$6)*($Q$6:$BX$6=D$3)*((($F$2&amp;"")="通年")+($Q$3:$BX$3=($F$2&amp;""))&gt;0)))</f>
        <v/>
      </c>
      <c r="E35" s="60" t="str">
        <f aca="false">IF($C35="","",SUMPRODUCT(($Q35:$BX35=E$6)*($Q$6:$BX$6=E$3)*((($F$2&amp;"")="通年")+($Q$3:$BX$3=($F$2&amp;""))&gt;0)))</f>
        <v/>
      </c>
      <c r="F35" s="60" t="str">
        <f aca="false">IF($C35="","",SUMPRODUCT(($Q35:$BX35=F$6)*($Q$6:$BX$6=F$3)*((($F$2&amp;"")="通年")+($Q$3:$BX$3=($F$2&amp;""))&gt;0)))</f>
        <v/>
      </c>
      <c r="G35" s="60" t="str">
        <f aca="false">IF($C35="","",SUMPRODUCT(($Q35:$BX35=G$6)*($Q$6:$BX$6=G$3)*((($F$2&amp;"")="通年")+($Q$3:$BX$3=($F$2&amp;""))&gt;0)))</f>
        <v/>
      </c>
      <c r="H35" s="60" t="str">
        <f aca="false">IF($C35="","",SUMPRODUCT(($Q35:$BX35=H$6)*($Q$6:$BX$6=H$3)*((($F$2&amp;"")="通年")+($Q$3:$BX$3=($F$2&amp;""))&gt;0)))</f>
        <v/>
      </c>
      <c r="I35" s="60" t="str">
        <f aca="false">IF($C35="","",SUMPRODUCT(($Q35:$BX35=I$6)*($Q$6:$BX$6=I$3)*((($F$2&amp;"")="通年")+($Q$3:$BX$3=($F$2&amp;""))&gt;0)))</f>
        <v/>
      </c>
      <c r="J35" s="60" t="str">
        <f aca="false">IF($C35="","",SUMPRODUCT(($Q35:$BX35=J$6)*($Q$6:$BX$6=J$3)*((($F$2&amp;"")="通年")+($Q$3:$BX$3=($F$2&amp;""))&gt;0)))</f>
        <v/>
      </c>
      <c r="K35" s="60" t="str">
        <f aca="false">IF($C35="","",SUMPRODUCT(($Q35:$BX35=K$6)*($Q$6:$BX$6=K$3)*((($F$2&amp;"")="通年")+($Q$3:$BX$3=($F$2&amp;""))&gt;0)))</f>
        <v/>
      </c>
      <c r="L35" s="60" t="str">
        <f aca="false">IF($C35="","",SUMPRODUCT(($Q35:$BX35=L$6)*($Q$6:$BX$6=L$3)*((($F$2&amp;"")="通年")+($Q$3:$BX$3=($F$2&amp;""))&gt;0)))</f>
        <v/>
      </c>
      <c r="M35" s="62" t="str">
        <f aca="false">IF($C35="","",IF(SUM(D35:F35)=0,"",IF(D35/SUM(D35:F35)&gt;=設定!$I$17,設定!$G$8,IF(F35/SUM(D35:F35)&gt;=設定!$I$18,設定!$G$10,設定!$G$9))))</f>
        <v/>
      </c>
      <c r="N35" s="62" t="str">
        <f aca="false">IF($C35="","",IF(SUM(G35:I35)=0,"",IF(G35/SUM(G35:I35)&gt;=設定!$I$17,設定!$G$8,IF(I35/SUM(G35:I35)&gt;=設定!$I$18,設定!$G$10,設定!$G$9))))</f>
        <v/>
      </c>
      <c r="O35" s="62" t="str">
        <f aca="false">IF($C35="","",IF(SUM(J35:L35)=0,"",IF(J35/SUM(J35:L35)&gt;=設定!$I$17,設定!$G$8,IF(L35/SUM(J35:L35)&gt;=設定!$I$18,設定!$G$10,設定!$G$9))))</f>
        <v/>
      </c>
      <c r="P35" s="13"/>
      <c r="Q35" s="61" t="str">
        <f aca="false">IF($C35="","",INDEX(単元01!$F$5:$F$164,$C35)&amp;"")</f>
        <v/>
      </c>
      <c r="R35" s="61" t="str">
        <f aca="false">IF($C35="","",INDEX(単元01!$G$5:$G$164,$C35)&amp;"")</f>
        <v/>
      </c>
      <c r="S35" s="61" t="str">
        <f aca="false">IF($C35="","",INDEX(単元01!$H$5:$H$164,$C35)&amp;"")</f>
        <v/>
      </c>
      <c r="T35" s="61" t="str">
        <f aca="false">IF($C35="","",INDEX(単元02!$F$5:$F$164,$C35)&amp;"")</f>
        <v/>
      </c>
      <c r="U35" s="61" t="str">
        <f aca="false">IF($C35="","",INDEX(単元02!$G$5:$G$164,$C35)&amp;"")</f>
        <v/>
      </c>
      <c r="V35" s="61" t="str">
        <f aca="false">IF($C35="","",INDEX(単元02!$H$5:$H$164,$C35)&amp;"")</f>
        <v/>
      </c>
      <c r="W35" s="61" t="str">
        <f aca="false">IF($C35="","",INDEX(単元03!$F$5:$F$164,$C35)&amp;"")</f>
        <v/>
      </c>
      <c r="X35" s="61" t="str">
        <f aca="false">IF($C35="","",INDEX(単元03!$G$5:$G$164,$C35)&amp;"")</f>
        <v/>
      </c>
      <c r="Y35" s="61" t="str">
        <f aca="false">IF($C35="","",INDEX(単元03!$H$5:$H$164,$C35)&amp;"")</f>
        <v/>
      </c>
      <c r="Z35" s="61" t="str">
        <f aca="false">IF($C35="","",INDEX(単元04!$F$5:$F$164,$C35)&amp;"")</f>
        <v/>
      </c>
      <c r="AA35" s="61" t="str">
        <f aca="false">IF($C35="","",INDEX(単元04!$G$5:$G$164,$C35)&amp;"")</f>
        <v/>
      </c>
      <c r="AB35" s="61" t="str">
        <f aca="false">IF($C35="","",INDEX(単元04!$H$5:$H$164,$C35)&amp;"")</f>
        <v/>
      </c>
      <c r="AC35" s="61" t="str">
        <f aca="false">IF($C35="","",INDEX(単元05!$F$5:$F$164,$C35)&amp;"")</f>
        <v/>
      </c>
      <c r="AD35" s="61" t="str">
        <f aca="false">IF($C35="","",INDEX(単元05!$G$5:$G$164,$C35)&amp;"")</f>
        <v/>
      </c>
      <c r="AE35" s="61" t="str">
        <f aca="false">IF($C35="","",INDEX(単元05!$H$5:$H$164,$C35)&amp;"")</f>
        <v/>
      </c>
      <c r="AF35" s="61" t="str">
        <f aca="false">IF($C35="","",INDEX(単元06!$F$5:$F$164,$C35)&amp;"")</f>
        <v/>
      </c>
      <c r="AG35" s="61" t="str">
        <f aca="false">IF($C35="","",INDEX(単元06!$G$5:$G$164,$C35)&amp;"")</f>
        <v/>
      </c>
      <c r="AH35" s="61" t="str">
        <f aca="false">IF($C35="","",INDEX(単元06!$H$5:$H$164,$C35)&amp;"")</f>
        <v/>
      </c>
      <c r="AI35" s="61" t="str">
        <f aca="false">IF($C35="","",INDEX(単元07!$F$5:$F$164,$C35)&amp;"")</f>
        <v/>
      </c>
      <c r="AJ35" s="61" t="str">
        <f aca="false">IF($C35="","",INDEX(単元07!$G$5:$G$164,$C35)&amp;"")</f>
        <v/>
      </c>
      <c r="AK35" s="61" t="str">
        <f aca="false">IF($C35="","",INDEX(単元07!$H$5:$H$164,$C35)&amp;"")</f>
        <v/>
      </c>
      <c r="AL35" s="61" t="str">
        <f aca="false">IF($C35="","",INDEX(単元08!$F$5:$F$164,$C35)&amp;"")</f>
        <v/>
      </c>
      <c r="AM35" s="61" t="str">
        <f aca="false">IF($C35="","",INDEX(単元08!$G$5:$G$164,$C35)&amp;"")</f>
        <v/>
      </c>
      <c r="AN35" s="61" t="str">
        <f aca="false">IF($C35="","",INDEX(単元08!$H$5:$H$164,$C35)&amp;"")</f>
        <v/>
      </c>
      <c r="AO35" s="61" t="str">
        <f aca="false">IF($C35="","",INDEX(単元09!$F$5:$F$164,$C35)&amp;"")</f>
        <v/>
      </c>
      <c r="AP35" s="61" t="str">
        <f aca="false">IF($C35="","",INDEX(単元09!$G$5:$G$164,$C35)&amp;"")</f>
        <v/>
      </c>
      <c r="AQ35" s="61" t="str">
        <f aca="false">IF($C35="","",INDEX(単元09!$H$5:$H$164,$C35)&amp;"")</f>
        <v/>
      </c>
      <c r="AR35" s="61" t="str">
        <f aca="false">IF($C35="","",INDEX(単元10!$F$5:$F$164,$C35)&amp;"")</f>
        <v/>
      </c>
      <c r="AS35" s="61" t="str">
        <f aca="false">IF($C35="","",INDEX(単元10!$G$5:$G$164,$C35)&amp;"")</f>
        <v/>
      </c>
      <c r="AT35" s="61" t="str">
        <f aca="false">IF($C35="","",INDEX(単元10!$H$5:$H$164,$C35)&amp;"")</f>
        <v/>
      </c>
      <c r="AU35" s="61" t="str">
        <f aca="false">IF($C35="","",INDEX(単元11!$F$5:$F$164,$C35)&amp;"")</f>
        <v/>
      </c>
      <c r="AV35" s="61" t="str">
        <f aca="false">IF($C35="","",INDEX(単元11!$G$5:$G$164,$C35)&amp;"")</f>
        <v/>
      </c>
      <c r="AW35" s="61" t="str">
        <f aca="false">IF($C35="","",INDEX(単元11!$H$5:$H$164,$C35)&amp;"")</f>
        <v/>
      </c>
      <c r="AX35" s="61" t="str">
        <f aca="false">IF($C35="","",INDEX(単元12!$F$5:$F$164,$C35)&amp;"")</f>
        <v/>
      </c>
      <c r="AY35" s="61" t="str">
        <f aca="false">IF($C35="","",INDEX(単元12!$G$5:$G$164,$C35)&amp;"")</f>
        <v/>
      </c>
      <c r="AZ35" s="61" t="str">
        <f aca="false">IF($C35="","",INDEX(単元12!$H$5:$H$164,$C35)&amp;"")</f>
        <v/>
      </c>
      <c r="BA35" s="61" t="str">
        <f aca="false">IF($C35="","",INDEX(単元13!$F$5:$F$164,$C35)&amp;"")</f>
        <v/>
      </c>
      <c r="BB35" s="61" t="str">
        <f aca="false">IF($C35="","",INDEX(単元13!$G$5:$G$164,$C35)&amp;"")</f>
        <v/>
      </c>
      <c r="BC35" s="61" t="str">
        <f aca="false">IF($C35="","",INDEX(単元13!$H$5:$H$164,$C35)&amp;"")</f>
        <v/>
      </c>
      <c r="BD35" s="61" t="str">
        <f aca="false">IF($C35="","",INDEX(単元14!$F$5:$F$164,$C35)&amp;"")</f>
        <v/>
      </c>
      <c r="BE35" s="61" t="str">
        <f aca="false">IF($C35="","",INDEX(単元14!$G$5:$G$164,$C35)&amp;"")</f>
        <v/>
      </c>
      <c r="BF35" s="61" t="str">
        <f aca="false">IF($C35="","",INDEX(単元14!$H$5:$H$164,$C35)&amp;"")</f>
        <v/>
      </c>
      <c r="BG35" s="61" t="str">
        <f aca="false">IF($C35="","",INDEX(単元15!$F$5:$F$164,$C35)&amp;"")</f>
        <v/>
      </c>
      <c r="BH35" s="61" t="str">
        <f aca="false">IF($C35="","",INDEX(単元15!$G$5:$G$164,$C35)&amp;"")</f>
        <v/>
      </c>
      <c r="BI35" s="61" t="str">
        <f aca="false">IF($C35="","",INDEX(単元15!$H$5:$H$164,$C35)&amp;"")</f>
        <v/>
      </c>
      <c r="BJ35" s="61" t="str">
        <f aca="false">IF($C35="","",INDEX(単元16!$F$5:$F$164,$C35)&amp;"")</f>
        <v/>
      </c>
      <c r="BK35" s="61" t="str">
        <f aca="false">IF($C35="","",INDEX(単元16!$G$5:$G$164,$C35)&amp;"")</f>
        <v/>
      </c>
      <c r="BL35" s="61" t="str">
        <f aca="false">IF($C35="","",INDEX(単元16!$H$5:$H$164,$C35)&amp;"")</f>
        <v/>
      </c>
      <c r="BM35" s="61" t="str">
        <f aca="false">IF($C35="","",INDEX(単元17!$F$5:$F$164,$C35)&amp;"")</f>
        <v/>
      </c>
      <c r="BN35" s="61" t="str">
        <f aca="false">IF($C35="","",INDEX(単元17!$G$5:$G$164,$C35)&amp;"")</f>
        <v/>
      </c>
      <c r="BO35" s="61" t="str">
        <f aca="false">IF($C35="","",INDEX(単元17!$H$5:$H$164,$C35)&amp;"")</f>
        <v/>
      </c>
      <c r="BP35" s="61" t="str">
        <f aca="false">IF($C35="","",INDEX(単元18!$F$5:$F$164,$C35)&amp;"")</f>
        <v/>
      </c>
      <c r="BQ35" s="61" t="str">
        <f aca="false">IF($C35="","",INDEX(単元18!$G$5:$G$164,$C35)&amp;"")</f>
        <v/>
      </c>
      <c r="BR35" s="61" t="str">
        <f aca="false">IF($C35="","",INDEX(単元18!$H$5:$H$164,$C35)&amp;"")</f>
        <v/>
      </c>
      <c r="BS35" s="61" t="str">
        <f aca="false">IF($C35="","",INDEX(単元19!$F$5:$F$164,$C35)&amp;"")</f>
        <v/>
      </c>
      <c r="BT35" s="61" t="str">
        <f aca="false">IF($C35="","",INDEX(単元19!$G$5:$G$164,$C35)&amp;"")</f>
        <v/>
      </c>
      <c r="BU35" s="61" t="str">
        <f aca="false">IF($C35="","",INDEX(単元19!$H$5:$H$164,$C35)&amp;"")</f>
        <v/>
      </c>
      <c r="BV35" s="61" t="str">
        <f aca="false">IF($C35="","",INDEX(単元20!$F$5:$F$164,$C35)&amp;"")</f>
        <v/>
      </c>
      <c r="BW35" s="61" t="str">
        <f aca="false">IF($C35="","",INDEX(単元20!$G$5:$G$164,$C35)&amp;"")</f>
        <v/>
      </c>
      <c r="BX35" s="61" t="str">
        <f aca="false">IF($C35="","",INDEX(単元20!$H$5:$H$164,$C35)&amp;"")</f>
        <v/>
      </c>
    </row>
    <row r="36" customFormat="false" ht="19.5" hidden="false" customHeight="true" outlineLevel="0" collapsed="false">
      <c r="A36" s="91" t="str">
        <f aca="false">IF($C36="","",INDEX(名簿!$C$5:$C$164,$C36))</f>
        <v/>
      </c>
      <c r="B36" s="59" t="str">
        <f aca="false">IF($C36="","",INDEX(名簿!$D$5:$D$164,$C36)&amp;IF(INDEX(名簿!$F$5:$F$164,$C36)="転出","（転出）",""))</f>
        <v/>
      </c>
      <c r="C36" s="41" t="str">
        <f aca="false">IFERROR(MATCH($B$2&amp;"|"&amp;30,名簿!$G$5:$G$164,0),"")</f>
        <v/>
      </c>
      <c r="D36" s="60" t="str">
        <f aca="false">IF($C36="","",SUMPRODUCT(($Q36:$BX36=D$6)*($Q$6:$BX$6=D$3)*((($F$2&amp;"")="通年")+($Q$3:$BX$3=($F$2&amp;""))&gt;0)))</f>
        <v/>
      </c>
      <c r="E36" s="60" t="str">
        <f aca="false">IF($C36="","",SUMPRODUCT(($Q36:$BX36=E$6)*($Q$6:$BX$6=E$3)*((($F$2&amp;"")="通年")+($Q$3:$BX$3=($F$2&amp;""))&gt;0)))</f>
        <v/>
      </c>
      <c r="F36" s="60" t="str">
        <f aca="false">IF($C36="","",SUMPRODUCT(($Q36:$BX36=F$6)*($Q$6:$BX$6=F$3)*((($F$2&amp;"")="通年")+($Q$3:$BX$3=($F$2&amp;""))&gt;0)))</f>
        <v/>
      </c>
      <c r="G36" s="60" t="str">
        <f aca="false">IF($C36="","",SUMPRODUCT(($Q36:$BX36=G$6)*($Q$6:$BX$6=G$3)*((($F$2&amp;"")="通年")+($Q$3:$BX$3=($F$2&amp;""))&gt;0)))</f>
        <v/>
      </c>
      <c r="H36" s="60" t="str">
        <f aca="false">IF($C36="","",SUMPRODUCT(($Q36:$BX36=H$6)*($Q$6:$BX$6=H$3)*((($F$2&amp;"")="通年")+($Q$3:$BX$3=($F$2&amp;""))&gt;0)))</f>
        <v/>
      </c>
      <c r="I36" s="60" t="str">
        <f aca="false">IF($C36="","",SUMPRODUCT(($Q36:$BX36=I$6)*($Q$6:$BX$6=I$3)*((($F$2&amp;"")="通年")+($Q$3:$BX$3=($F$2&amp;""))&gt;0)))</f>
        <v/>
      </c>
      <c r="J36" s="60" t="str">
        <f aca="false">IF($C36="","",SUMPRODUCT(($Q36:$BX36=J$6)*($Q$6:$BX$6=J$3)*((($F$2&amp;"")="通年")+($Q$3:$BX$3=($F$2&amp;""))&gt;0)))</f>
        <v/>
      </c>
      <c r="K36" s="60" t="str">
        <f aca="false">IF($C36="","",SUMPRODUCT(($Q36:$BX36=K$6)*($Q$6:$BX$6=K$3)*((($F$2&amp;"")="通年")+($Q$3:$BX$3=($F$2&amp;""))&gt;0)))</f>
        <v/>
      </c>
      <c r="L36" s="60" t="str">
        <f aca="false">IF($C36="","",SUMPRODUCT(($Q36:$BX36=L$6)*($Q$6:$BX$6=L$3)*((($F$2&amp;"")="通年")+($Q$3:$BX$3=($F$2&amp;""))&gt;0)))</f>
        <v/>
      </c>
      <c r="M36" s="62" t="str">
        <f aca="false">IF($C36="","",IF(SUM(D36:F36)=0,"",IF(D36/SUM(D36:F36)&gt;=設定!$I$17,設定!$G$8,IF(F36/SUM(D36:F36)&gt;=設定!$I$18,設定!$G$10,設定!$G$9))))</f>
        <v/>
      </c>
      <c r="N36" s="62" t="str">
        <f aca="false">IF($C36="","",IF(SUM(G36:I36)=0,"",IF(G36/SUM(G36:I36)&gt;=設定!$I$17,設定!$G$8,IF(I36/SUM(G36:I36)&gt;=設定!$I$18,設定!$G$10,設定!$G$9))))</f>
        <v/>
      </c>
      <c r="O36" s="62" t="str">
        <f aca="false">IF($C36="","",IF(SUM(J36:L36)=0,"",IF(J36/SUM(J36:L36)&gt;=設定!$I$17,設定!$G$8,IF(L36/SUM(J36:L36)&gt;=設定!$I$18,設定!$G$10,設定!$G$9))))</f>
        <v/>
      </c>
      <c r="P36" s="13"/>
      <c r="Q36" s="61" t="str">
        <f aca="false">IF($C36="","",INDEX(単元01!$F$5:$F$164,$C36)&amp;"")</f>
        <v/>
      </c>
      <c r="R36" s="61" t="str">
        <f aca="false">IF($C36="","",INDEX(単元01!$G$5:$G$164,$C36)&amp;"")</f>
        <v/>
      </c>
      <c r="S36" s="61" t="str">
        <f aca="false">IF($C36="","",INDEX(単元01!$H$5:$H$164,$C36)&amp;"")</f>
        <v/>
      </c>
      <c r="T36" s="61" t="str">
        <f aca="false">IF($C36="","",INDEX(単元02!$F$5:$F$164,$C36)&amp;"")</f>
        <v/>
      </c>
      <c r="U36" s="61" t="str">
        <f aca="false">IF($C36="","",INDEX(単元02!$G$5:$G$164,$C36)&amp;"")</f>
        <v/>
      </c>
      <c r="V36" s="61" t="str">
        <f aca="false">IF($C36="","",INDEX(単元02!$H$5:$H$164,$C36)&amp;"")</f>
        <v/>
      </c>
      <c r="W36" s="61" t="str">
        <f aca="false">IF($C36="","",INDEX(単元03!$F$5:$F$164,$C36)&amp;"")</f>
        <v/>
      </c>
      <c r="X36" s="61" t="str">
        <f aca="false">IF($C36="","",INDEX(単元03!$G$5:$G$164,$C36)&amp;"")</f>
        <v/>
      </c>
      <c r="Y36" s="61" t="str">
        <f aca="false">IF($C36="","",INDEX(単元03!$H$5:$H$164,$C36)&amp;"")</f>
        <v/>
      </c>
      <c r="Z36" s="61" t="str">
        <f aca="false">IF($C36="","",INDEX(単元04!$F$5:$F$164,$C36)&amp;"")</f>
        <v/>
      </c>
      <c r="AA36" s="61" t="str">
        <f aca="false">IF($C36="","",INDEX(単元04!$G$5:$G$164,$C36)&amp;"")</f>
        <v/>
      </c>
      <c r="AB36" s="61" t="str">
        <f aca="false">IF($C36="","",INDEX(単元04!$H$5:$H$164,$C36)&amp;"")</f>
        <v/>
      </c>
      <c r="AC36" s="61" t="str">
        <f aca="false">IF($C36="","",INDEX(単元05!$F$5:$F$164,$C36)&amp;"")</f>
        <v/>
      </c>
      <c r="AD36" s="61" t="str">
        <f aca="false">IF($C36="","",INDEX(単元05!$G$5:$G$164,$C36)&amp;"")</f>
        <v/>
      </c>
      <c r="AE36" s="61" t="str">
        <f aca="false">IF($C36="","",INDEX(単元05!$H$5:$H$164,$C36)&amp;"")</f>
        <v/>
      </c>
      <c r="AF36" s="61" t="str">
        <f aca="false">IF($C36="","",INDEX(単元06!$F$5:$F$164,$C36)&amp;"")</f>
        <v/>
      </c>
      <c r="AG36" s="61" t="str">
        <f aca="false">IF($C36="","",INDEX(単元06!$G$5:$G$164,$C36)&amp;"")</f>
        <v/>
      </c>
      <c r="AH36" s="61" t="str">
        <f aca="false">IF($C36="","",INDEX(単元06!$H$5:$H$164,$C36)&amp;"")</f>
        <v/>
      </c>
      <c r="AI36" s="61" t="str">
        <f aca="false">IF($C36="","",INDEX(単元07!$F$5:$F$164,$C36)&amp;"")</f>
        <v/>
      </c>
      <c r="AJ36" s="61" t="str">
        <f aca="false">IF($C36="","",INDEX(単元07!$G$5:$G$164,$C36)&amp;"")</f>
        <v/>
      </c>
      <c r="AK36" s="61" t="str">
        <f aca="false">IF($C36="","",INDEX(単元07!$H$5:$H$164,$C36)&amp;"")</f>
        <v/>
      </c>
      <c r="AL36" s="61" t="str">
        <f aca="false">IF($C36="","",INDEX(単元08!$F$5:$F$164,$C36)&amp;"")</f>
        <v/>
      </c>
      <c r="AM36" s="61" t="str">
        <f aca="false">IF($C36="","",INDEX(単元08!$G$5:$G$164,$C36)&amp;"")</f>
        <v/>
      </c>
      <c r="AN36" s="61" t="str">
        <f aca="false">IF($C36="","",INDEX(単元08!$H$5:$H$164,$C36)&amp;"")</f>
        <v/>
      </c>
      <c r="AO36" s="61" t="str">
        <f aca="false">IF($C36="","",INDEX(単元09!$F$5:$F$164,$C36)&amp;"")</f>
        <v/>
      </c>
      <c r="AP36" s="61" t="str">
        <f aca="false">IF($C36="","",INDEX(単元09!$G$5:$G$164,$C36)&amp;"")</f>
        <v/>
      </c>
      <c r="AQ36" s="61" t="str">
        <f aca="false">IF($C36="","",INDEX(単元09!$H$5:$H$164,$C36)&amp;"")</f>
        <v/>
      </c>
      <c r="AR36" s="61" t="str">
        <f aca="false">IF($C36="","",INDEX(単元10!$F$5:$F$164,$C36)&amp;"")</f>
        <v/>
      </c>
      <c r="AS36" s="61" t="str">
        <f aca="false">IF($C36="","",INDEX(単元10!$G$5:$G$164,$C36)&amp;"")</f>
        <v/>
      </c>
      <c r="AT36" s="61" t="str">
        <f aca="false">IF($C36="","",INDEX(単元10!$H$5:$H$164,$C36)&amp;"")</f>
        <v/>
      </c>
      <c r="AU36" s="61" t="str">
        <f aca="false">IF($C36="","",INDEX(単元11!$F$5:$F$164,$C36)&amp;"")</f>
        <v/>
      </c>
      <c r="AV36" s="61" t="str">
        <f aca="false">IF($C36="","",INDEX(単元11!$G$5:$G$164,$C36)&amp;"")</f>
        <v/>
      </c>
      <c r="AW36" s="61" t="str">
        <f aca="false">IF($C36="","",INDEX(単元11!$H$5:$H$164,$C36)&amp;"")</f>
        <v/>
      </c>
      <c r="AX36" s="61" t="str">
        <f aca="false">IF($C36="","",INDEX(単元12!$F$5:$F$164,$C36)&amp;"")</f>
        <v/>
      </c>
      <c r="AY36" s="61" t="str">
        <f aca="false">IF($C36="","",INDEX(単元12!$G$5:$G$164,$C36)&amp;"")</f>
        <v/>
      </c>
      <c r="AZ36" s="61" t="str">
        <f aca="false">IF($C36="","",INDEX(単元12!$H$5:$H$164,$C36)&amp;"")</f>
        <v/>
      </c>
      <c r="BA36" s="61" t="str">
        <f aca="false">IF($C36="","",INDEX(単元13!$F$5:$F$164,$C36)&amp;"")</f>
        <v/>
      </c>
      <c r="BB36" s="61" t="str">
        <f aca="false">IF($C36="","",INDEX(単元13!$G$5:$G$164,$C36)&amp;"")</f>
        <v/>
      </c>
      <c r="BC36" s="61" t="str">
        <f aca="false">IF($C36="","",INDEX(単元13!$H$5:$H$164,$C36)&amp;"")</f>
        <v/>
      </c>
      <c r="BD36" s="61" t="str">
        <f aca="false">IF($C36="","",INDEX(単元14!$F$5:$F$164,$C36)&amp;"")</f>
        <v/>
      </c>
      <c r="BE36" s="61" t="str">
        <f aca="false">IF($C36="","",INDEX(単元14!$G$5:$G$164,$C36)&amp;"")</f>
        <v/>
      </c>
      <c r="BF36" s="61" t="str">
        <f aca="false">IF($C36="","",INDEX(単元14!$H$5:$H$164,$C36)&amp;"")</f>
        <v/>
      </c>
      <c r="BG36" s="61" t="str">
        <f aca="false">IF($C36="","",INDEX(単元15!$F$5:$F$164,$C36)&amp;"")</f>
        <v/>
      </c>
      <c r="BH36" s="61" t="str">
        <f aca="false">IF($C36="","",INDEX(単元15!$G$5:$G$164,$C36)&amp;"")</f>
        <v/>
      </c>
      <c r="BI36" s="61" t="str">
        <f aca="false">IF($C36="","",INDEX(単元15!$H$5:$H$164,$C36)&amp;"")</f>
        <v/>
      </c>
      <c r="BJ36" s="61" t="str">
        <f aca="false">IF($C36="","",INDEX(単元16!$F$5:$F$164,$C36)&amp;"")</f>
        <v/>
      </c>
      <c r="BK36" s="61" t="str">
        <f aca="false">IF($C36="","",INDEX(単元16!$G$5:$G$164,$C36)&amp;"")</f>
        <v/>
      </c>
      <c r="BL36" s="61" t="str">
        <f aca="false">IF($C36="","",INDEX(単元16!$H$5:$H$164,$C36)&amp;"")</f>
        <v/>
      </c>
      <c r="BM36" s="61" t="str">
        <f aca="false">IF($C36="","",INDEX(単元17!$F$5:$F$164,$C36)&amp;"")</f>
        <v/>
      </c>
      <c r="BN36" s="61" t="str">
        <f aca="false">IF($C36="","",INDEX(単元17!$G$5:$G$164,$C36)&amp;"")</f>
        <v/>
      </c>
      <c r="BO36" s="61" t="str">
        <f aca="false">IF($C36="","",INDEX(単元17!$H$5:$H$164,$C36)&amp;"")</f>
        <v/>
      </c>
      <c r="BP36" s="61" t="str">
        <f aca="false">IF($C36="","",INDEX(単元18!$F$5:$F$164,$C36)&amp;"")</f>
        <v/>
      </c>
      <c r="BQ36" s="61" t="str">
        <f aca="false">IF($C36="","",INDEX(単元18!$G$5:$G$164,$C36)&amp;"")</f>
        <v/>
      </c>
      <c r="BR36" s="61" t="str">
        <f aca="false">IF($C36="","",INDEX(単元18!$H$5:$H$164,$C36)&amp;"")</f>
        <v/>
      </c>
      <c r="BS36" s="61" t="str">
        <f aca="false">IF($C36="","",INDEX(単元19!$F$5:$F$164,$C36)&amp;"")</f>
        <v/>
      </c>
      <c r="BT36" s="61" t="str">
        <f aca="false">IF($C36="","",INDEX(単元19!$G$5:$G$164,$C36)&amp;"")</f>
        <v/>
      </c>
      <c r="BU36" s="61" t="str">
        <f aca="false">IF($C36="","",INDEX(単元19!$H$5:$H$164,$C36)&amp;"")</f>
        <v/>
      </c>
      <c r="BV36" s="61" t="str">
        <f aca="false">IF($C36="","",INDEX(単元20!$F$5:$F$164,$C36)&amp;"")</f>
        <v/>
      </c>
      <c r="BW36" s="61" t="str">
        <f aca="false">IF($C36="","",INDEX(単元20!$G$5:$G$164,$C36)&amp;"")</f>
        <v/>
      </c>
      <c r="BX36" s="61" t="str">
        <f aca="false">IF($C36="","",INDEX(単元20!$H$5:$H$164,$C36)&amp;"")</f>
        <v/>
      </c>
    </row>
    <row r="37" customFormat="false" ht="19.5" hidden="false" customHeight="true" outlineLevel="0" collapsed="false">
      <c r="A37" s="91" t="str">
        <f aca="false">IF($C37="","",INDEX(名簿!$C$5:$C$164,$C37))</f>
        <v/>
      </c>
      <c r="B37" s="59" t="str">
        <f aca="false">IF($C37="","",INDEX(名簿!$D$5:$D$164,$C37)&amp;IF(INDEX(名簿!$F$5:$F$164,$C37)="転出","（転出）",""))</f>
        <v/>
      </c>
      <c r="C37" s="41" t="str">
        <f aca="false">IFERROR(MATCH($B$2&amp;"|"&amp;31,名簿!$G$5:$G$164,0),"")</f>
        <v/>
      </c>
      <c r="D37" s="60" t="str">
        <f aca="false">IF($C37="","",SUMPRODUCT(($Q37:$BX37=D$6)*($Q$6:$BX$6=D$3)*((($F$2&amp;"")="通年")+($Q$3:$BX$3=($F$2&amp;""))&gt;0)))</f>
        <v/>
      </c>
      <c r="E37" s="60" t="str">
        <f aca="false">IF($C37="","",SUMPRODUCT(($Q37:$BX37=E$6)*($Q$6:$BX$6=E$3)*((($F$2&amp;"")="通年")+($Q$3:$BX$3=($F$2&amp;""))&gt;0)))</f>
        <v/>
      </c>
      <c r="F37" s="60" t="str">
        <f aca="false">IF($C37="","",SUMPRODUCT(($Q37:$BX37=F$6)*($Q$6:$BX$6=F$3)*((($F$2&amp;"")="通年")+($Q$3:$BX$3=($F$2&amp;""))&gt;0)))</f>
        <v/>
      </c>
      <c r="G37" s="60" t="str">
        <f aca="false">IF($C37="","",SUMPRODUCT(($Q37:$BX37=G$6)*($Q$6:$BX$6=G$3)*((($F$2&amp;"")="通年")+($Q$3:$BX$3=($F$2&amp;""))&gt;0)))</f>
        <v/>
      </c>
      <c r="H37" s="60" t="str">
        <f aca="false">IF($C37="","",SUMPRODUCT(($Q37:$BX37=H$6)*($Q$6:$BX$6=H$3)*((($F$2&amp;"")="通年")+($Q$3:$BX$3=($F$2&amp;""))&gt;0)))</f>
        <v/>
      </c>
      <c r="I37" s="60" t="str">
        <f aca="false">IF($C37="","",SUMPRODUCT(($Q37:$BX37=I$6)*($Q$6:$BX$6=I$3)*((($F$2&amp;"")="通年")+($Q$3:$BX$3=($F$2&amp;""))&gt;0)))</f>
        <v/>
      </c>
      <c r="J37" s="60" t="str">
        <f aca="false">IF($C37="","",SUMPRODUCT(($Q37:$BX37=J$6)*($Q$6:$BX$6=J$3)*((($F$2&amp;"")="通年")+($Q$3:$BX$3=($F$2&amp;""))&gt;0)))</f>
        <v/>
      </c>
      <c r="K37" s="60" t="str">
        <f aca="false">IF($C37="","",SUMPRODUCT(($Q37:$BX37=K$6)*($Q$6:$BX$6=K$3)*((($F$2&amp;"")="通年")+($Q$3:$BX$3=($F$2&amp;""))&gt;0)))</f>
        <v/>
      </c>
      <c r="L37" s="60" t="str">
        <f aca="false">IF($C37="","",SUMPRODUCT(($Q37:$BX37=L$6)*($Q$6:$BX$6=L$3)*((($F$2&amp;"")="通年")+($Q$3:$BX$3=($F$2&amp;""))&gt;0)))</f>
        <v/>
      </c>
      <c r="M37" s="62" t="str">
        <f aca="false">IF($C37="","",IF(SUM(D37:F37)=0,"",IF(D37/SUM(D37:F37)&gt;=設定!$I$17,設定!$G$8,IF(F37/SUM(D37:F37)&gt;=設定!$I$18,設定!$G$10,設定!$G$9))))</f>
        <v/>
      </c>
      <c r="N37" s="62" t="str">
        <f aca="false">IF($C37="","",IF(SUM(G37:I37)=0,"",IF(G37/SUM(G37:I37)&gt;=設定!$I$17,設定!$G$8,IF(I37/SUM(G37:I37)&gt;=設定!$I$18,設定!$G$10,設定!$G$9))))</f>
        <v/>
      </c>
      <c r="O37" s="62" t="str">
        <f aca="false">IF($C37="","",IF(SUM(J37:L37)=0,"",IF(J37/SUM(J37:L37)&gt;=設定!$I$17,設定!$G$8,IF(L37/SUM(J37:L37)&gt;=設定!$I$18,設定!$G$10,設定!$G$9))))</f>
        <v/>
      </c>
      <c r="P37" s="13"/>
      <c r="Q37" s="61" t="str">
        <f aca="false">IF($C37="","",INDEX(単元01!$F$5:$F$164,$C37)&amp;"")</f>
        <v/>
      </c>
      <c r="R37" s="61" t="str">
        <f aca="false">IF($C37="","",INDEX(単元01!$G$5:$G$164,$C37)&amp;"")</f>
        <v/>
      </c>
      <c r="S37" s="61" t="str">
        <f aca="false">IF($C37="","",INDEX(単元01!$H$5:$H$164,$C37)&amp;"")</f>
        <v/>
      </c>
      <c r="T37" s="61" t="str">
        <f aca="false">IF($C37="","",INDEX(単元02!$F$5:$F$164,$C37)&amp;"")</f>
        <v/>
      </c>
      <c r="U37" s="61" t="str">
        <f aca="false">IF($C37="","",INDEX(単元02!$G$5:$G$164,$C37)&amp;"")</f>
        <v/>
      </c>
      <c r="V37" s="61" t="str">
        <f aca="false">IF($C37="","",INDEX(単元02!$H$5:$H$164,$C37)&amp;"")</f>
        <v/>
      </c>
      <c r="W37" s="61" t="str">
        <f aca="false">IF($C37="","",INDEX(単元03!$F$5:$F$164,$C37)&amp;"")</f>
        <v/>
      </c>
      <c r="X37" s="61" t="str">
        <f aca="false">IF($C37="","",INDEX(単元03!$G$5:$G$164,$C37)&amp;"")</f>
        <v/>
      </c>
      <c r="Y37" s="61" t="str">
        <f aca="false">IF($C37="","",INDEX(単元03!$H$5:$H$164,$C37)&amp;"")</f>
        <v/>
      </c>
      <c r="Z37" s="61" t="str">
        <f aca="false">IF($C37="","",INDEX(単元04!$F$5:$F$164,$C37)&amp;"")</f>
        <v/>
      </c>
      <c r="AA37" s="61" t="str">
        <f aca="false">IF($C37="","",INDEX(単元04!$G$5:$G$164,$C37)&amp;"")</f>
        <v/>
      </c>
      <c r="AB37" s="61" t="str">
        <f aca="false">IF($C37="","",INDEX(単元04!$H$5:$H$164,$C37)&amp;"")</f>
        <v/>
      </c>
      <c r="AC37" s="61" t="str">
        <f aca="false">IF($C37="","",INDEX(単元05!$F$5:$F$164,$C37)&amp;"")</f>
        <v/>
      </c>
      <c r="AD37" s="61" t="str">
        <f aca="false">IF($C37="","",INDEX(単元05!$G$5:$G$164,$C37)&amp;"")</f>
        <v/>
      </c>
      <c r="AE37" s="61" t="str">
        <f aca="false">IF($C37="","",INDEX(単元05!$H$5:$H$164,$C37)&amp;"")</f>
        <v/>
      </c>
      <c r="AF37" s="61" t="str">
        <f aca="false">IF($C37="","",INDEX(単元06!$F$5:$F$164,$C37)&amp;"")</f>
        <v/>
      </c>
      <c r="AG37" s="61" t="str">
        <f aca="false">IF($C37="","",INDEX(単元06!$G$5:$G$164,$C37)&amp;"")</f>
        <v/>
      </c>
      <c r="AH37" s="61" t="str">
        <f aca="false">IF($C37="","",INDEX(単元06!$H$5:$H$164,$C37)&amp;"")</f>
        <v/>
      </c>
      <c r="AI37" s="61" t="str">
        <f aca="false">IF($C37="","",INDEX(単元07!$F$5:$F$164,$C37)&amp;"")</f>
        <v/>
      </c>
      <c r="AJ37" s="61" t="str">
        <f aca="false">IF($C37="","",INDEX(単元07!$G$5:$G$164,$C37)&amp;"")</f>
        <v/>
      </c>
      <c r="AK37" s="61" t="str">
        <f aca="false">IF($C37="","",INDEX(単元07!$H$5:$H$164,$C37)&amp;"")</f>
        <v/>
      </c>
      <c r="AL37" s="61" t="str">
        <f aca="false">IF($C37="","",INDEX(単元08!$F$5:$F$164,$C37)&amp;"")</f>
        <v/>
      </c>
      <c r="AM37" s="61" t="str">
        <f aca="false">IF($C37="","",INDEX(単元08!$G$5:$G$164,$C37)&amp;"")</f>
        <v/>
      </c>
      <c r="AN37" s="61" t="str">
        <f aca="false">IF($C37="","",INDEX(単元08!$H$5:$H$164,$C37)&amp;"")</f>
        <v/>
      </c>
      <c r="AO37" s="61" t="str">
        <f aca="false">IF($C37="","",INDEX(単元09!$F$5:$F$164,$C37)&amp;"")</f>
        <v/>
      </c>
      <c r="AP37" s="61" t="str">
        <f aca="false">IF($C37="","",INDEX(単元09!$G$5:$G$164,$C37)&amp;"")</f>
        <v/>
      </c>
      <c r="AQ37" s="61" t="str">
        <f aca="false">IF($C37="","",INDEX(単元09!$H$5:$H$164,$C37)&amp;"")</f>
        <v/>
      </c>
      <c r="AR37" s="61" t="str">
        <f aca="false">IF($C37="","",INDEX(単元10!$F$5:$F$164,$C37)&amp;"")</f>
        <v/>
      </c>
      <c r="AS37" s="61" t="str">
        <f aca="false">IF($C37="","",INDEX(単元10!$G$5:$G$164,$C37)&amp;"")</f>
        <v/>
      </c>
      <c r="AT37" s="61" t="str">
        <f aca="false">IF($C37="","",INDEX(単元10!$H$5:$H$164,$C37)&amp;"")</f>
        <v/>
      </c>
      <c r="AU37" s="61" t="str">
        <f aca="false">IF($C37="","",INDEX(単元11!$F$5:$F$164,$C37)&amp;"")</f>
        <v/>
      </c>
      <c r="AV37" s="61" t="str">
        <f aca="false">IF($C37="","",INDEX(単元11!$G$5:$G$164,$C37)&amp;"")</f>
        <v/>
      </c>
      <c r="AW37" s="61" t="str">
        <f aca="false">IF($C37="","",INDEX(単元11!$H$5:$H$164,$C37)&amp;"")</f>
        <v/>
      </c>
      <c r="AX37" s="61" t="str">
        <f aca="false">IF($C37="","",INDEX(単元12!$F$5:$F$164,$C37)&amp;"")</f>
        <v/>
      </c>
      <c r="AY37" s="61" t="str">
        <f aca="false">IF($C37="","",INDEX(単元12!$G$5:$G$164,$C37)&amp;"")</f>
        <v/>
      </c>
      <c r="AZ37" s="61" t="str">
        <f aca="false">IF($C37="","",INDEX(単元12!$H$5:$H$164,$C37)&amp;"")</f>
        <v/>
      </c>
      <c r="BA37" s="61" t="str">
        <f aca="false">IF($C37="","",INDEX(単元13!$F$5:$F$164,$C37)&amp;"")</f>
        <v/>
      </c>
      <c r="BB37" s="61" t="str">
        <f aca="false">IF($C37="","",INDEX(単元13!$G$5:$G$164,$C37)&amp;"")</f>
        <v/>
      </c>
      <c r="BC37" s="61" t="str">
        <f aca="false">IF($C37="","",INDEX(単元13!$H$5:$H$164,$C37)&amp;"")</f>
        <v/>
      </c>
      <c r="BD37" s="61" t="str">
        <f aca="false">IF($C37="","",INDEX(単元14!$F$5:$F$164,$C37)&amp;"")</f>
        <v/>
      </c>
      <c r="BE37" s="61" t="str">
        <f aca="false">IF($C37="","",INDEX(単元14!$G$5:$G$164,$C37)&amp;"")</f>
        <v/>
      </c>
      <c r="BF37" s="61" t="str">
        <f aca="false">IF($C37="","",INDEX(単元14!$H$5:$H$164,$C37)&amp;"")</f>
        <v/>
      </c>
      <c r="BG37" s="61" t="str">
        <f aca="false">IF($C37="","",INDEX(単元15!$F$5:$F$164,$C37)&amp;"")</f>
        <v/>
      </c>
      <c r="BH37" s="61" t="str">
        <f aca="false">IF($C37="","",INDEX(単元15!$G$5:$G$164,$C37)&amp;"")</f>
        <v/>
      </c>
      <c r="BI37" s="61" t="str">
        <f aca="false">IF($C37="","",INDEX(単元15!$H$5:$H$164,$C37)&amp;"")</f>
        <v/>
      </c>
      <c r="BJ37" s="61" t="str">
        <f aca="false">IF($C37="","",INDEX(単元16!$F$5:$F$164,$C37)&amp;"")</f>
        <v/>
      </c>
      <c r="BK37" s="61" t="str">
        <f aca="false">IF($C37="","",INDEX(単元16!$G$5:$G$164,$C37)&amp;"")</f>
        <v/>
      </c>
      <c r="BL37" s="61" t="str">
        <f aca="false">IF($C37="","",INDEX(単元16!$H$5:$H$164,$C37)&amp;"")</f>
        <v/>
      </c>
      <c r="BM37" s="61" t="str">
        <f aca="false">IF($C37="","",INDEX(単元17!$F$5:$F$164,$C37)&amp;"")</f>
        <v/>
      </c>
      <c r="BN37" s="61" t="str">
        <f aca="false">IF($C37="","",INDEX(単元17!$G$5:$G$164,$C37)&amp;"")</f>
        <v/>
      </c>
      <c r="BO37" s="61" t="str">
        <f aca="false">IF($C37="","",INDEX(単元17!$H$5:$H$164,$C37)&amp;"")</f>
        <v/>
      </c>
      <c r="BP37" s="61" t="str">
        <f aca="false">IF($C37="","",INDEX(単元18!$F$5:$F$164,$C37)&amp;"")</f>
        <v/>
      </c>
      <c r="BQ37" s="61" t="str">
        <f aca="false">IF($C37="","",INDEX(単元18!$G$5:$G$164,$C37)&amp;"")</f>
        <v/>
      </c>
      <c r="BR37" s="61" t="str">
        <f aca="false">IF($C37="","",INDEX(単元18!$H$5:$H$164,$C37)&amp;"")</f>
        <v/>
      </c>
      <c r="BS37" s="61" t="str">
        <f aca="false">IF($C37="","",INDEX(単元19!$F$5:$F$164,$C37)&amp;"")</f>
        <v/>
      </c>
      <c r="BT37" s="61" t="str">
        <f aca="false">IF($C37="","",INDEX(単元19!$G$5:$G$164,$C37)&amp;"")</f>
        <v/>
      </c>
      <c r="BU37" s="61" t="str">
        <f aca="false">IF($C37="","",INDEX(単元19!$H$5:$H$164,$C37)&amp;"")</f>
        <v/>
      </c>
      <c r="BV37" s="61" t="str">
        <f aca="false">IF($C37="","",INDEX(単元20!$F$5:$F$164,$C37)&amp;"")</f>
        <v/>
      </c>
      <c r="BW37" s="61" t="str">
        <f aca="false">IF($C37="","",INDEX(単元20!$G$5:$G$164,$C37)&amp;"")</f>
        <v/>
      </c>
      <c r="BX37" s="61" t="str">
        <f aca="false">IF($C37="","",INDEX(単元20!$H$5:$H$164,$C37)&amp;"")</f>
        <v/>
      </c>
    </row>
    <row r="38" customFormat="false" ht="19.5" hidden="false" customHeight="true" outlineLevel="0" collapsed="false">
      <c r="A38" s="91" t="str">
        <f aca="false">IF($C38="","",INDEX(名簿!$C$5:$C$164,$C38))</f>
        <v/>
      </c>
      <c r="B38" s="59" t="str">
        <f aca="false">IF($C38="","",INDEX(名簿!$D$5:$D$164,$C38)&amp;IF(INDEX(名簿!$F$5:$F$164,$C38)="転出","（転出）",""))</f>
        <v/>
      </c>
      <c r="C38" s="41" t="str">
        <f aca="false">IFERROR(MATCH($B$2&amp;"|"&amp;32,名簿!$G$5:$G$164,0),"")</f>
        <v/>
      </c>
      <c r="D38" s="60" t="str">
        <f aca="false">IF($C38="","",SUMPRODUCT(($Q38:$BX38=D$6)*($Q$6:$BX$6=D$3)*((($F$2&amp;"")="通年")+($Q$3:$BX$3=($F$2&amp;""))&gt;0)))</f>
        <v/>
      </c>
      <c r="E38" s="60" t="str">
        <f aca="false">IF($C38="","",SUMPRODUCT(($Q38:$BX38=E$6)*($Q$6:$BX$6=E$3)*((($F$2&amp;"")="通年")+($Q$3:$BX$3=($F$2&amp;""))&gt;0)))</f>
        <v/>
      </c>
      <c r="F38" s="60" t="str">
        <f aca="false">IF($C38="","",SUMPRODUCT(($Q38:$BX38=F$6)*($Q$6:$BX$6=F$3)*((($F$2&amp;"")="通年")+($Q$3:$BX$3=($F$2&amp;""))&gt;0)))</f>
        <v/>
      </c>
      <c r="G38" s="60" t="str">
        <f aca="false">IF($C38="","",SUMPRODUCT(($Q38:$BX38=G$6)*($Q$6:$BX$6=G$3)*((($F$2&amp;"")="通年")+($Q$3:$BX$3=($F$2&amp;""))&gt;0)))</f>
        <v/>
      </c>
      <c r="H38" s="60" t="str">
        <f aca="false">IF($C38="","",SUMPRODUCT(($Q38:$BX38=H$6)*($Q$6:$BX$6=H$3)*((($F$2&amp;"")="通年")+($Q$3:$BX$3=($F$2&amp;""))&gt;0)))</f>
        <v/>
      </c>
      <c r="I38" s="60" t="str">
        <f aca="false">IF($C38="","",SUMPRODUCT(($Q38:$BX38=I$6)*($Q$6:$BX$6=I$3)*((($F$2&amp;"")="通年")+($Q$3:$BX$3=($F$2&amp;""))&gt;0)))</f>
        <v/>
      </c>
      <c r="J38" s="60" t="str">
        <f aca="false">IF($C38="","",SUMPRODUCT(($Q38:$BX38=J$6)*($Q$6:$BX$6=J$3)*((($F$2&amp;"")="通年")+($Q$3:$BX$3=($F$2&amp;""))&gt;0)))</f>
        <v/>
      </c>
      <c r="K38" s="60" t="str">
        <f aca="false">IF($C38="","",SUMPRODUCT(($Q38:$BX38=K$6)*($Q$6:$BX$6=K$3)*((($F$2&amp;"")="通年")+($Q$3:$BX$3=($F$2&amp;""))&gt;0)))</f>
        <v/>
      </c>
      <c r="L38" s="60" t="str">
        <f aca="false">IF($C38="","",SUMPRODUCT(($Q38:$BX38=L$6)*($Q$6:$BX$6=L$3)*((($F$2&amp;"")="通年")+($Q$3:$BX$3=($F$2&amp;""))&gt;0)))</f>
        <v/>
      </c>
      <c r="M38" s="62" t="str">
        <f aca="false">IF($C38="","",IF(SUM(D38:F38)=0,"",IF(D38/SUM(D38:F38)&gt;=設定!$I$17,設定!$G$8,IF(F38/SUM(D38:F38)&gt;=設定!$I$18,設定!$G$10,設定!$G$9))))</f>
        <v/>
      </c>
      <c r="N38" s="62" t="str">
        <f aca="false">IF($C38="","",IF(SUM(G38:I38)=0,"",IF(G38/SUM(G38:I38)&gt;=設定!$I$17,設定!$G$8,IF(I38/SUM(G38:I38)&gt;=設定!$I$18,設定!$G$10,設定!$G$9))))</f>
        <v/>
      </c>
      <c r="O38" s="62" t="str">
        <f aca="false">IF($C38="","",IF(SUM(J38:L38)=0,"",IF(J38/SUM(J38:L38)&gt;=設定!$I$17,設定!$G$8,IF(L38/SUM(J38:L38)&gt;=設定!$I$18,設定!$G$10,設定!$G$9))))</f>
        <v/>
      </c>
      <c r="P38" s="13"/>
      <c r="Q38" s="61" t="str">
        <f aca="false">IF($C38="","",INDEX(単元01!$F$5:$F$164,$C38)&amp;"")</f>
        <v/>
      </c>
      <c r="R38" s="61" t="str">
        <f aca="false">IF($C38="","",INDEX(単元01!$G$5:$G$164,$C38)&amp;"")</f>
        <v/>
      </c>
      <c r="S38" s="61" t="str">
        <f aca="false">IF($C38="","",INDEX(単元01!$H$5:$H$164,$C38)&amp;"")</f>
        <v/>
      </c>
      <c r="T38" s="61" t="str">
        <f aca="false">IF($C38="","",INDEX(単元02!$F$5:$F$164,$C38)&amp;"")</f>
        <v/>
      </c>
      <c r="U38" s="61" t="str">
        <f aca="false">IF($C38="","",INDEX(単元02!$G$5:$G$164,$C38)&amp;"")</f>
        <v/>
      </c>
      <c r="V38" s="61" t="str">
        <f aca="false">IF($C38="","",INDEX(単元02!$H$5:$H$164,$C38)&amp;"")</f>
        <v/>
      </c>
      <c r="W38" s="61" t="str">
        <f aca="false">IF($C38="","",INDEX(単元03!$F$5:$F$164,$C38)&amp;"")</f>
        <v/>
      </c>
      <c r="X38" s="61" t="str">
        <f aca="false">IF($C38="","",INDEX(単元03!$G$5:$G$164,$C38)&amp;"")</f>
        <v/>
      </c>
      <c r="Y38" s="61" t="str">
        <f aca="false">IF($C38="","",INDEX(単元03!$H$5:$H$164,$C38)&amp;"")</f>
        <v/>
      </c>
      <c r="Z38" s="61" t="str">
        <f aca="false">IF($C38="","",INDEX(単元04!$F$5:$F$164,$C38)&amp;"")</f>
        <v/>
      </c>
      <c r="AA38" s="61" t="str">
        <f aca="false">IF($C38="","",INDEX(単元04!$G$5:$G$164,$C38)&amp;"")</f>
        <v/>
      </c>
      <c r="AB38" s="61" t="str">
        <f aca="false">IF($C38="","",INDEX(単元04!$H$5:$H$164,$C38)&amp;"")</f>
        <v/>
      </c>
      <c r="AC38" s="61" t="str">
        <f aca="false">IF($C38="","",INDEX(単元05!$F$5:$F$164,$C38)&amp;"")</f>
        <v/>
      </c>
      <c r="AD38" s="61" t="str">
        <f aca="false">IF($C38="","",INDEX(単元05!$G$5:$G$164,$C38)&amp;"")</f>
        <v/>
      </c>
      <c r="AE38" s="61" t="str">
        <f aca="false">IF($C38="","",INDEX(単元05!$H$5:$H$164,$C38)&amp;"")</f>
        <v/>
      </c>
      <c r="AF38" s="61" t="str">
        <f aca="false">IF($C38="","",INDEX(単元06!$F$5:$F$164,$C38)&amp;"")</f>
        <v/>
      </c>
      <c r="AG38" s="61" t="str">
        <f aca="false">IF($C38="","",INDEX(単元06!$G$5:$G$164,$C38)&amp;"")</f>
        <v/>
      </c>
      <c r="AH38" s="61" t="str">
        <f aca="false">IF($C38="","",INDEX(単元06!$H$5:$H$164,$C38)&amp;"")</f>
        <v/>
      </c>
      <c r="AI38" s="61" t="str">
        <f aca="false">IF($C38="","",INDEX(単元07!$F$5:$F$164,$C38)&amp;"")</f>
        <v/>
      </c>
      <c r="AJ38" s="61" t="str">
        <f aca="false">IF($C38="","",INDEX(単元07!$G$5:$G$164,$C38)&amp;"")</f>
        <v/>
      </c>
      <c r="AK38" s="61" t="str">
        <f aca="false">IF($C38="","",INDEX(単元07!$H$5:$H$164,$C38)&amp;"")</f>
        <v/>
      </c>
      <c r="AL38" s="61" t="str">
        <f aca="false">IF($C38="","",INDEX(単元08!$F$5:$F$164,$C38)&amp;"")</f>
        <v/>
      </c>
      <c r="AM38" s="61" t="str">
        <f aca="false">IF($C38="","",INDEX(単元08!$G$5:$G$164,$C38)&amp;"")</f>
        <v/>
      </c>
      <c r="AN38" s="61" t="str">
        <f aca="false">IF($C38="","",INDEX(単元08!$H$5:$H$164,$C38)&amp;"")</f>
        <v/>
      </c>
      <c r="AO38" s="61" t="str">
        <f aca="false">IF($C38="","",INDEX(単元09!$F$5:$F$164,$C38)&amp;"")</f>
        <v/>
      </c>
      <c r="AP38" s="61" t="str">
        <f aca="false">IF($C38="","",INDEX(単元09!$G$5:$G$164,$C38)&amp;"")</f>
        <v/>
      </c>
      <c r="AQ38" s="61" t="str">
        <f aca="false">IF($C38="","",INDEX(単元09!$H$5:$H$164,$C38)&amp;"")</f>
        <v/>
      </c>
      <c r="AR38" s="61" t="str">
        <f aca="false">IF($C38="","",INDEX(単元10!$F$5:$F$164,$C38)&amp;"")</f>
        <v/>
      </c>
      <c r="AS38" s="61" t="str">
        <f aca="false">IF($C38="","",INDEX(単元10!$G$5:$G$164,$C38)&amp;"")</f>
        <v/>
      </c>
      <c r="AT38" s="61" t="str">
        <f aca="false">IF($C38="","",INDEX(単元10!$H$5:$H$164,$C38)&amp;"")</f>
        <v/>
      </c>
      <c r="AU38" s="61" t="str">
        <f aca="false">IF($C38="","",INDEX(単元11!$F$5:$F$164,$C38)&amp;"")</f>
        <v/>
      </c>
      <c r="AV38" s="61" t="str">
        <f aca="false">IF($C38="","",INDEX(単元11!$G$5:$G$164,$C38)&amp;"")</f>
        <v/>
      </c>
      <c r="AW38" s="61" t="str">
        <f aca="false">IF($C38="","",INDEX(単元11!$H$5:$H$164,$C38)&amp;"")</f>
        <v/>
      </c>
      <c r="AX38" s="61" t="str">
        <f aca="false">IF($C38="","",INDEX(単元12!$F$5:$F$164,$C38)&amp;"")</f>
        <v/>
      </c>
      <c r="AY38" s="61" t="str">
        <f aca="false">IF($C38="","",INDEX(単元12!$G$5:$G$164,$C38)&amp;"")</f>
        <v/>
      </c>
      <c r="AZ38" s="61" t="str">
        <f aca="false">IF($C38="","",INDEX(単元12!$H$5:$H$164,$C38)&amp;"")</f>
        <v/>
      </c>
      <c r="BA38" s="61" t="str">
        <f aca="false">IF($C38="","",INDEX(単元13!$F$5:$F$164,$C38)&amp;"")</f>
        <v/>
      </c>
      <c r="BB38" s="61" t="str">
        <f aca="false">IF($C38="","",INDEX(単元13!$G$5:$G$164,$C38)&amp;"")</f>
        <v/>
      </c>
      <c r="BC38" s="61" t="str">
        <f aca="false">IF($C38="","",INDEX(単元13!$H$5:$H$164,$C38)&amp;"")</f>
        <v/>
      </c>
      <c r="BD38" s="61" t="str">
        <f aca="false">IF($C38="","",INDEX(単元14!$F$5:$F$164,$C38)&amp;"")</f>
        <v/>
      </c>
      <c r="BE38" s="61" t="str">
        <f aca="false">IF($C38="","",INDEX(単元14!$G$5:$G$164,$C38)&amp;"")</f>
        <v/>
      </c>
      <c r="BF38" s="61" t="str">
        <f aca="false">IF($C38="","",INDEX(単元14!$H$5:$H$164,$C38)&amp;"")</f>
        <v/>
      </c>
      <c r="BG38" s="61" t="str">
        <f aca="false">IF($C38="","",INDEX(単元15!$F$5:$F$164,$C38)&amp;"")</f>
        <v/>
      </c>
      <c r="BH38" s="61" t="str">
        <f aca="false">IF($C38="","",INDEX(単元15!$G$5:$G$164,$C38)&amp;"")</f>
        <v/>
      </c>
      <c r="BI38" s="61" t="str">
        <f aca="false">IF($C38="","",INDEX(単元15!$H$5:$H$164,$C38)&amp;"")</f>
        <v/>
      </c>
      <c r="BJ38" s="61" t="str">
        <f aca="false">IF($C38="","",INDEX(単元16!$F$5:$F$164,$C38)&amp;"")</f>
        <v/>
      </c>
      <c r="BK38" s="61" t="str">
        <f aca="false">IF($C38="","",INDEX(単元16!$G$5:$G$164,$C38)&amp;"")</f>
        <v/>
      </c>
      <c r="BL38" s="61" t="str">
        <f aca="false">IF($C38="","",INDEX(単元16!$H$5:$H$164,$C38)&amp;"")</f>
        <v/>
      </c>
      <c r="BM38" s="61" t="str">
        <f aca="false">IF($C38="","",INDEX(単元17!$F$5:$F$164,$C38)&amp;"")</f>
        <v/>
      </c>
      <c r="BN38" s="61" t="str">
        <f aca="false">IF($C38="","",INDEX(単元17!$G$5:$G$164,$C38)&amp;"")</f>
        <v/>
      </c>
      <c r="BO38" s="61" t="str">
        <f aca="false">IF($C38="","",INDEX(単元17!$H$5:$H$164,$C38)&amp;"")</f>
        <v/>
      </c>
      <c r="BP38" s="61" t="str">
        <f aca="false">IF($C38="","",INDEX(単元18!$F$5:$F$164,$C38)&amp;"")</f>
        <v/>
      </c>
      <c r="BQ38" s="61" t="str">
        <f aca="false">IF($C38="","",INDEX(単元18!$G$5:$G$164,$C38)&amp;"")</f>
        <v/>
      </c>
      <c r="BR38" s="61" t="str">
        <f aca="false">IF($C38="","",INDEX(単元18!$H$5:$H$164,$C38)&amp;"")</f>
        <v/>
      </c>
      <c r="BS38" s="61" t="str">
        <f aca="false">IF($C38="","",INDEX(単元19!$F$5:$F$164,$C38)&amp;"")</f>
        <v/>
      </c>
      <c r="BT38" s="61" t="str">
        <f aca="false">IF($C38="","",INDEX(単元19!$G$5:$G$164,$C38)&amp;"")</f>
        <v/>
      </c>
      <c r="BU38" s="61" t="str">
        <f aca="false">IF($C38="","",INDEX(単元19!$H$5:$H$164,$C38)&amp;"")</f>
        <v/>
      </c>
      <c r="BV38" s="61" t="str">
        <f aca="false">IF($C38="","",INDEX(単元20!$F$5:$F$164,$C38)&amp;"")</f>
        <v/>
      </c>
      <c r="BW38" s="61" t="str">
        <f aca="false">IF($C38="","",INDEX(単元20!$G$5:$G$164,$C38)&amp;"")</f>
        <v/>
      </c>
      <c r="BX38" s="61" t="str">
        <f aca="false">IF($C38="","",INDEX(単元20!$H$5:$H$164,$C38)&amp;"")</f>
        <v/>
      </c>
    </row>
    <row r="39" customFormat="false" ht="19.5" hidden="false" customHeight="true" outlineLevel="0" collapsed="false">
      <c r="A39" s="91" t="str">
        <f aca="false">IF($C39="","",INDEX(名簿!$C$5:$C$164,$C39))</f>
        <v/>
      </c>
      <c r="B39" s="59" t="str">
        <f aca="false">IF($C39="","",INDEX(名簿!$D$5:$D$164,$C39)&amp;IF(INDEX(名簿!$F$5:$F$164,$C39)="転出","（転出）",""))</f>
        <v/>
      </c>
      <c r="C39" s="41" t="str">
        <f aca="false">IFERROR(MATCH($B$2&amp;"|"&amp;33,名簿!$G$5:$G$164,0),"")</f>
        <v/>
      </c>
      <c r="D39" s="60" t="str">
        <f aca="false">IF($C39="","",SUMPRODUCT(($Q39:$BX39=D$6)*($Q$6:$BX$6=D$3)*((($F$2&amp;"")="通年")+($Q$3:$BX$3=($F$2&amp;""))&gt;0)))</f>
        <v/>
      </c>
      <c r="E39" s="60" t="str">
        <f aca="false">IF($C39="","",SUMPRODUCT(($Q39:$BX39=E$6)*($Q$6:$BX$6=E$3)*((($F$2&amp;"")="通年")+($Q$3:$BX$3=($F$2&amp;""))&gt;0)))</f>
        <v/>
      </c>
      <c r="F39" s="60" t="str">
        <f aca="false">IF($C39="","",SUMPRODUCT(($Q39:$BX39=F$6)*($Q$6:$BX$6=F$3)*((($F$2&amp;"")="通年")+($Q$3:$BX$3=($F$2&amp;""))&gt;0)))</f>
        <v/>
      </c>
      <c r="G39" s="60" t="str">
        <f aca="false">IF($C39="","",SUMPRODUCT(($Q39:$BX39=G$6)*($Q$6:$BX$6=G$3)*((($F$2&amp;"")="通年")+($Q$3:$BX$3=($F$2&amp;""))&gt;0)))</f>
        <v/>
      </c>
      <c r="H39" s="60" t="str">
        <f aca="false">IF($C39="","",SUMPRODUCT(($Q39:$BX39=H$6)*($Q$6:$BX$6=H$3)*((($F$2&amp;"")="通年")+($Q$3:$BX$3=($F$2&amp;""))&gt;0)))</f>
        <v/>
      </c>
      <c r="I39" s="60" t="str">
        <f aca="false">IF($C39="","",SUMPRODUCT(($Q39:$BX39=I$6)*($Q$6:$BX$6=I$3)*((($F$2&amp;"")="通年")+($Q$3:$BX$3=($F$2&amp;""))&gt;0)))</f>
        <v/>
      </c>
      <c r="J39" s="60" t="str">
        <f aca="false">IF($C39="","",SUMPRODUCT(($Q39:$BX39=J$6)*($Q$6:$BX$6=J$3)*((($F$2&amp;"")="通年")+($Q$3:$BX$3=($F$2&amp;""))&gt;0)))</f>
        <v/>
      </c>
      <c r="K39" s="60" t="str">
        <f aca="false">IF($C39="","",SUMPRODUCT(($Q39:$BX39=K$6)*($Q$6:$BX$6=K$3)*((($F$2&amp;"")="通年")+($Q$3:$BX$3=($F$2&amp;""))&gt;0)))</f>
        <v/>
      </c>
      <c r="L39" s="60" t="str">
        <f aca="false">IF($C39="","",SUMPRODUCT(($Q39:$BX39=L$6)*($Q$6:$BX$6=L$3)*((($F$2&amp;"")="通年")+($Q$3:$BX$3=($F$2&amp;""))&gt;0)))</f>
        <v/>
      </c>
      <c r="M39" s="62" t="str">
        <f aca="false">IF($C39="","",IF(SUM(D39:F39)=0,"",IF(D39/SUM(D39:F39)&gt;=設定!$I$17,設定!$G$8,IF(F39/SUM(D39:F39)&gt;=設定!$I$18,設定!$G$10,設定!$G$9))))</f>
        <v/>
      </c>
      <c r="N39" s="62" t="str">
        <f aca="false">IF($C39="","",IF(SUM(G39:I39)=0,"",IF(G39/SUM(G39:I39)&gt;=設定!$I$17,設定!$G$8,IF(I39/SUM(G39:I39)&gt;=設定!$I$18,設定!$G$10,設定!$G$9))))</f>
        <v/>
      </c>
      <c r="O39" s="62" t="str">
        <f aca="false">IF($C39="","",IF(SUM(J39:L39)=0,"",IF(J39/SUM(J39:L39)&gt;=設定!$I$17,設定!$G$8,IF(L39/SUM(J39:L39)&gt;=設定!$I$18,設定!$G$10,設定!$G$9))))</f>
        <v/>
      </c>
      <c r="P39" s="13"/>
      <c r="Q39" s="61" t="str">
        <f aca="false">IF($C39="","",INDEX(単元01!$F$5:$F$164,$C39)&amp;"")</f>
        <v/>
      </c>
      <c r="R39" s="61" t="str">
        <f aca="false">IF($C39="","",INDEX(単元01!$G$5:$G$164,$C39)&amp;"")</f>
        <v/>
      </c>
      <c r="S39" s="61" t="str">
        <f aca="false">IF($C39="","",INDEX(単元01!$H$5:$H$164,$C39)&amp;"")</f>
        <v/>
      </c>
      <c r="T39" s="61" t="str">
        <f aca="false">IF($C39="","",INDEX(単元02!$F$5:$F$164,$C39)&amp;"")</f>
        <v/>
      </c>
      <c r="U39" s="61" t="str">
        <f aca="false">IF($C39="","",INDEX(単元02!$G$5:$G$164,$C39)&amp;"")</f>
        <v/>
      </c>
      <c r="V39" s="61" t="str">
        <f aca="false">IF($C39="","",INDEX(単元02!$H$5:$H$164,$C39)&amp;"")</f>
        <v/>
      </c>
      <c r="W39" s="61" t="str">
        <f aca="false">IF($C39="","",INDEX(単元03!$F$5:$F$164,$C39)&amp;"")</f>
        <v/>
      </c>
      <c r="X39" s="61" t="str">
        <f aca="false">IF($C39="","",INDEX(単元03!$G$5:$G$164,$C39)&amp;"")</f>
        <v/>
      </c>
      <c r="Y39" s="61" t="str">
        <f aca="false">IF($C39="","",INDEX(単元03!$H$5:$H$164,$C39)&amp;"")</f>
        <v/>
      </c>
      <c r="Z39" s="61" t="str">
        <f aca="false">IF($C39="","",INDEX(単元04!$F$5:$F$164,$C39)&amp;"")</f>
        <v/>
      </c>
      <c r="AA39" s="61" t="str">
        <f aca="false">IF($C39="","",INDEX(単元04!$G$5:$G$164,$C39)&amp;"")</f>
        <v/>
      </c>
      <c r="AB39" s="61" t="str">
        <f aca="false">IF($C39="","",INDEX(単元04!$H$5:$H$164,$C39)&amp;"")</f>
        <v/>
      </c>
      <c r="AC39" s="61" t="str">
        <f aca="false">IF($C39="","",INDEX(単元05!$F$5:$F$164,$C39)&amp;"")</f>
        <v/>
      </c>
      <c r="AD39" s="61" t="str">
        <f aca="false">IF($C39="","",INDEX(単元05!$G$5:$G$164,$C39)&amp;"")</f>
        <v/>
      </c>
      <c r="AE39" s="61" t="str">
        <f aca="false">IF($C39="","",INDEX(単元05!$H$5:$H$164,$C39)&amp;"")</f>
        <v/>
      </c>
      <c r="AF39" s="61" t="str">
        <f aca="false">IF($C39="","",INDEX(単元06!$F$5:$F$164,$C39)&amp;"")</f>
        <v/>
      </c>
      <c r="AG39" s="61" t="str">
        <f aca="false">IF($C39="","",INDEX(単元06!$G$5:$G$164,$C39)&amp;"")</f>
        <v/>
      </c>
      <c r="AH39" s="61" t="str">
        <f aca="false">IF($C39="","",INDEX(単元06!$H$5:$H$164,$C39)&amp;"")</f>
        <v/>
      </c>
      <c r="AI39" s="61" t="str">
        <f aca="false">IF($C39="","",INDEX(単元07!$F$5:$F$164,$C39)&amp;"")</f>
        <v/>
      </c>
      <c r="AJ39" s="61" t="str">
        <f aca="false">IF($C39="","",INDEX(単元07!$G$5:$G$164,$C39)&amp;"")</f>
        <v/>
      </c>
      <c r="AK39" s="61" t="str">
        <f aca="false">IF($C39="","",INDEX(単元07!$H$5:$H$164,$C39)&amp;"")</f>
        <v/>
      </c>
      <c r="AL39" s="61" t="str">
        <f aca="false">IF($C39="","",INDEX(単元08!$F$5:$F$164,$C39)&amp;"")</f>
        <v/>
      </c>
      <c r="AM39" s="61" t="str">
        <f aca="false">IF($C39="","",INDEX(単元08!$G$5:$G$164,$C39)&amp;"")</f>
        <v/>
      </c>
      <c r="AN39" s="61" t="str">
        <f aca="false">IF($C39="","",INDEX(単元08!$H$5:$H$164,$C39)&amp;"")</f>
        <v/>
      </c>
      <c r="AO39" s="61" t="str">
        <f aca="false">IF($C39="","",INDEX(単元09!$F$5:$F$164,$C39)&amp;"")</f>
        <v/>
      </c>
      <c r="AP39" s="61" t="str">
        <f aca="false">IF($C39="","",INDEX(単元09!$G$5:$G$164,$C39)&amp;"")</f>
        <v/>
      </c>
      <c r="AQ39" s="61" t="str">
        <f aca="false">IF($C39="","",INDEX(単元09!$H$5:$H$164,$C39)&amp;"")</f>
        <v/>
      </c>
      <c r="AR39" s="61" t="str">
        <f aca="false">IF($C39="","",INDEX(単元10!$F$5:$F$164,$C39)&amp;"")</f>
        <v/>
      </c>
      <c r="AS39" s="61" t="str">
        <f aca="false">IF($C39="","",INDEX(単元10!$G$5:$G$164,$C39)&amp;"")</f>
        <v/>
      </c>
      <c r="AT39" s="61" t="str">
        <f aca="false">IF($C39="","",INDEX(単元10!$H$5:$H$164,$C39)&amp;"")</f>
        <v/>
      </c>
      <c r="AU39" s="61" t="str">
        <f aca="false">IF($C39="","",INDEX(単元11!$F$5:$F$164,$C39)&amp;"")</f>
        <v/>
      </c>
      <c r="AV39" s="61" t="str">
        <f aca="false">IF($C39="","",INDEX(単元11!$G$5:$G$164,$C39)&amp;"")</f>
        <v/>
      </c>
      <c r="AW39" s="61" t="str">
        <f aca="false">IF($C39="","",INDEX(単元11!$H$5:$H$164,$C39)&amp;"")</f>
        <v/>
      </c>
      <c r="AX39" s="61" t="str">
        <f aca="false">IF($C39="","",INDEX(単元12!$F$5:$F$164,$C39)&amp;"")</f>
        <v/>
      </c>
      <c r="AY39" s="61" t="str">
        <f aca="false">IF($C39="","",INDEX(単元12!$G$5:$G$164,$C39)&amp;"")</f>
        <v/>
      </c>
      <c r="AZ39" s="61" t="str">
        <f aca="false">IF($C39="","",INDEX(単元12!$H$5:$H$164,$C39)&amp;"")</f>
        <v/>
      </c>
      <c r="BA39" s="61" t="str">
        <f aca="false">IF($C39="","",INDEX(単元13!$F$5:$F$164,$C39)&amp;"")</f>
        <v/>
      </c>
      <c r="BB39" s="61" t="str">
        <f aca="false">IF($C39="","",INDEX(単元13!$G$5:$G$164,$C39)&amp;"")</f>
        <v/>
      </c>
      <c r="BC39" s="61" t="str">
        <f aca="false">IF($C39="","",INDEX(単元13!$H$5:$H$164,$C39)&amp;"")</f>
        <v/>
      </c>
      <c r="BD39" s="61" t="str">
        <f aca="false">IF($C39="","",INDEX(単元14!$F$5:$F$164,$C39)&amp;"")</f>
        <v/>
      </c>
      <c r="BE39" s="61" t="str">
        <f aca="false">IF($C39="","",INDEX(単元14!$G$5:$G$164,$C39)&amp;"")</f>
        <v/>
      </c>
      <c r="BF39" s="61" t="str">
        <f aca="false">IF($C39="","",INDEX(単元14!$H$5:$H$164,$C39)&amp;"")</f>
        <v/>
      </c>
      <c r="BG39" s="61" t="str">
        <f aca="false">IF($C39="","",INDEX(単元15!$F$5:$F$164,$C39)&amp;"")</f>
        <v/>
      </c>
      <c r="BH39" s="61" t="str">
        <f aca="false">IF($C39="","",INDEX(単元15!$G$5:$G$164,$C39)&amp;"")</f>
        <v/>
      </c>
      <c r="BI39" s="61" t="str">
        <f aca="false">IF($C39="","",INDEX(単元15!$H$5:$H$164,$C39)&amp;"")</f>
        <v/>
      </c>
      <c r="BJ39" s="61" t="str">
        <f aca="false">IF($C39="","",INDEX(単元16!$F$5:$F$164,$C39)&amp;"")</f>
        <v/>
      </c>
      <c r="BK39" s="61" t="str">
        <f aca="false">IF($C39="","",INDEX(単元16!$G$5:$G$164,$C39)&amp;"")</f>
        <v/>
      </c>
      <c r="BL39" s="61" t="str">
        <f aca="false">IF($C39="","",INDEX(単元16!$H$5:$H$164,$C39)&amp;"")</f>
        <v/>
      </c>
      <c r="BM39" s="61" t="str">
        <f aca="false">IF($C39="","",INDEX(単元17!$F$5:$F$164,$C39)&amp;"")</f>
        <v/>
      </c>
      <c r="BN39" s="61" t="str">
        <f aca="false">IF($C39="","",INDEX(単元17!$G$5:$G$164,$C39)&amp;"")</f>
        <v/>
      </c>
      <c r="BO39" s="61" t="str">
        <f aca="false">IF($C39="","",INDEX(単元17!$H$5:$H$164,$C39)&amp;"")</f>
        <v/>
      </c>
      <c r="BP39" s="61" t="str">
        <f aca="false">IF($C39="","",INDEX(単元18!$F$5:$F$164,$C39)&amp;"")</f>
        <v/>
      </c>
      <c r="BQ39" s="61" t="str">
        <f aca="false">IF($C39="","",INDEX(単元18!$G$5:$G$164,$C39)&amp;"")</f>
        <v/>
      </c>
      <c r="BR39" s="61" t="str">
        <f aca="false">IF($C39="","",INDEX(単元18!$H$5:$H$164,$C39)&amp;"")</f>
        <v/>
      </c>
      <c r="BS39" s="61" t="str">
        <f aca="false">IF($C39="","",INDEX(単元19!$F$5:$F$164,$C39)&amp;"")</f>
        <v/>
      </c>
      <c r="BT39" s="61" t="str">
        <f aca="false">IF($C39="","",INDEX(単元19!$G$5:$G$164,$C39)&amp;"")</f>
        <v/>
      </c>
      <c r="BU39" s="61" t="str">
        <f aca="false">IF($C39="","",INDEX(単元19!$H$5:$H$164,$C39)&amp;"")</f>
        <v/>
      </c>
      <c r="BV39" s="61" t="str">
        <f aca="false">IF($C39="","",INDEX(単元20!$F$5:$F$164,$C39)&amp;"")</f>
        <v/>
      </c>
      <c r="BW39" s="61" t="str">
        <f aca="false">IF($C39="","",INDEX(単元20!$G$5:$G$164,$C39)&amp;"")</f>
        <v/>
      </c>
      <c r="BX39" s="61" t="str">
        <f aca="false">IF($C39="","",INDEX(単元20!$H$5:$H$164,$C39)&amp;"")</f>
        <v/>
      </c>
    </row>
    <row r="40" customFormat="false" ht="19.5" hidden="false" customHeight="true" outlineLevel="0" collapsed="false">
      <c r="A40" s="91" t="str">
        <f aca="false">IF($C40="","",INDEX(名簿!$C$5:$C$164,$C40))</f>
        <v/>
      </c>
      <c r="B40" s="59" t="str">
        <f aca="false">IF($C40="","",INDEX(名簿!$D$5:$D$164,$C40)&amp;IF(INDEX(名簿!$F$5:$F$164,$C40)="転出","（転出）",""))</f>
        <v/>
      </c>
      <c r="C40" s="41" t="str">
        <f aca="false">IFERROR(MATCH($B$2&amp;"|"&amp;34,名簿!$G$5:$G$164,0),"")</f>
        <v/>
      </c>
      <c r="D40" s="60" t="str">
        <f aca="false">IF($C40="","",SUMPRODUCT(($Q40:$BX40=D$6)*($Q$6:$BX$6=D$3)*((($F$2&amp;"")="通年")+($Q$3:$BX$3=($F$2&amp;""))&gt;0)))</f>
        <v/>
      </c>
      <c r="E40" s="60" t="str">
        <f aca="false">IF($C40="","",SUMPRODUCT(($Q40:$BX40=E$6)*($Q$6:$BX$6=E$3)*((($F$2&amp;"")="通年")+($Q$3:$BX$3=($F$2&amp;""))&gt;0)))</f>
        <v/>
      </c>
      <c r="F40" s="60" t="str">
        <f aca="false">IF($C40="","",SUMPRODUCT(($Q40:$BX40=F$6)*($Q$6:$BX$6=F$3)*((($F$2&amp;"")="通年")+($Q$3:$BX$3=($F$2&amp;""))&gt;0)))</f>
        <v/>
      </c>
      <c r="G40" s="60" t="str">
        <f aca="false">IF($C40="","",SUMPRODUCT(($Q40:$BX40=G$6)*($Q$6:$BX$6=G$3)*((($F$2&amp;"")="通年")+($Q$3:$BX$3=($F$2&amp;""))&gt;0)))</f>
        <v/>
      </c>
      <c r="H40" s="60" t="str">
        <f aca="false">IF($C40="","",SUMPRODUCT(($Q40:$BX40=H$6)*($Q$6:$BX$6=H$3)*((($F$2&amp;"")="通年")+($Q$3:$BX$3=($F$2&amp;""))&gt;0)))</f>
        <v/>
      </c>
      <c r="I40" s="60" t="str">
        <f aca="false">IF($C40="","",SUMPRODUCT(($Q40:$BX40=I$6)*($Q$6:$BX$6=I$3)*((($F$2&amp;"")="通年")+($Q$3:$BX$3=($F$2&amp;""))&gt;0)))</f>
        <v/>
      </c>
      <c r="J40" s="60" t="str">
        <f aca="false">IF($C40="","",SUMPRODUCT(($Q40:$BX40=J$6)*($Q$6:$BX$6=J$3)*((($F$2&amp;"")="通年")+($Q$3:$BX$3=($F$2&amp;""))&gt;0)))</f>
        <v/>
      </c>
      <c r="K40" s="60" t="str">
        <f aca="false">IF($C40="","",SUMPRODUCT(($Q40:$BX40=K$6)*($Q$6:$BX$6=K$3)*((($F$2&amp;"")="通年")+($Q$3:$BX$3=($F$2&amp;""))&gt;0)))</f>
        <v/>
      </c>
      <c r="L40" s="60" t="str">
        <f aca="false">IF($C40="","",SUMPRODUCT(($Q40:$BX40=L$6)*($Q$6:$BX$6=L$3)*((($F$2&amp;"")="通年")+($Q$3:$BX$3=($F$2&amp;""))&gt;0)))</f>
        <v/>
      </c>
      <c r="M40" s="62" t="str">
        <f aca="false">IF($C40="","",IF(SUM(D40:F40)=0,"",IF(D40/SUM(D40:F40)&gt;=設定!$I$17,設定!$G$8,IF(F40/SUM(D40:F40)&gt;=設定!$I$18,設定!$G$10,設定!$G$9))))</f>
        <v/>
      </c>
      <c r="N40" s="62" t="str">
        <f aca="false">IF($C40="","",IF(SUM(G40:I40)=0,"",IF(G40/SUM(G40:I40)&gt;=設定!$I$17,設定!$G$8,IF(I40/SUM(G40:I40)&gt;=設定!$I$18,設定!$G$10,設定!$G$9))))</f>
        <v/>
      </c>
      <c r="O40" s="62" t="str">
        <f aca="false">IF($C40="","",IF(SUM(J40:L40)=0,"",IF(J40/SUM(J40:L40)&gt;=設定!$I$17,設定!$G$8,IF(L40/SUM(J40:L40)&gt;=設定!$I$18,設定!$G$10,設定!$G$9))))</f>
        <v/>
      </c>
      <c r="P40" s="13"/>
      <c r="Q40" s="61" t="str">
        <f aca="false">IF($C40="","",INDEX(単元01!$F$5:$F$164,$C40)&amp;"")</f>
        <v/>
      </c>
      <c r="R40" s="61" t="str">
        <f aca="false">IF($C40="","",INDEX(単元01!$G$5:$G$164,$C40)&amp;"")</f>
        <v/>
      </c>
      <c r="S40" s="61" t="str">
        <f aca="false">IF($C40="","",INDEX(単元01!$H$5:$H$164,$C40)&amp;"")</f>
        <v/>
      </c>
      <c r="T40" s="61" t="str">
        <f aca="false">IF($C40="","",INDEX(単元02!$F$5:$F$164,$C40)&amp;"")</f>
        <v/>
      </c>
      <c r="U40" s="61" t="str">
        <f aca="false">IF($C40="","",INDEX(単元02!$G$5:$G$164,$C40)&amp;"")</f>
        <v/>
      </c>
      <c r="V40" s="61" t="str">
        <f aca="false">IF($C40="","",INDEX(単元02!$H$5:$H$164,$C40)&amp;"")</f>
        <v/>
      </c>
      <c r="W40" s="61" t="str">
        <f aca="false">IF($C40="","",INDEX(単元03!$F$5:$F$164,$C40)&amp;"")</f>
        <v/>
      </c>
      <c r="X40" s="61" t="str">
        <f aca="false">IF($C40="","",INDEX(単元03!$G$5:$G$164,$C40)&amp;"")</f>
        <v/>
      </c>
      <c r="Y40" s="61" t="str">
        <f aca="false">IF($C40="","",INDEX(単元03!$H$5:$H$164,$C40)&amp;"")</f>
        <v/>
      </c>
      <c r="Z40" s="61" t="str">
        <f aca="false">IF($C40="","",INDEX(単元04!$F$5:$F$164,$C40)&amp;"")</f>
        <v/>
      </c>
      <c r="AA40" s="61" t="str">
        <f aca="false">IF($C40="","",INDEX(単元04!$G$5:$G$164,$C40)&amp;"")</f>
        <v/>
      </c>
      <c r="AB40" s="61" t="str">
        <f aca="false">IF($C40="","",INDEX(単元04!$H$5:$H$164,$C40)&amp;"")</f>
        <v/>
      </c>
      <c r="AC40" s="61" t="str">
        <f aca="false">IF($C40="","",INDEX(単元05!$F$5:$F$164,$C40)&amp;"")</f>
        <v/>
      </c>
      <c r="AD40" s="61" t="str">
        <f aca="false">IF($C40="","",INDEX(単元05!$G$5:$G$164,$C40)&amp;"")</f>
        <v/>
      </c>
      <c r="AE40" s="61" t="str">
        <f aca="false">IF($C40="","",INDEX(単元05!$H$5:$H$164,$C40)&amp;"")</f>
        <v/>
      </c>
      <c r="AF40" s="61" t="str">
        <f aca="false">IF($C40="","",INDEX(単元06!$F$5:$F$164,$C40)&amp;"")</f>
        <v/>
      </c>
      <c r="AG40" s="61" t="str">
        <f aca="false">IF($C40="","",INDEX(単元06!$G$5:$G$164,$C40)&amp;"")</f>
        <v/>
      </c>
      <c r="AH40" s="61" t="str">
        <f aca="false">IF($C40="","",INDEX(単元06!$H$5:$H$164,$C40)&amp;"")</f>
        <v/>
      </c>
      <c r="AI40" s="61" t="str">
        <f aca="false">IF($C40="","",INDEX(単元07!$F$5:$F$164,$C40)&amp;"")</f>
        <v/>
      </c>
      <c r="AJ40" s="61" t="str">
        <f aca="false">IF($C40="","",INDEX(単元07!$G$5:$G$164,$C40)&amp;"")</f>
        <v/>
      </c>
      <c r="AK40" s="61" t="str">
        <f aca="false">IF($C40="","",INDEX(単元07!$H$5:$H$164,$C40)&amp;"")</f>
        <v/>
      </c>
      <c r="AL40" s="61" t="str">
        <f aca="false">IF($C40="","",INDEX(単元08!$F$5:$F$164,$C40)&amp;"")</f>
        <v/>
      </c>
      <c r="AM40" s="61" t="str">
        <f aca="false">IF($C40="","",INDEX(単元08!$G$5:$G$164,$C40)&amp;"")</f>
        <v/>
      </c>
      <c r="AN40" s="61" t="str">
        <f aca="false">IF($C40="","",INDEX(単元08!$H$5:$H$164,$C40)&amp;"")</f>
        <v/>
      </c>
      <c r="AO40" s="61" t="str">
        <f aca="false">IF($C40="","",INDEX(単元09!$F$5:$F$164,$C40)&amp;"")</f>
        <v/>
      </c>
      <c r="AP40" s="61" t="str">
        <f aca="false">IF($C40="","",INDEX(単元09!$G$5:$G$164,$C40)&amp;"")</f>
        <v/>
      </c>
      <c r="AQ40" s="61" t="str">
        <f aca="false">IF($C40="","",INDEX(単元09!$H$5:$H$164,$C40)&amp;"")</f>
        <v/>
      </c>
      <c r="AR40" s="61" t="str">
        <f aca="false">IF($C40="","",INDEX(単元10!$F$5:$F$164,$C40)&amp;"")</f>
        <v/>
      </c>
      <c r="AS40" s="61" t="str">
        <f aca="false">IF($C40="","",INDEX(単元10!$G$5:$G$164,$C40)&amp;"")</f>
        <v/>
      </c>
      <c r="AT40" s="61" t="str">
        <f aca="false">IF($C40="","",INDEX(単元10!$H$5:$H$164,$C40)&amp;"")</f>
        <v/>
      </c>
      <c r="AU40" s="61" t="str">
        <f aca="false">IF($C40="","",INDEX(単元11!$F$5:$F$164,$C40)&amp;"")</f>
        <v/>
      </c>
      <c r="AV40" s="61" t="str">
        <f aca="false">IF($C40="","",INDEX(単元11!$G$5:$G$164,$C40)&amp;"")</f>
        <v/>
      </c>
      <c r="AW40" s="61" t="str">
        <f aca="false">IF($C40="","",INDEX(単元11!$H$5:$H$164,$C40)&amp;"")</f>
        <v/>
      </c>
      <c r="AX40" s="61" t="str">
        <f aca="false">IF($C40="","",INDEX(単元12!$F$5:$F$164,$C40)&amp;"")</f>
        <v/>
      </c>
      <c r="AY40" s="61" t="str">
        <f aca="false">IF($C40="","",INDEX(単元12!$G$5:$G$164,$C40)&amp;"")</f>
        <v/>
      </c>
      <c r="AZ40" s="61" t="str">
        <f aca="false">IF($C40="","",INDEX(単元12!$H$5:$H$164,$C40)&amp;"")</f>
        <v/>
      </c>
      <c r="BA40" s="61" t="str">
        <f aca="false">IF($C40="","",INDEX(単元13!$F$5:$F$164,$C40)&amp;"")</f>
        <v/>
      </c>
      <c r="BB40" s="61" t="str">
        <f aca="false">IF($C40="","",INDEX(単元13!$G$5:$G$164,$C40)&amp;"")</f>
        <v/>
      </c>
      <c r="BC40" s="61" t="str">
        <f aca="false">IF($C40="","",INDEX(単元13!$H$5:$H$164,$C40)&amp;"")</f>
        <v/>
      </c>
      <c r="BD40" s="61" t="str">
        <f aca="false">IF($C40="","",INDEX(単元14!$F$5:$F$164,$C40)&amp;"")</f>
        <v/>
      </c>
      <c r="BE40" s="61" t="str">
        <f aca="false">IF($C40="","",INDEX(単元14!$G$5:$G$164,$C40)&amp;"")</f>
        <v/>
      </c>
      <c r="BF40" s="61" t="str">
        <f aca="false">IF($C40="","",INDEX(単元14!$H$5:$H$164,$C40)&amp;"")</f>
        <v/>
      </c>
      <c r="BG40" s="61" t="str">
        <f aca="false">IF($C40="","",INDEX(単元15!$F$5:$F$164,$C40)&amp;"")</f>
        <v/>
      </c>
      <c r="BH40" s="61" t="str">
        <f aca="false">IF($C40="","",INDEX(単元15!$G$5:$G$164,$C40)&amp;"")</f>
        <v/>
      </c>
      <c r="BI40" s="61" t="str">
        <f aca="false">IF($C40="","",INDEX(単元15!$H$5:$H$164,$C40)&amp;"")</f>
        <v/>
      </c>
      <c r="BJ40" s="61" t="str">
        <f aca="false">IF($C40="","",INDEX(単元16!$F$5:$F$164,$C40)&amp;"")</f>
        <v/>
      </c>
      <c r="BK40" s="61" t="str">
        <f aca="false">IF($C40="","",INDEX(単元16!$G$5:$G$164,$C40)&amp;"")</f>
        <v/>
      </c>
      <c r="BL40" s="61" t="str">
        <f aca="false">IF($C40="","",INDEX(単元16!$H$5:$H$164,$C40)&amp;"")</f>
        <v/>
      </c>
      <c r="BM40" s="61" t="str">
        <f aca="false">IF($C40="","",INDEX(単元17!$F$5:$F$164,$C40)&amp;"")</f>
        <v/>
      </c>
      <c r="BN40" s="61" t="str">
        <f aca="false">IF($C40="","",INDEX(単元17!$G$5:$G$164,$C40)&amp;"")</f>
        <v/>
      </c>
      <c r="BO40" s="61" t="str">
        <f aca="false">IF($C40="","",INDEX(単元17!$H$5:$H$164,$C40)&amp;"")</f>
        <v/>
      </c>
      <c r="BP40" s="61" t="str">
        <f aca="false">IF($C40="","",INDEX(単元18!$F$5:$F$164,$C40)&amp;"")</f>
        <v/>
      </c>
      <c r="BQ40" s="61" t="str">
        <f aca="false">IF($C40="","",INDEX(単元18!$G$5:$G$164,$C40)&amp;"")</f>
        <v/>
      </c>
      <c r="BR40" s="61" t="str">
        <f aca="false">IF($C40="","",INDEX(単元18!$H$5:$H$164,$C40)&amp;"")</f>
        <v/>
      </c>
      <c r="BS40" s="61" t="str">
        <f aca="false">IF($C40="","",INDEX(単元19!$F$5:$F$164,$C40)&amp;"")</f>
        <v/>
      </c>
      <c r="BT40" s="61" t="str">
        <f aca="false">IF($C40="","",INDEX(単元19!$G$5:$G$164,$C40)&amp;"")</f>
        <v/>
      </c>
      <c r="BU40" s="61" t="str">
        <f aca="false">IF($C40="","",INDEX(単元19!$H$5:$H$164,$C40)&amp;"")</f>
        <v/>
      </c>
      <c r="BV40" s="61" t="str">
        <f aca="false">IF($C40="","",INDEX(単元20!$F$5:$F$164,$C40)&amp;"")</f>
        <v/>
      </c>
      <c r="BW40" s="61" t="str">
        <f aca="false">IF($C40="","",INDEX(単元20!$G$5:$G$164,$C40)&amp;"")</f>
        <v/>
      </c>
      <c r="BX40" s="61" t="str">
        <f aca="false">IF($C40="","",INDEX(単元20!$H$5:$H$164,$C40)&amp;"")</f>
        <v/>
      </c>
    </row>
    <row r="41" customFormat="false" ht="19.5" hidden="false" customHeight="true" outlineLevel="0" collapsed="false">
      <c r="A41" s="91" t="str">
        <f aca="false">IF($C41="","",INDEX(名簿!$C$5:$C$164,$C41))</f>
        <v/>
      </c>
      <c r="B41" s="59" t="str">
        <f aca="false">IF($C41="","",INDEX(名簿!$D$5:$D$164,$C41)&amp;IF(INDEX(名簿!$F$5:$F$164,$C41)="転出","（転出）",""))</f>
        <v/>
      </c>
      <c r="C41" s="41" t="str">
        <f aca="false">IFERROR(MATCH($B$2&amp;"|"&amp;35,名簿!$G$5:$G$164,0),"")</f>
        <v/>
      </c>
      <c r="D41" s="60" t="str">
        <f aca="false">IF($C41="","",SUMPRODUCT(($Q41:$BX41=D$6)*($Q$6:$BX$6=D$3)*((($F$2&amp;"")="通年")+($Q$3:$BX$3=($F$2&amp;""))&gt;0)))</f>
        <v/>
      </c>
      <c r="E41" s="60" t="str">
        <f aca="false">IF($C41="","",SUMPRODUCT(($Q41:$BX41=E$6)*($Q$6:$BX$6=E$3)*((($F$2&amp;"")="通年")+($Q$3:$BX$3=($F$2&amp;""))&gt;0)))</f>
        <v/>
      </c>
      <c r="F41" s="60" t="str">
        <f aca="false">IF($C41="","",SUMPRODUCT(($Q41:$BX41=F$6)*($Q$6:$BX$6=F$3)*((($F$2&amp;"")="通年")+($Q$3:$BX$3=($F$2&amp;""))&gt;0)))</f>
        <v/>
      </c>
      <c r="G41" s="60" t="str">
        <f aca="false">IF($C41="","",SUMPRODUCT(($Q41:$BX41=G$6)*($Q$6:$BX$6=G$3)*((($F$2&amp;"")="通年")+($Q$3:$BX$3=($F$2&amp;""))&gt;0)))</f>
        <v/>
      </c>
      <c r="H41" s="60" t="str">
        <f aca="false">IF($C41="","",SUMPRODUCT(($Q41:$BX41=H$6)*($Q$6:$BX$6=H$3)*((($F$2&amp;"")="通年")+($Q$3:$BX$3=($F$2&amp;""))&gt;0)))</f>
        <v/>
      </c>
      <c r="I41" s="60" t="str">
        <f aca="false">IF($C41="","",SUMPRODUCT(($Q41:$BX41=I$6)*($Q$6:$BX$6=I$3)*((($F$2&amp;"")="通年")+($Q$3:$BX$3=($F$2&amp;""))&gt;0)))</f>
        <v/>
      </c>
      <c r="J41" s="60" t="str">
        <f aca="false">IF($C41="","",SUMPRODUCT(($Q41:$BX41=J$6)*($Q$6:$BX$6=J$3)*((($F$2&amp;"")="通年")+($Q$3:$BX$3=($F$2&amp;""))&gt;0)))</f>
        <v/>
      </c>
      <c r="K41" s="60" t="str">
        <f aca="false">IF($C41="","",SUMPRODUCT(($Q41:$BX41=K$6)*($Q$6:$BX$6=K$3)*((($F$2&amp;"")="通年")+($Q$3:$BX$3=($F$2&amp;""))&gt;0)))</f>
        <v/>
      </c>
      <c r="L41" s="60" t="str">
        <f aca="false">IF($C41="","",SUMPRODUCT(($Q41:$BX41=L$6)*($Q$6:$BX$6=L$3)*((($F$2&amp;"")="通年")+($Q$3:$BX$3=($F$2&amp;""))&gt;0)))</f>
        <v/>
      </c>
      <c r="M41" s="62" t="str">
        <f aca="false">IF($C41="","",IF(SUM(D41:F41)=0,"",IF(D41/SUM(D41:F41)&gt;=設定!$I$17,設定!$G$8,IF(F41/SUM(D41:F41)&gt;=設定!$I$18,設定!$G$10,設定!$G$9))))</f>
        <v/>
      </c>
      <c r="N41" s="62" t="str">
        <f aca="false">IF($C41="","",IF(SUM(G41:I41)=0,"",IF(G41/SUM(G41:I41)&gt;=設定!$I$17,設定!$G$8,IF(I41/SUM(G41:I41)&gt;=設定!$I$18,設定!$G$10,設定!$G$9))))</f>
        <v/>
      </c>
      <c r="O41" s="62" t="str">
        <f aca="false">IF($C41="","",IF(SUM(J41:L41)=0,"",IF(J41/SUM(J41:L41)&gt;=設定!$I$17,設定!$G$8,IF(L41/SUM(J41:L41)&gt;=設定!$I$18,設定!$G$10,設定!$G$9))))</f>
        <v/>
      </c>
      <c r="P41" s="13"/>
      <c r="Q41" s="61" t="str">
        <f aca="false">IF($C41="","",INDEX(単元01!$F$5:$F$164,$C41)&amp;"")</f>
        <v/>
      </c>
      <c r="R41" s="61" t="str">
        <f aca="false">IF($C41="","",INDEX(単元01!$G$5:$G$164,$C41)&amp;"")</f>
        <v/>
      </c>
      <c r="S41" s="61" t="str">
        <f aca="false">IF($C41="","",INDEX(単元01!$H$5:$H$164,$C41)&amp;"")</f>
        <v/>
      </c>
      <c r="T41" s="61" t="str">
        <f aca="false">IF($C41="","",INDEX(単元02!$F$5:$F$164,$C41)&amp;"")</f>
        <v/>
      </c>
      <c r="U41" s="61" t="str">
        <f aca="false">IF($C41="","",INDEX(単元02!$G$5:$G$164,$C41)&amp;"")</f>
        <v/>
      </c>
      <c r="V41" s="61" t="str">
        <f aca="false">IF($C41="","",INDEX(単元02!$H$5:$H$164,$C41)&amp;"")</f>
        <v/>
      </c>
      <c r="W41" s="61" t="str">
        <f aca="false">IF($C41="","",INDEX(単元03!$F$5:$F$164,$C41)&amp;"")</f>
        <v/>
      </c>
      <c r="X41" s="61" t="str">
        <f aca="false">IF($C41="","",INDEX(単元03!$G$5:$G$164,$C41)&amp;"")</f>
        <v/>
      </c>
      <c r="Y41" s="61" t="str">
        <f aca="false">IF($C41="","",INDEX(単元03!$H$5:$H$164,$C41)&amp;"")</f>
        <v/>
      </c>
      <c r="Z41" s="61" t="str">
        <f aca="false">IF($C41="","",INDEX(単元04!$F$5:$F$164,$C41)&amp;"")</f>
        <v/>
      </c>
      <c r="AA41" s="61" t="str">
        <f aca="false">IF($C41="","",INDEX(単元04!$G$5:$G$164,$C41)&amp;"")</f>
        <v/>
      </c>
      <c r="AB41" s="61" t="str">
        <f aca="false">IF($C41="","",INDEX(単元04!$H$5:$H$164,$C41)&amp;"")</f>
        <v/>
      </c>
      <c r="AC41" s="61" t="str">
        <f aca="false">IF($C41="","",INDEX(単元05!$F$5:$F$164,$C41)&amp;"")</f>
        <v/>
      </c>
      <c r="AD41" s="61" t="str">
        <f aca="false">IF($C41="","",INDEX(単元05!$G$5:$G$164,$C41)&amp;"")</f>
        <v/>
      </c>
      <c r="AE41" s="61" t="str">
        <f aca="false">IF($C41="","",INDEX(単元05!$H$5:$H$164,$C41)&amp;"")</f>
        <v/>
      </c>
      <c r="AF41" s="61" t="str">
        <f aca="false">IF($C41="","",INDEX(単元06!$F$5:$F$164,$C41)&amp;"")</f>
        <v/>
      </c>
      <c r="AG41" s="61" t="str">
        <f aca="false">IF($C41="","",INDEX(単元06!$G$5:$G$164,$C41)&amp;"")</f>
        <v/>
      </c>
      <c r="AH41" s="61" t="str">
        <f aca="false">IF($C41="","",INDEX(単元06!$H$5:$H$164,$C41)&amp;"")</f>
        <v/>
      </c>
      <c r="AI41" s="61" t="str">
        <f aca="false">IF($C41="","",INDEX(単元07!$F$5:$F$164,$C41)&amp;"")</f>
        <v/>
      </c>
      <c r="AJ41" s="61" t="str">
        <f aca="false">IF($C41="","",INDEX(単元07!$G$5:$G$164,$C41)&amp;"")</f>
        <v/>
      </c>
      <c r="AK41" s="61" t="str">
        <f aca="false">IF($C41="","",INDEX(単元07!$H$5:$H$164,$C41)&amp;"")</f>
        <v/>
      </c>
      <c r="AL41" s="61" t="str">
        <f aca="false">IF($C41="","",INDEX(単元08!$F$5:$F$164,$C41)&amp;"")</f>
        <v/>
      </c>
      <c r="AM41" s="61" t="str">
        <f aca="false">IF($C41="","",INDEX(単元08!$G$5:$G$164,$C41)&amp;"")</f>
        <v/>
      </c>
      <c r="AN41" s="61" t="str">
        <f aca="false">IF($C41="","",INDEX(単元08!$H$5:$H$164,$C41)&amp;"")</f>
        <v/>
      </c>
      <c r="AO41" s="61" t="str">
        <f aca="false">IF($C41="","",INDEX(単元09!$F$5:$F$164,$C41)&amp;"")</f>
        <v/>
      </c>
      <c r="AP41" s="61" t="str">
        <f aca="false">IF($C41="","",INDEX(単元09!$G$5:$G$164,$C41)&amp;"")</f>
        <v/>
      </c>
      <c r="AQ41" s="61" t="str">
        <f aca="false">IF($C41="","",INDEX(単元09!$H$5:$H$164,$C41)&amp;"")</f>
        <v/>
      </c>
      <c r="AR41" s="61" t="str">
        <f aca="false">IF($C41="","",INDEX(単元10!$F$5:$F$164,$C41)&amp;"")</f>
        <v/>
      </c>
      <c r="AS41" s="61" t="str">
        <f aca="false">IF($C41="","",INDEX(単元10!$G$5:$G$164,$C41)&amp;"")</f>
        <v/>
      </c>
      <c r="AT41" s="61" t="str">
        <f aca="false">IF($C41="","",INDEX(単元10!$H$5:$H$164,$C41)&amp;"")</f>
        <v/>
      </c>
      <c r="AU41" s="61" t="str">
        <f aca="false">IF($C41="","",INDEX(単元11!$F$5:$F$164,$C41)&amp;"")</f>
        <v/>
      </c>
      <c r="AV41" s="61" t="str">
        <f aca="false">IF($C41="","",INDEX(単元11!$G$5:$G$164,$C41)&amp;"")</f>
        <v/>
      </c>
      <c r="AW41" s="61" t="str">
        <f aca="false">IF($C41="","",INDEX(単元11!$H$5:$H$164,$C41)&amp;"")</f>
        <v/>
      </c>
      <c r="AX41" s="61" t="str">
        <f aca="false">IF($C41="","",INDEX(単元12!$F$5:$F$164,$C41)&amp;"")</f>
        <v/>
      </c>
      <c r="AY41" s="61" t="str">
        <f aca="false">IF($C41="","",INDEX(単元12!$G$5:$G$164,$C41)&amp;"")</f>
        <v/>
      </c>
      <c r="AZ41" s="61" t="str">
        <f aca="false">IF($C41="","",INDEX(単元12!$H$5:$H$164,$C41)&amp;"")</f>
        <v/>
      </c>
      <c r="BA41" s="61" t="str">
        <f aca="false">IF($C41="","",INDEX(単元13!$F$5:$F$164,$C41)&amp;"")</f>
        <v/>
      </c>
      <c r="BB41" s="61" t="str">
        <f aca="false">IF($C41="","",INDEX(単元13!$G$5:$G$164,$C41)&amp;"")</f>
        <v/>
      </c>
      <c r="BC41" s="61" t="str">
        <f aca="false">IF($C41="","",INDEX(単元13!$H$5:$H$164,$C41)&amp;"")</f>
        <v/>
      </c>
      <c r="BD41" s="61" t="str">
        <f aca="false">IF($C41="","",INDEX(単元14!$F$5:$F$164,$C41)&amp;"")</f>
        <v/>
      </c>
      <c r="BE41" s="61" t="str">
        <f aca="false">IF($C41="","",INDEX(単元14!$G$5:$G$164,$C41)&amp;"")</f>
        <v/>
      </c>
      <c r="BF41" s="61" t="str">
        <f aca="false">IF($C41="","",INDEX(単元14!$H$5:$H$164,$C41)&amp;"")</f>
        <v/>
      </c>
      <c r="BG41" s="61" t="str">
        <f aca="false">IF($C41="","",INDEX(単元15!$F$5:$F$164,$C41)&amp;"")</f>
        <v/>
      </c>
      <c r="BH41" s="61" t="str">
        <f aca="false">IF($C41="","",INDEX(単元15!$G$5:$G$164,$C41)&amp;"")</f>
        <v/>
      </c>
      <c r="BI41" s="61" t="str">
        <f aca="false">IF($C41="","",INDEX(単元15!$H$5:$H$164,$C41)&amp;"")</f>
        <v/>
      </c>
      <c r="BJ41" s="61" t="str">
        <f aca="false">IF($C41="","",INDEX(単元16!$F$5:$F$164,$C41)&amp;"")</f>
        <v/>
      </c>
      <c r="BK41" s="61" t="str">
        <f aca="false">IF($C41="","",INDEX(単元16!$G$5:$G$164,$C41)&amp;"")</f>
        <v/>
      </c>
      <c r="BL41" s="61" t="str">
        <f aca="false">IF($C41="","",INDEX(単元16!$H$5:$H$164,$C41)&amp;"")</f>
        <v/>
      </c>
      <c r="BM41" s="61" t="str">
        <f aca="false">IF($C41="","",INDEX(単元17!$F$5:$F$164,$C41)&amp;"")</f>
        <v/>
      </c>
      <c r="BN41" s="61" t="str">
        <f aca="false">IF($C41="","",INDEX(単元17!$G$5:$G$164,$C41)&amp;"")</f>
        <v/>
      </c>
      <c r="BO41" s="61" t="str">
        <f aca="false">IF($C41="","",INDEX(単元17!$H$5:$H$164,$C41)&amp;"")</f>
        <v/>
      </c>
      <c r="BP41" s="61" t="str">
        <f aca="false">IF($C41="","",INDEX(単元18!$F$5:$F$164,$C41)&amp;"")</f>
        <v/>
      </c>
      <c r="BQ41" s="61" t="str">
        <f aca="false">IF($C41="","",INDEX(単元18!$G$5:$G$164,$C41)&amp;"")</f>
        <v/>
      </c>
      <c r="BR41" s="61" t="str">
        <f aca="false">IF($C41="","",INDEX(単元18!$H$5:$H$164,$C41)&amp;"")</f>
        <v/>
      </c>
      <c r="BS41" s="61" t="str">
        <f aca="false">IF($C41="","",INDEX(単元19!$F$5:$F$164,$C41)&amp;"")</f>
        <v/>
      </c>
      <c r="BT41" s="61" t="str">
        <f aca="false">IF($C41="","",INDEX(単元19!$G$5:$G$164,$C41)&amp;"")</f>
        <v/>
      </c>
      <c r="BU41" s="61" t="str">
        <f aca="false">IF($C41="","",INDEX(単元19!$H$5:$H$164,$C41)&amp;"")</f>
        <v/>
      </c>
      <c r="BV41" s="61" t="str">
        <f aca="false">IF($C41="","",INDEX(単元20!$F$5:$F$164,$C41)&amp;"")</f>
        <v/>
      </c>
      <c r="BW41" s="61" t="str">
        <f aca="false">IF($C41="","",INDEX(単元20!$G$5:$G$164,$C41)&amp;"")</f>
        <v/>
      </c>
      <c r="BX41" s="61" t="str">
        <f aca="false">IF($C41="","",INDEX(単元20!$H$5:$H$164,$C41)&amp;"")</f>
        <v/>
      </c>
    </row>
    <row r="42" customFormat="false" ht="19.5" hidden="false" customHeight="true" outlineLevel="0" collapsed="false">
      <c r="A42" s="91" t="str">
        <f aca="false">IF($C42="","",INDEX(名簿!$C$5:$C$164,$C42))</f>
        <v/>
      </c>
      <c r="B42" s="59" t="str">
        <f aca="false">IF($C42="","",INDEX(名簿!$D$5:$D$164,$C42)&amp;IF(INDEX(名簿!$F$5:$F$164,$C42)="転出","（転出）",""))</f>
        <v/>
      </c>
      <c r="C42" s="41" t="str">
        <f aca="false">IFERROR(MATCH($B$2&amp;"|"&amp;36,名簿!$G$5:$G$164,0),"")</f>
        <v/>
      </c>
      <c r="D42" s="60" t="str">
        <f aca="false">IF($C42="","",SUMPRODUCT(($Q42:$BX42=D$6)*($Q$6:$BX$6=D$3)*((($F$2&amp;"")="通年")+($Q$3:$BX$3=($F$2&amp;""))&gt;0)))</f>
        <v/>
      </c>
      <c r="E42" s="60" t="str">
        <f aca="false">IF($C42="","",SUMPRODUCT(($Q42:$BX42=E$6)*($Q$6:$BX$6=E$3)*((($F$2&amp;"")="通年")+($Q$3:$BX$3=($F$2&amp;""))&gt;0)))</f>
        <v/>
      </c>
      <c r="F42" s="60" t="str">
        <f aca="false">IF($C42="","",SUMPRODUCT(($Q42:$BX42=F$6)*($Q$6:$BX$6=F$3)*((($F$2&amp;"")="通年")+($Q$3:$BX$3=($F$2&amp;""))&gt;0)))</f>
        <v/>
      </c>
      <c r="G42" s="60" t="str">
        <f aca="false">IF($C42="","",SUMPRODUCT(($Q42:$BX42=G$6)*($Q$6:$BX$6=G$3)*((($F$2&amp;"")="通年")+($Q$3:$BX$3=($F$2&amp;""))&gt;0)))</f>
        <v/>
      </c>
      <c r="H42" s="60" t="str">
        <f aca="false">IF($C42="","",SUMPRODUCT(($Q42:$BX42=H$6)*($Q$6:$BX$6=H$3)*((($F$2&amp;"")="通年")+($Q$3:$BX$3=($F$2&amp;""))&gt;0)))</f>
        <v/>
      </c>
      <c r="I42" s="60" t="str">
        <f aca="false">IF($C42="","",SUMPRODUCT(($Q42:$BX42=I$6)*($Q$6:$BX$6=I$3)*((($F$2&amp;"")="通年")+($Q$3:$BX$3=($F$2&amp;""))&gt;0)))</f>
        <v/>
      </c>
      <c r="J42" s="60" t="str">
        <f aca="false">IF($C42="","",SUMPRODUCT(($Q42:$BX42=J$6)*($Q$6:$BX$6=J$3)*((($F$2&amp;"")="通年")+($Q$3:$BX$3=($F$2&amp;""))&gt;0)))</f>
        <v/>
      </c>
      <c r="K42" s="60" t="str">
        <f aca="false">IF($C42="","",SUMPRODUCT(($Q42:$BX42=K$6)*($Q$6:$BX$6=K$3)*((($F$2&amp;"")="通年")+($Q$3:$BX$3=($F$2&amp;""))&gt;0)))</f>
        <v/>
      </c>
      <c r="L42" s="60" t="str">
        <f aca="false">IF($C42="","",SUMPRODUCT(($Q42:$BX42=L$6)*($Q$6:$BX$6=L$3)*((($F$2&amp;"")="通年")+($Q$3:$BX$3=($F$2&amp;""))&gt;0)))</f>
        <v/>
      </c>
      <c r="M42" s="62" t="str">
        <f aca="false">IF($C42="","",IF(SUM(D42:F42)=0,"",IF(D42/SUM(D42:F42)&gt;=設定!$I$17,設定!$G$8,IF(F42/SUM(D42:F42)&gt;=設定!$I$18,設定!$G$10,設定!$G$9))))</f>
        <v/>
      </c>
      <c r="N42" s="62" t="str">
        <f aca="false">IF($C42="","",IF(SUM(G42:I42)=0,"",IF(G42/SUM(G42:I42)&gt;=設定!$I$17,設定!$G$8,IF(I42/SUM(G42:I42)&gt;=設定!$I$18,設定!$G$10,設定!$G$9))))</f>
        <v/>
      </c>
      <c r="O42" s="62" t="str">
        <f aca="false">IF($C42="","",IF(SUM(J42:L42)=0,"",IF(J42/SUM(J42:L42)&gt;=設定!$I$17,設定!$G$8,IF(L42/SUM(J42:L42)&gt;=設定!$I$18,設定!$G$10,設定!$G$9))))</f>
        <v/>
      </c>
      <c r="P42" s="13"/>
      <c r="Q42" s="61" t="str">
        <f aca="false">IF($C42="","",INDEX(単元01!$F$5:$F$164,$C42)&amp;"")</f>
        <v/>
      </c>
      <c r="R42" s="61" t="str">
        <f aca="false">IF($C42="","",INDEX(単元01!$G$5:$G$164,$C42)&amp;"")</f>
        <v/>
      </c>
      <c r="S42" s="61" t="str">
        <f aca="false">IF($C42="","",INDEX(単元01!$H$5:$H$164,$C42)&amp;"")</f>
        <v/>
      </c>
      <c r="T42" s="61" t="str">
        <f aca="false">IF($C42="","",INDEX(単元02!$F$5:$F$164,$C42)&amp;"")</f>
        <v/>
      </c>
      <c r="U42" s="61" t="str">
        <f aca="false">IF($C42="","",INDEX(単元02!$G$5:$G$164,$C42)&amp;"")</f>
        <v/>
      </c>
      <c r="V42" s="61" t="str">
        <f aca="false">IF($C42="","",INDEX(単元02!$H$5:$H$164,$C42)&amp;"")</f>
        <v/>
      </c>
      <c r="W42" s="61" t="str">
        <f aca="false">IF($C42="","",INDEX(単元03!$F$5:$F$164,$C42)&amp;"")</f>
        <v/>
      </c>
      <c r="X42" s="61" t="str">
        <f aca="false">IF($C42="","",INDEX(単元03!$G$5:$G$164,$C42)&amp;"")</f>
        <v/>
      </c>
      <c r="Y42" s="61" t="str">
        <f aca="false">IF($C42="","",INDEX(単元03!$H$5:$H$164,$C42)&amp;"")</f>
        <v/>
      </c>
      <c r="Z42" s="61" t="str">
        <f aca="false">IF($C42="","",INDEX(単元04!$F$5:$F$164,$C42)&amp;"")</f>
        <v/>
      </c>
      <c r="AA42" s="61" t="str">
        <f aca="false">IF($C42="","",INDEX(単元04!$G$5:$G$164,$C42)&amp;"")</f>
        <v/>
      </c>
      <c r="AB42" s="61" t="str">
        <f aca="false">IF($C42="","",INDEX(単元04!$H$5:$H$164,$C42)&amp;"")</f>
        <v/>
      </c>
      <c r="AC42" s="61" t="str">
        <f aca="false">IF($C42="","",INDEX(単元05!$F$5:$F$164,$C42)&amp;"")</f>
        <v/>
      </c>
      <c r="AD42" s="61" t="str">
        <f aca="false">IF($C42="","",INDEX(単元05!$G$5:$G$164,$C42)&amp;"")</f>
        <v/>
      </c>
      <c r="AE42" s="61" t="str">
        <f aca="false">IF($C42="","",INDEX(単元05!$H$5:$H$164,$C42)&amp;"")</f>
        <v/>
      </c>
      <c r="AF42" s="61" t="str">
        <f aca="false">IF($C42="","",INDEX(単元06!$F$5:$F$164,$C42)&amp;"")</f>
        <v/>
      </c>
      <c r="AG42" s="61" t="str">
        <f aca="false">IF($C42="","",INDEX(単元06!$G$5:$G$164,$C42)&amp;"")</f>
        <v/>
      </c>
      <c r="AH42" s="61" t="str">
        <f aca="false">IF($C42="","",INDEX(単元06!$H$5:$H$164,$C42)&amp;"")</f>
        <v/>
      </c>
      <c r="AI42" s="61" t="str">
        <f aca="false">IF($C42="","",INDEX(単元07!$F$5:$F$164,$C42)&amp;"")</f>
        <v/>
      </c>
      <c r="AJ42" s="61" t="str">
        <f aca="false">IF($C42="","",INDEX(単元07!$G$5:$G$164,$C42)&amp;"")</f>
        <v/>
      </c>
      <c r="AK42" s="61" t="str">
        <f aca="false">IF($C42="","",INDEX(単元07!$H$5:$H$164,$C42)&amp;"")</f>
        <v/>
      </c>
      <c r="AL42" s="61" t="str">
        <f aca="false">IF($C42="","",INDEX(単元08!$F$5:$F$164,$C42)&amp;"")</f>
        <v/>
      </c>
      <c r="AM42" s="61" t="str">
        <f aca="false">IF($C42="","",INDEX(単元08!$G$5:$G$164,$C42)&amp;"")</f>
        <v/>
      </c>
      <c r="AN42" s="61" t="str">
        <f aca="false">IF($C42="","",INDEX(単元08!$H$5:$H$164,$C42)&amp;"")</f>
        <v/>
      </c>
      <c r="AO42" s="61" t="str">
        <f aca="false">IF($C42="","",INDEX(単元09!$F$5:$F$164,$C42)&amp;"")</f>
        <v/>
      </c>
      <c r="AP42" s="61" t="str">
        <f aca="false">IF($C42="","",INDEX(単元09!$G$5:$G$164,$C42)&amp;"")</f>
        <v/>
      </c>
      <c r="AQ42" s="61" t="str">
        <f aca="false">IF($C42="","",INDEX(単元09!$H$5:$H$164,$C42)&amp;"")</f>
        <v/>
      </c>
      <c r="AR42" s="61" t="str">
        <f aca="false">IF($C42="","",INDEX(単元10!$F$5:$F$164,$C42)&amp;"")</f>
        <v/>
      </c>
      <c r="AS42" s="61" t="str">
        <f aca="false">IF($C42="","",INDEX(単元10!$G$5:$G$164,$C42)&amp;"")</f>
        <v/>
      </c>
      <c r="AT42" s="61" t="str">
        <f aca="false">IF($C42="","",INDEX(単元10!$H$5:$H$164,$C42)&amp;"")</f>
        <v/>
      </c>
      <c r="AU42" s="61" t="str">
        <f aca="false">IF($C42="","",INDEX(単元11!$F$5:$F$164,$C42)&amp;"")</f>
        <v/>
      </c>
      <c r="AV42" s="61" t="str">
        <f aca="false">IF($C42="","",INDEX(単元11!$G$5:$G$164,$C42)&amp;"")</f>
        <v/>
      </c>
      <c r="AW42" s="61" t="str">
        <f aca="false">IF($C42="","",INDEX(単元11!$H$5:$H$164,$C42)&amp;"")</f>
        <v/>
      </c>
      <c r="AX42" s="61" t="str">
        <f aca="false">IF($C42="","",INDEX(単元12!$F$5:$F$164,$C42)&amp;"")</f>
        <v/>
      </c>
      <c r="AY42" s="61" t="str">
        <f aca="false">IF($C42="","",INDEX(単元12!$G$5:$G$164,$C42)&amp;"")</f>
        <v/>
      </c>
      <c r="AZ42" s="61" t="str">
        <f aca="false">IF($C42="","",INDEX(単元12!$H$5:$H$164,$C42)&amp;"")</f>
        <v/>
      </c>
      <c r="BA42" s="61" t="str">
        <f aca="false">IF($C42="","",INDEX(単元13!$F$5:$F$164,$C42)&amp;"")</f>
        <v/>
      </c>
      <c r="BB42" s="61" t="str">
        <f aca="false">IF($C42="","",INDEX(単元13!$G$5:$G$164,$C42)&amp;"")</f>
        <v/>
      </c>
      <c r="BC42" s="61" t="str">
        <f aca="false">IF($C42="","",INDEX(単元13!$H$5:$H$164,$C42)&amp;"")</f>
        <v/>
      </c>
      <c r="BD42" s="61" t="str">
        <f aca="false">IF($C42="","",INDEX(単元14!$F$5:$F$164,$C42)&amp;"")</f>
        <v/>
      </c>
      <c r="BE42" s="61" t="str">
        <f aca="false">IF($C42="","",INDEX(単元14!$G$5:$G$164,$C42)&amp;"")</f>
        <v/>
      </c>
      <c r="BF42" s="61" t="str">
        <f aca="false">IF($C42="","",INDEX(単元14!$H$5:$H$164,$C42)&amp;"")</f>
        <v/>
      </c>
      <c r="BG42" s="61" t="str">
        <f aca="false">IF($C42="","",INDEX(単元15!$F$5:$F$164,$C42)&amp;"")</f>
        <v/>
      </c>
      <c r="BH42" s="61" t="str">
        <f aca="false">IF($C42="","",INDEX(単元15!$G$5:$G$164,$C42)&amp;"")</f>
        <v/>
      </c>
      <c r="BI42" s="61" t="str">
        <f aca="false">IF($C42="","",INDEX(単元15!$H$5:$H$164,$C42)&amp;"")</f>
        <v/>
      </c>
      <c r="BJ42" s="61" t="str">
        <f aca="false">IF($C42="","",INDEX(単元16!$F$5:$F$164,$C42)&amp;"")</f>
        <v/>
      </c>
      <c r="BK42" s="61" t="str">
        <f aca="false">IF($C42="","",INDEX(単元16!$G$5:$G$164,$C42)&amp;"")</f>
        <v/>
      </c>
      <c r="BL42" s="61" t="str">
        <f aca="false">IF($C42="","",INDEX(単元16!$H$5:$H$164,$C42)&amp;"")</f>
        <v/>
      </c>
      <c r="BM42" s="61" t="str">
        <f aca="false">IF($C42="","",INDEX(単元17!$F$5:$F$164,$C42)&amp;"")</f>
        <v/>
      </c>
      <c r="BN42" s="61" t="str">
        <f aca="false">IF($C42="","",INDEX(単元17!$G$5:$G$164,$C42)&amp;"")</f>
        <v/>
      </c>
      <c r="BO42" s="61" t="str">
        <f aca="false">IF($C42="","",INDEX(単元17!$H$5:$H$164,$C42)&amp;"")</f>
        <v/>
      </c>
      <c r="BP42" s="61" t="str">
        <f aca="false">IF($C42="","",INDEX(単元18!$F$5:$F$164,$C42)&amp;"")</f>
        <v/>
      </c>
      <c r="BQ42" s="61" t="str">
        <f aca="false">IF($C42="","",INDEX(単元18!$G$5:$G$164,$C42)&amp;"")</f>
        <v/>
      </c>
      <c r="BR42" s="61" t="str">
        <f aca="false">IF($C42="","",INDEX(単元18!$H$5:$H$164,$C42)&amp;"")</f>
        <v/>
      </c>
      <c r="BS42" s="61" t="str">
        <f aca="false">IF($C42="","",INDEX(単元19!$F$5:$F$164,$C42)&amp;"")</f>
        <v/>
      </c>
      <c r="BT42" s="61" t="str">
        <f aca="false">IF($C42="","",INDEX(単元19!$G$5:$G$164,$C42)&amp;"")</f>
        <v/>
      </c>
      <c r="BU42" s="61" t="str">
        <f aca="false">IF($C42="","",INDEX(単元19!$H$5:$H$164,$C42)&amp;"")</f>
        <v/>
      </c>
      <c r="BV42" s="61" t="str">
        <f aca="false">IF($C42="","",INDEX(単元20!$F$5:$F$164,$C42)&amp;"")</f>
        <v/>
      </c>
      <c r="BW42" s="61" t="str">
        <f aca="false">IF($C42="","",INDEX(単元20!$G$5:$G$164,$C42)&amp;"")</f>
        <v/>
      </c>
      <c r="BX42" s="61" t="str">
        <f aca="false">IF($C42="","",INDEX(単元20!$H$5:$H$164,$C42)&amp;"")</f>
        <v/>
      </c>
    </row>
    <row r="43" customFormat="false" ht="19.5" hidden="false" customHeight="true" outlineLevel="0" collapsed="false">
      <c r="A43" s="91" t="str">
        <f aca="false">IF($C43="","",INDEX(名簿!$C$5:$C$164,$C43))</f>
        <v/>
      </c>
      <c r="B43" s="59" t="str">
        <f aca="false">IF($C43="","",INDEX(名簿!$D$5:$D$164,$C43)&amp;IF(INDEX(名簿!$F$5:$F$164,$C43)="転出","（転出）",""))</f>
        <v/>
      </c>
      <c r="C43" s="41" t="str">
        <f aca="false">IFERROR(MATCH($B$2&amp;"|"&amp;37,名簿!$G$5:$G$164,0),"")</f>
        <v/>
      </c>
      <c r="D43" s="60" t="str">
        <f aca="false">IF($C43="","",SUMPRODUCT(($Q43:$BX43=D$6)*($Q$6:$BX$6=D$3)*((($F$2&amp;"")="通年")+($Q$3:$BX$3=($F$2&amp;""))&gt;0)))</f>
        <v/>
      </c>
      <c r="E43" s="60" t="str">
        <f aca="false">IF($C43="","",SUMPRODUCT(($Q43:$BX43=E$6)*($Q$6:$BX$6=E$3)*((($F$2&amp;"")="通年")+($Q$3:$BX$3=($F$2&amp;""))&gt;0)))</f>
        <v/>
      </c>
      <c r="F43" s="60" t="str">
        <f aca="false">IF($C43="","",SUMPRODUCT(($Q43:$BX43=F$6)*($Q$6:$BX$6=F$3)*((($F$2&amp;"")="通年")+($Q$3:$BX$3=($F$2&amp;""))&gt;0)))</f>
        <v/>
      </c>
      <c r="G43" s="60" t="str">
        <f aca="false">IF($C43="","",SUMPRODUCT(($Q43:$BX43=G$6)*($Q$6:$BX$6=G$3)*((($F$2&amp;"")="通年")+($Q$3:$BX$3=($F$2&amp;""))&gt;0)))</f>
        <v/>
      </c>
      <c r="H43" s="60" t="str">
        <f aca="false">IF($C43="","",SUMPRODUCT(($Q43:$BX43=H$6)*($Q$6:$BX$6=H$3)*((($F$2&amp;"")="通年")+($Q$3:$BX$3=($F$2&amp;""))&gt;0)))</f>
        <v/>
      </c>
      <c r="I43" s="60" t="str">
        <f aca="false">IF($C43="","",SUMPRODUCT(($Q43:$BX43=I$6)*($Q$6:$BX$6=I$3)*((($F$2&amp;"")="通年")+($Q$3:$BX$3=($F$2&amp;""))&gt;0)))</f>
        <v/>
      </c>
      <c r="J43" s="60" t="str">
        <f aca="false">IF($C43="","",SUMPRODUCT(($Q43:$BX43=J$6)*($Q$6:$BX$6=J$3)*((($F$2&amp;"")="通年")+($Q$3:$BX$3=($F$2&amp;""))&gt;0)))</f>
        <v/>
      </c>
      <c r="K43" s="60" t="str">
        <f aca="false">IF($C43="","",SUMPRODUCT(($Q43:$BX43=K$6)*($Q$6:$BX$6=K$3)*((($F$2&amp;"")="通年")+($Q$3:$BX$3=($F$2&amp;""))&gt;0)))</f>
        <v/>
      </c>
      <c r="L43" s="60" t="str">
        <f aca="false">IF($C43="","",SUMPRODUCT(($Q43:$BX43=L$6)*($Q$6:$BX$6=L$3)*((($F$2&amp;"")="通年")+($Q$3:$BX$3=($F$2&amp;""))&gt;0)))</f>
        <v/>
      </c>
      <c r="M43" s="62" t="str">
        <f aca="false">IF($C43="","",IF(SUM(D43:F43)=0,"",IF(D43/SUM(D43:F43)&gt;=設定!$I$17,設定!$G$8,IF(F43/SUM(D43:F43)&gt;=設定!$I$18,設定!$G$10,設定!$G$9))))</f>
        <v/>
      </c>
      <c r="N43" s="62" t="str">
        <f aca="false">IF($C43="","",IF(SUM(G43:I43)=0,"",IF(G43/SUM(G43:I43)&gt;=設定!$I$17,設定!$G$8,IF(I43/SUM(G43:I43)&gt;=設定!$I$18,設定!$G$10,設定!$G$9))))</f>
        <v/>
      </c>
      <c r="O43" s="62" t="str">
        <f aca="false">IF($C43="","",IF(SUM(J43:L43)=0,"",IF(J43/SUM(J43:L43)&gt;=設定!$I$17,設定!$G$8,IF(L43/SUM(J43:L43)&gt;=設定!$I$18,設定!$G$10,設定!$G$9))))</f>
        <v/>
      </c>
      <c r="P43" s="13"/>
      <c r="Q43" s="61" t="str">
        <f aca="false">IF($C43="","",INDEX(単元01!$F$5:$F$164,$C43)&amp;"")</f>
        <v/>
      </c>
      <c r="R43" s="61" t="str">
        <f aca="false">IF($C43="","",INDEX(単元01!$G$5:$G$164,$C43)&amp;"")</f>
        <v/>
      </c>
      <c r="S43" s="61" t="str">
        <f aca="false">IF($C43="","",INDEX(単元01!$H$5:$H$164,$C43)&amp;"")</f>
        <v/>
      </c>
      <c r="T43" s="61" t="str">
        <f aca="false">IF($C43="","",INDEX(単元02!$F$5:$F$164,$C43)&amp;"")</f>
        <v/>
      </c>
      <c r="U43" s="61" t="str">
        <f aca="false">IF($C43="","",INDEX(単元02!$G$5:$G$164,$C43)&amp;"")</f>
        <v/>
      </c>
      <c r="V43" s="61" t="str">
        <f aca="false">IF($C43="","",INDEX(単元02!$H$5:$H$164,$C43)&amp;"")</f>
        <v/>
      </c>
      <c r="W43" s="61" t="str">
        <f aca="false">IF($C43="","",INDEX(単元03!$F$5:$F$164,$C43)&amp;"")</f>
        <v/>
      </c>
      <c r="X43" s="61" t="str">
        <f aca="false">IF($C43="","",INDEX(単元03!$G$5:$G$164,$C43)&amp;"")</f>
        <v/>
      </c>
      <c r="Y43" s="61" t="str">
        <f aca="false">IF($C43="","",INDEX(単元03!$H$5:$H$164,$C43)&amp;"")</f>
        <v/>
      </c>
      <c r="Z43" s="61" t="str">
        <f aca="false">IF($C43="","",INDEX(単元04!$F$5:$F$164,$C43)&amp;"")</f>
        <v/>
      </c>
      <c r="AA43" s="61" t="str">
        <f aca="false">IF($C43="","",INDEX(単元04!$G$5:$G$164,$C43)&amp;"")</f>
        <v/>
      </c>
      <c r="AB43" s="61" t="str">
        <f aca="false">IF($C43="","",INDEX(単元04!$H$5:$H$164,$C43)&amp;"")</f>
        <v/>
      </c>
      <c r="AC43" s="61" t="str">
        <f aca="false">IF($C43="","",INDEX(単元05!$F$5:$F$164,$C43)&amp;"")</f>
        <v/>
      </c>
      <c r="AD43" s="61" t="str">
        <f aca="false">IF($C43="","",INDEX(単元05!$G$5:$G$164,$C43)&amp;"")</f>
        <v/>
      </c>
      <c r="AE43" s="61" t="str">
        <f aca="false">IF($C43="","",INDEX(単元05!$H$5:$H$164,$C43)&amp;"")</f>
        <v/>
      </c>
      <c r="AF43" s="61" t="str">
        <f aca="false">IF($C43="","",INDEX(単元06!$F$5:$F$164,$C43)&amp;"")</f>
        <v/>
      </c>
      <c r="AG43" s="61" t="str">
        <f aca="false">IF($C43="","",INDEX(単元06!$G$5:$G$164,$C43)&amp;"")</f>
        <v/>
      </c>
      <c r="AH43" s="61" t="str">
        <f aca="false">IF($C43="","",INDEX(単元06!$H$5:$H$164,$C43)&amp;"")</f>
        <v/>
      </c>
      <c r="AI43" s="61" t="str">
        <f aca="false">IF($C43="","",INDEX(単元07!$F$5:$F$164,$C43)&amp;"")</f>
        <v/>
      </c>
      <c r="AJ43" s="61" t="str">
        <f aca="false">IF($C43="","",INDEX(単元07!$G$5:$G$164,$C43)&amp;"")</f>
        <v/>
      </c>
      <c r="AK43" s="61" t="str">
        <f aca="false">IF($C43="","",INDEX(単元07!$H$5:$H$164,$C43)&amp;"")</f>
        <v/>
      </c>
      <c r="AL43" s="61" t="str">
        <f aca="false">IF($C43="","",INDEX(単元08!$F$5:$F$164,$C43)&amp;"")</f>
        <v/>
      </c>
      <c r="AM43" s="61" t="str">
        <f aca="false">IF($C43="","",INDEX(単元08!$G$5:$G$164,$C43)&amp;"")</f>
        <v/>
      </c>
      <c r="AN43" s="61" t="str">
        <f aca="false">IF($C43="","",INDEX(単元08!$H$5:$H$164,$C43)&amp;"")</f>
        <v/>
      </c>
      <c r="AO43" s="61" t="str">
        <f aca="false">IF($C43="","",INDEX(単元09!$F$5:$F$164,$C43)&amp;"")</f>
        <v/>
      </c>
      <c r="AP43" s="61" t="str">
        <f aca="false">IF($C43="","",INDEX(単元09!$G$5:$G$164,$C43)&amp;"")</f>
        <v/>
      </c>
      <c r="AQ43" s="61" t="str">
        <f aca="false">IF($C43="","",INDEX(単元09!$H$5:$H$164,$C43)&amp;"")</f>
        <v/>
      </c>
      <c r="AR43" s="61" t="str">
        <f aca="false">IF($C43="","",INDEX(単元10!$F$5:$F$164,$C43)&amp;"")</f>
        <v/>
      </c>
      <c r="AS43" s="61" t="str">
        <f aca="false">IF($C43="","",INDEX(単元10!$G$5:$G$164,$C43)&amp;"")</f>
        <v/>
      </c>
      <c r="AT43" s="61" t="str">
        <f aca="false">IF($C43="","",INDEX(単元10!$H$5:$H$164,$C43)&amp;"")</f>
        <v/>
      </c>
      <c r="AU43" s="61" t="str">
        <f aca="false">IF($C43="","",INDEX(単元11!$F$5:$F$164,$C43)&amp;"")</f>
        <v/>
      </c>
      <c r="AV43" s="61" t="str">
        <f aca="false">IF($C43="","",INDEX(単元11!$G$5:$G$164,$C43)&amp;"")</f>
        <v/>
      </c>
      <c r="AW43" s="61" t="str">
        <f aca="false">IF($C43="","",INDEX(単元11!$H$5:$H$164,$C43)&amp;"")</f>
        <v/>
      </c>
      <c r="AX43" s="61" t="str">
        <f aca="false">IF($C43="","",INDEX(単元12!$F$5:$F$164,$C43)&amp;"")</f>
        <v/>
      </c>
      <c r="AY43" s="61" t="str">
        <f aca="false">IF($C43="","",INDEX(単元12!$G$5:$G$164,$C43)&amp;"")</f>
        <v/>
      </c>
      <c r="AZ43" s="61" t="str">
        <f aca="false">IF($C43="","",INDEX(単元12!$H$5:$H$164,$C43)&amp;"")</f>
        <v/>
      </c>
      <c r="BA43" s="61" t="str">
        <f aca="false">IF($C43="","",INDEX(単元13!$F$5:$F$164,$C43)&amp;"")</f>
        <v/>
      </c>
      <c r="BB43" s="61" t="str">
        <f aca="false">IF($C43="","",INDEX(単元13!$G$5:$G$164,$C43)&amp;"")</f>
        <v/>
      </c>
      <c r="BC43" s="61" t="str">
        <f aca="false">IF($C43="","",INDEX(単元13!$H$5:$H$164,$C43)&amp;"")</f>
        <v/>
      </c>
      <c r="BD43" s="61" t="str">
        <f aca="false">IF($C43="","",INDEX(単元14!$F$5:$F$164,$C43)&amp;"")</f>
        <v/>
      </c>
      <c r="BE43" s="61" t="str">
        <f aca="false">IF($C43="","",INDEX(単元14!$G$5:$G$164,$C43)&amp;"")</f>
        <v/>
      </c>
      <c r="BF43" s="61" t="str">
        <f aca="false">IF($C43="","",INDEX(単元14!$H$5:$H$164,$C43)&amp;"")</f>
        <v/>
      </c>
      <c r="BG43" s="61" t="str">
        <f aca="false">IF($C43="","",INDEX(単元15!$F$5:$F$164,$C43)&amp;"")</f>
        <v/>
      </c>
      <c r="BH43" s="61" t="str">
        <f aca="false">IF($C43="","",INDEX(単元15!$G$5:$G$164,$C43)&amp;"")</f>
        <v/>
      </c>
      <c r="BI43" s="61" t="str">
        <f aca="false">IF($C43="","",INDEX(単元15!$H$5:$H$164,$C43)&amp;"")</f>
        <v/>
      </c>
      <c r="BJ43" s="61" t="str">
        <f aca="false">IF($C43="","",INDEX(単元16!$F$5:$F$164,$C43)&amp;"")</f>
        <v/>
      </c>
      <c r="BK43" s="61" t="str">
        <f aca="false">IF($C43="","",INDEX(単元16!$G$5:$G$164,$C43)&amp;"")</f>
        <v/>
      </c>
      <c r="BL43" s="61" t="str">
        <f aca="false">IF($C43="","",INDEX(単元16!$H$5:$H$164,$C43)&amp;"")</f>
        <v/>
      </c>
      <c r="BM43" s="61" t="str">
        <f aca="false">IF($C43="","",INDEX(単元17!$F$5:$F$164,$C43)&amp;"")</f>
        <v/>
      </c>
      <c r="BN43" s="61" t="str">
        <f aca="false">IF($C43="","",INDEX(単元17!$G$5:$G$164,$C43)&amp;"")</f>
        <v/>
      </c>
      <c r="BO43" s="61" t="str">
        <f aca="false">IF($C43="","",INDEX(単元17!$H$5:$H$164,$C43)&amp;"")</f>
        <v/>
      </c>
      <c r="BP43" s="61" t="str">
        <f aca="false">IF($C43="","",INDEX(単元18!$F$5:$F$164,$C43)&amp;"")</f>
        <v/>
      </c>
      <c r="BQ43" s="61" t="str">
        <f aca="false">IF($C43="","",INDEX(単元18!$G$5:$G$164,$C43)&amp;"")</f>
        <v/>
      </c>
      <c r="BR43" s="61" t="str">
        <f aca="false">IF($C43="","",INDEX(単元18!$H$5:$H$164,$C43)&amp;"")</f>
        <v/>
      </c>
      <c r="BS43" s="61" t="str">
        <f aca="false">IF($C43="","",INDEX(単元19!$F$5:$F$164,$C43)&amp;"")</f>
        <v/>
      </c>
      <c r="BT43" s="61" t="str">
        <f aca="false">IF($C43="","",INDEX(単元19!$G$5:$G$164,$C43)&amp;"")</f>
        <v/>
      </c>
      <c r="BU43" s="61" t="str">
        <f aca="false">IF($C43="","",INDEX(単元19!$H$5:$H$164,$C43)&amp;"")</f>
        <v/>
      </c>
      <c r="BV43" s="61" t="str">
        <f aca="false">IF($C43="","",INDEX(単元20!$F$5:$F$164,$C43)&amp;"")</f>
        <v/>
      </c>
      <c r="BW43" s="61" t="str">
        <f aca="false">IF($C43="","",INDEX(単元20!$G$5:$G$164,$C43)&amp;"")</f>
        <v/>
      </c>
      <c r="BX43" s="61" t="str">
        <f aca="false">IF($C43="","",INDEX(単元20!$H$5:$H$164,$C43)&amp;"")</f>
        <v/>
      </c>
    </row>
    <row r="44" customFormat="false" ht="19.5" hidden="false" customHeight="true" outlineLevel="0" collapsed="false">
      <c r="A44" s="91" t="str">
        <f aca="false">IF($C44="","",INDEX(名簿!$C$5:$C$164,$C44))</f>
        <v/>
      </c>
      <c r="B44" s="59" t="str">
        <f aca="false">IF($C44="","",INDEX(名簿!$D$5:$D$164,$C44)&amp;IF(INDEX(名簿!$F$5:$F$164,$C44)="転出","（転出）",""))</f>
        <v/>
      </c>
      <c r="C44" s="41" t="str">
        <f aca="false">IFERROR(MATCH($B$2&amp;"|"&amp;38,名簿!$G$5:$G$164,0),"")</f>
        <v/>
      </c>
      <c r="D44" s="60" t="str">
        <f aca="false">IF($C44="","",SUMPRODUCT(($Q44:$BX44=D$6)*($Q$6:$BX$6=D$3)*((($F$2&amp;"")="通年")+($Q$3:$BX$3=($F$2&amp;""))&gt;0)))</f>
        <v/>
      </c>
      <c r="E44" s="60" t="str">
        <f aca="false">IF($C44="","",SUMPRODUCT(($Q44:$BX44=E$6)*($Q$6:$BX$6=E$3)*((($F$2&amp;"")="通年")+($Q$3:$BX$3=($F$2&amp;""))&gt;0)))</f>
        <v/>
      </c>
      <c r="F44" s="60" t="str">
        <f aca="false">IF($C44="","",SUMPRODUCT(($Q44:$BX44=F$6)*($Q$6:$BX$6=F$3)*((($F$2&amp;"")="通年")+($Q$3:$BX$3=($F$2&amp;""))&gt;0)))</f>
        <v/>
      </c>
      <c r="G44" s="60" t="str">
        <f aca="false">IF($C44="","",SUMPRODUCT(($Q44:$BX44=G$6)*($Q$6:$BX$6=G$3)*((($F$2&amp;"")="通年")+($Q$3:$BX$3=($F$2&amp;""))&gt;0)))</f>
        <v/>
      </c>
      <c r="H44" s="60" t="str">
        <f aca="false">IF($C44="","",SUMPRODUCT(($Q44:$BX44=H$6)*($Q$6:$BX$6=H$3)*((($F$2&amp;"")="通年")+($Q$3:$BX$3=($F$2&amp;""))&gt;0)))</f>
        <v/>
      </c>
      <c r="I44" s="60" t="str">
        <f aca="false">IF($C44="","",SUMPRODUCT(($Q44:$BX44=I$6)*($Q$6:$BX$6=I$3)*((($F$2&amp;"")="通年")+($Q$3:$BX$3=($F$2&amp;""))&gt;0)))</f>
        <v/>
      </c>
      <c r="J44" s="60" t="str">
        <f aca="false">IF($C44="","",SUMPRODUCT(($Q44:$BX44=J$6)*($Q$6:$BX$6=J$3)*((($F$2&amp;"")="通年")+($Q$3:$BX$3=($F$2&amp;""))&gt;0)))</f>
        <v/>
      </c>
      <c r="K44" s="60" t="str">
        <f aca="false">IF($C44="","",SUMPRODUCT(($Q44:$BX44=K$6)*($Q$6:$BX$6=K$3)*((($F$2&amp;"")="通年")+($Q$3:$BX$3=($F$2&amp;""))&gt;0)))</f>
        <v/>
      </c>
      <c r="L44" s="60" t="str">
        <f aca="false">IF($C44="","",SUMPRODUCT(($Q44:$BX44=L$6)*($Q$6:$BX$6=L$3)*((($F$2&amp;"")="通年")+($Q$3:$BX$3=($F$2&amp;""))&gt;0)))</f>
        <v/>
      </c>
      <c r="M44" s="62" t="str">
        <f aca="false">IF($C44="","",IF(SUM(D44:F44)=0,"",IF(D44/SUM(D44:F44)&gt;=設定!$I$17,設定!$G$8,IF(F44/SUM(D44:F44)&gt;=設定!$I$18,設定!$G$10,設定!$G$9))))</f>
        <v/>
      </c>
      <c r="N44" s="62" t="str">
        <f aca="false">IF($C44="","",IF(SUM(G44:I44)=0,"",IF(G44/SUM(G44:I44)&gt;=設定!$I$17,設定!$G$8,IF(I44/SUM(G44:I44)&gt;=設定!$I$18,設定!$G$10,設定!$G$9))))</f>
        <v/>
      </c>
      <c r="O44" s="62" t="str">
        <f aca="false">IF($C44="","",IF(SUM(J44:L44)=0,"",IF(J44/SUM(J44:L44)&gt;=設定!$I$17,設定!$G$8,IF(L44/SUM(J44:L44)&gt;=設定!$I$18,設定!$G$10,設定!$G$9))))</f>
        <v/>
      </c>
      <c r="P44" s="13"/>
      <c r="Q44" s="61" t="str">
        <f aca="false">IF($C44="","",INDEX(単元01!$F$5:$F$164,$C44)&amp;"")</f>
        <v/>
      </c>
      <c r="R44" s="61" t="str">
        <f aca="false">IF($C44="","",INDEX(単元01!$G$5:$G$164,$C44)&amp;"")</f>
        <v/>
      </c>
      <c r="S44" s="61" t="str">
        <f aca="false">IF($C44="","",INDEX(単元01!$H$5:$H$164,$C44)&amp;"")</f>
        <v/>
      </c>
      <c r="T44" s="61" t="str">
        <f aca="false">IF($C44="","",INDEX(単元02!$F$5:$F$164,$C44)&amp;"")</f>
        <v/>
      </c>
      <c r="U44" s="61" t="str">
        <f aca="false">IF($C44="","",INDEX(単元02!$G$5:$G$164,$C44)&amp;"")</f>
        <v/>
      </c>
      <c r="V44" s="61" t="str">
        <f aca="false">IF($C44="","",INDEX(単元02!$H$5:$H$164,$C44)&amp;"")</f>
        <v/>
      </c>
      <c r="W44" s="61" t="str">
        <f aca="false">IF($C44="","",INDEX(単元03!$F$5:$F$164,$C44)&amp;"")</f>
        <v/>
      </c>
      <c r="X44" s="61" t="str">
        <f aca="false">IF($C44="","",INDEX(単元03!$G$5:$G$164,$C44)&amp;"")</f>
        <v/>
      </c>
      <c r="Y44" s="61" t="str">
        <f aca="false">IF($C44="","",INDEX(単元03!$H$5:$H$164,$C44)&amp;"")</f>
        <v/>
      </c>
      <c r="Z44" s="61" t="str">
        <f aca="false">IF($C44="","",INDEX(単元04!$F$5:$F$164,$C44)&amp;"")</f>
        <v/>
      </c>
      <c r="AA44" s="61" t="str">
        <f aca="false">IF($C44="","",INDEX(単元04!$G$5:$G$164,$C44)&amp;"")</f>
        <v/>
      </c>
      <c r="AB44" s="61" t="str">
        <f aca="false">IF($C44="","",INDEX(単元04!$H$5:$H$164,$C44)&amp;"")</f>
        <v/>
      </c>
      <c r="AC44" s="61" t="str">
        <f aca="false">IF($C44="","",INDEX(単元05!$F$5:$F$164,$C44)&amp;"")</f>
        <v/>
      </c>
      <c r="AD44" s="61" t="str">
        <f aca="false">IF($C44="","",INDEX(単元05!$G$5:$G$164,$C44)&amp;"")</f>
        <v/>
      </c>
      <c r="AE44" s="61" t="str">
        <f aca="false">IF($C44="","",INDEX(単元05!$H$5:$H$164,$C44)&amp;"")</f>
        <v/>
      </c>
      <c r="AF44" s="61" t="str">
        <f aca="false">IF($C44="","",INDEX(単元06!$F$5:$F$164,$C44)&amp;"")</f>
        <v/>
      </c>
      <c r="AG44" s="61" t="str">
        <f aca="false">IF($C44="","",INDEX(単元06!$G$5:$G$164,$C44)&amp;"")</f>
        <v/>
      </c>
      <c r="AH44" s="61" t="str">
        <f aca="false">IF($C44="","",INDEX(単元06!$H$5:$H$164,$C44)&amp;"")</f>
        <v/>
      </c>
      <c r="AI44" s="61" t="str">
        <f aca="false">IF($C44="","",INDEX(単元07!$F$5:$F$164,$C44)&amp;"")</f>
        <v/>
      </c>
      <c r="AJ44" s="61" t="str">
        <f aca="false">IF($C44="","",INDEX(単元07!$G$5:$G$164,$C44)&amp;"")</f>
        <v/>
      </c>
      <c r="AK44" s="61" t="str">
        <f aca="false">IF($C44="","",INDEX(単元07!$H$5:$H$164,$C44)&amp;"")</f>
        <v/>
      </c>
      <c r="AL44" s="61" t="str">
        <f aca="false">IF($C44="","",INDEX(単元08!$F$5:$F$164,$C44)&amp;"")</f>
        <v/>
      </c>
      <c r="AM44" s="61" t="str">
        <f aca="false">IF($C44="","",INDEX(単元08!$G$5:$G$164,$C44)&amp;"")</f>
        <v/>
      </c>
      <c r="AN44" s="61" t="str">
        <f aca="false">IF($C44="","",INDEX(単元08!$H$5:$H$164,$C44)&amp;"")</f>
        <v/>
      </c>
      <c r="AO44" s="61" t="str">
        <f aca="false">IF($C44="","",INDEX(単元09!$F$5:$F$164,$C44)&amp;"")</f>
        <v/>
      </c>
      <c r="AP44" s="61" t="str">
        <f aca="false">IF($C44="","",INDEX(単元09!$G$5:$G$164,$C44)&amp;"")</f>
        <v/>
      </c>
      <c r="AQ44" s="61" t="str">
        <f aca="false">IF($C44="","",INDEX(単元09!$H$5:$H$164,$C44)&amp;"")</f>
        <v/>
      </c>
      <c r="AR44" s="61" t="str">
        <f aca="false">IF($C44="","",INDEX(単元10!$F$5:$F$164,$C44)&amp;"")</f>
        <v/>
      </c>
      <c r="AS44" s="61" t="str">
        <f aca="false">IF($C44="","",INDEX(単元10!$G$5:$G$164,$C44)&amp;"")</f>
        <v/>
      </c>
      <c r="AT44" s="61" t="str">
        <f aca="false">IF($C44="","",INDEX(単元10!$H$5:$H$164,$C44)&amp;"")</f>
        <v/>
      </c>
      <c r="AU44" s="61" t="str">
        <f aca="false">IF($C44="","",INDEX(単元11!$F$5:$F$164,$C44)&amp;"")</f>
        <v/>
      </c>
      <c r="AV44" s="61" t="str">
        <f aca="false">IF($C44="","",INDEX(単元11!$G$5:$G$164,$C44)&amp;"")</f>
        <v/>
      </c>
      <c r="AW44" s="61" t="str">
        <f aca="false">IF($C44="","",INDEX(単元11!$H$5:$H$164,$C44)&amp;"")</f>
        <v/>
      </c>
      <c r="AX44" s="61" t="str">
        <f aca="false">IF($C44="","",INDEX(単元12!$F$5:$F$164,$C44)&amp;"")</f>
        <v/>
      </c>
      <c r="AY44" s="61" t="str">
        <f aca="false">IF($C44="","",INDEX(単元12!$G$5:$G$164,$C44)&amp;"")</f>
        <v/>
      </c>
      <c r="AZ44" s="61" t="str">
        <f aca="false">IF($C44="","",INDEX(単元12!$H$5:$H$164,$C44)&amp;"")</f>
        <v/>
      </c>
      <c r="BA44" s="61" t="str">
        <f aca="false">IF($C44="","",INDEX(単元13!$F$5:$F$164,$C44)&amp;"")</f>
        <v/>
      </c>
      <c r="BB44" s="61" t="str">
        <f aca="false">IF($C44="","",INDEX(単元13!$G$5:$G$164,$C44)&amp;"")</f>
        <v/>
      </c>
      <c r="BC44" s="61" t="str">
        <f aca="false">IF($C44="","",INDEX(単元13!$H$5:$H$164,$C44)&amp;"")</f>
        <v/>
      </c>
      <c r="BD44" s="61" t="str">
        <f aca="false">IF($C44="","",INDEX(単元14!$F$5:$F$164,$C44)&amp;"")</f>
        <v/>
      </c>
      <c r="BE44" s="61" t="str">
        <f aca="false">IF($C44="","",INDEX(単元14!$G$5:$G$164,$C44)&amp;"")</f>
        <v/>
      </c>
      <c r="BF44" s="61" t="str">
        <f aca="false">IF($C44="","",INDEX(単元14!$H$5:$H$164,$C44)&amp;"")</f>
        <v/>
      </c>
      <c r="BG44" s="61" t="str">
        <f aca="false">IF($C44="","",INDEX(単元15!$F$5:$F$164,$C44)&amp;"")</f>
        <v/>
      </c>
      <c r="BH44" s="61" t="str">
        <f aca="false">IF($C44="","",INDEX(単元15!$G$5:$G$164,$C44)&amp;"")</f>
        <v/>
      </c>
      <c r="BI44" s="61" t="str">
        <f aca="false">IF($C44="","",INDEX(単元15!$H$5:$H$164,$C44)&amp;"")</f>
        <v/>
      </c>
      <c r="BJ44" s="61" t="str">
        <f aca="false">IF($C44="","",INDEX(単元16!$F$5:$F$164,$C44)&amp;"")</f>
        <v/>
      </c>
      <c r="BK44" s="61" t="str">
        <f aca="false">IF($C44="","",INDEX(単元16!$G$5:$G$164,$C44)&amp;"")</f>
        <v/>
      </c>
      <c r="BL44" s="61" t="str">
        <f aca="false">IF($C44="","",INDEX(単元16!$H$5:$H$164,$C44)&amp;"")</f>
        <v/>
      </c>
      <c r="BM44" s="61" t="str">
        <f aca="false">IF($C44="","",INDEX(単元17!$F$5:$F$164,$C44)&amp;"")</f>
        <v/>
      </c>
      <c r="BN44" s="61" t="str">
        <f aca="false">IF($C44="","",INDEX(単元17!$G$5:$G$164,$C44)&amp;"")</f>
        <v/>
      </c>
      <c r="BO44" s="61" t="str">
        <f aca="false">IF($C44="","",INDEX(単元17!$H$5:$H$164,$C44)&amp;"")</f>
        <v/>
      </c>
      <c r="BP44" s="61" t="str">
        <f aca="false">IF($C44="","",INDEX(単元18!$F$5:$F$164,$C44)&amp;"")</f>
        <v/>
      </c>
      <c r="BQ44" s="61" t="str">
        <f aca="false">IF($C44="","",INDEX(単元18!$G$5:$G$164,$C44)&amp;"")</f>
        <v/>
      </c>
      <c r="BR44" s="61" t="str">
        <f aca="false">IF($C44="","",INDEX(単元18!$H$5:$H$164,$C44)&amp;"")</f>
        <v/>
      </c>
      <c r="BS44" s="61" t="str">
        <f aca="false">IF($C44="","",INDEX(単元19!$F$5:$F$164,$C44)&amp;"")</f>
        <v/>
      </c>
      <c r="BT44" s="61" t="str">
        <f aca="false">IF($C44="","",INDEX(単元19!$G$5:$G$164,$C44)&amp;"")</f>
        <v/>
      </c>
      <c r="BU44" s="61" t="str">
        <f aca="false">IF($C44="","",INDEX(単元19!$H$5:$H$164,$C44)&amp;"")</f>
        <v/>
      </c>
      <c r="BV44" s="61" t="str">
        <f aca="false">IF($C44="","",INDEX(単元20!$F$5:$F$164,$C44)&amp;"")</f>
        <v/>
      </c>
      <c r="BW44" s="61" t="str">
        <f aca="false">IF($C44="","",INDEX(単元20!$G$5:$G$164,$C44)&amp;"")</f>
        <v/>
      </c>
      <c r="BX44" s="61" t="str">
        <f aca="false">IF($C44="","",INDEX(単元20!$H$5:$H$164,$C44)&amp;"")</f>
        <v/>
      </c>
    </row>
    <row r="45" customFormat="false" ht="19.5" hidden="false" customHeight="true" outlineLevel="0" collapsed="false">
      <c r="A45" s="91" t="str">
        <f aca="false">IF($C45="","",INDEX(名簿!$C$5:$C$164,$C45))</f>
        <v/>
      </c>
      <c r="B45" s="59" t="str">
        <f aca="false">IF($C45="","",INDEX(名簿!$D$5:$D$164,$C45)&amp;IF(INDEX(名簿!$F$5:$F$164,$C45)="転出","（転出）",""))</f>
        <v/>
      </c>
      <c r="C45" s="41" t="str">
        <f aca="false">IFERROR(MATCH($B$2&amp;"|"&amp;39,名簿!$G$5:$G$164,0),"")</f>
        <v/>
      </c>
      <c r="D45" s="60" t="str">
        <f aca="false">IF($C45="","",SUMPRODUCT(($Q45:$BX45=D$6)*($Q$6:$BX$6=D$3)*((($F$2&amp;"")="通年")+($Q$3:$BX$3=($F$2&amp;""))&gt;0)))</f>
        <v/>
      </c>
      <c r="E45" s="60" t="str">
        <f aca="false">IF($C45="","",SUMPRODUCT(($Q45:$BX45=E$6)*($Q$6:$BX$6=E$3)*((($F$2&amp;"")="通年")+($Q$3:$BX$3=($F$2&amp;""))&gt;0)))</f>
        <v/>
      </c>
      <c r="F45" s="60" t="str">
        <f aca="false">IF($C45="","",SUMPRODUCT(($Q45:$BX45=F$6)*($Q$6:$BX$6=F$3)*((($F$2&amp;"")="通年")+($Q$3:$BX$3=($F$2&amp;""))&gt;0)))</f>
        <v/>
      </c>
      <c r="G45" s="60" t="str">
        <f aca="false">IF($C45="","",SUMPRODUCT(($Q45:$BX45=G$6)*($Q$6:$BX$6=G$3)*((($F$2&amp;"")="通年")+($Q$3:$BX$3=($F$2&amp;""))&gt;0)))</f>
        <v/>
      </c>
      <c r="H45" s="60" t="str">
        <f aca="false">IF($C45="","",SUMPRODUCT(($Q45:$BX45=H$6)*($Q$6:$BX$6=H$3)*((($F$2&amp;"")="通年")+($Q$3:$BX$3=($F$2&amp;""))&gt;0)))</f>
        <v/>
      </c>
      <c r="I45" s="60" t="str">
        <f aca="false">IF($C45="","",SUMPRODUCT(($Q45:$BX45=I$6)*($Q$6:$BX$6=I$3)*((($F$2&amp;"")="通年")+($Q$3:$BX$3=($F$2&amp;""))&gt;0)))</f>
        <v/>
      </c>
      <c r="J45" s="60" t="str">
        <f aca="false">IF($C45="","",SUMPRODUCT(($Q45:$BX45=J$6)*($Q$6:$BX$6=J$3)*((($F$2&amp;"")="通年")+($Q$3:$BX$3=($F$2&amp;""))&gt;0)))</f>
        <v/>
      </c>
      <c r="K45" s="60" t="str">
        <f aca="false">IF($C45="","",SUMPRODUCT(($Q45:$BX45=K$6)*($Q$6:$BX$6=K$3)*((($F$2&amp;"")="通年")+($Q$3:$BX$3=($F$2&amp;""))&gt;0)))</f>
        <v/>
      </c>
      <c r="L45" s="60" t="str">
        <f aca="false">IF($C45="","",SUMPRODUCT(($Q45:$BX45=L$6)*($Q$6:$BX$6=L$3)*((($F$2&amp;"")="通年")+($Q$3:$BX$3=($F$2&amp;""))&gt;0)))</f>
        <v/>
      </c>
      <c r="M45" s="62" t="str">
        <f aca="false">IF($C45="","",IF(SUM(D45:F45)=0,"",IF(D45/SUM(D45:F45)&gt;=設定!$I$17,設定!$G$8,IF(F45/SUM(D45:F45)&gt;=設定!$I$18,設定!$G$10,設定!$G$9))))</f>
        <v/>
      </c>
      <c r="N45" s="62" t="str">
        <f aca="false">IF($C45="","",IF(SUM(G45:I45)=0,"",IF(G45/SUM(G45:I45)&gt;=設定!$I$17,設定!$G$8,IF(I45/SUM(G45:I45)&gt;=設定!$I$18,設定!$G$10,設定!$G$9))))</f>
        <v/>
      </c>
      <c r="O45" s="62" t="str">
        <f aca="false">IF($C45="","",IF(SUM(J45:L45)=0,"",IF(J45/SUM(J45:L45)&gt;=設定!$I$17,設定!$G$8,IF(L45/SUM(J45:L45)&gt;=設定!$I$18,設定!$G$10,設定!$G$9))))</f>
        <v/>
      </c>
      <c r="P45" s="13"/>
      <c r="Q45" s="61" t="str">
        <f aca="false">IF($C45="","",INDEX(単元01!$F$5:$F$164,$C45)&amp;"")</f>
        <v/>
      </c>
      <c r="R45" s="61" t="str">
        <f aca="false">IF($C45="","",INDEX(単元01!$G$5:$G$164,$C45)&amp;"")</f>
        <v/>
      </c>
      <c r="S45" s="61" t="str">
        <f aca="false">IF($C45="","",INDEX(単元01!$H$5:$H$164,$C45)&amp;"")</f>
        <v/>
      </c>
      <c r="T45" s="61" t="str">
        <f aca="false">IF($C45="","",INDEX(単元02!$F$5:$F$164,$C45)&amp;"")</f>
        <v/>
      </c>
      <c r="U45" s="61" t="str">
        <f aca="false">IF($C45="","",INDEX(単元02!$G$5:$G$164,$C45)&amp;"")</f>
        <v/>
      </c>
      <c r="V45" s="61" t="str">
        <f aca="false">IF($C45="","",INDEX(単元02!$H$5:$H$164,$C45)&amp;"")</f>
        <v/>
      </c>
      <c r="W45" s="61" t="str">
        <f aca="false">IF($C45="","",INDEX(単元03!$F$5:$F$164,$C45)&amp;"")</f>
        <v/>
      </c>
      <c r="X45" s="61" t="str">
        <f aca="false">IF($C45="","",INDEX(単元03!$G$5:$G$164,$C45)&amp;"")</f>
        <v/>
      </c>
      <c r="Y45" s="61" t="str">
        <f aca="false">IF($C45="","",INDEX(単元03!$H$5:$H$164,$C45)&amp;"")</f>
        <v/>
      </c>
      <c r="Z45" s="61" t="str">
        <f aca="false">IF($C45="","",INDEX(単元04!$F$5:$F$164,$C45)&amp;"")</f>
        <v/>
      </c>
      <c r="AA45" s="61" t="str">
        <f aca="false">IF($C45="","",INDEX(単元04!$G$5:$G$164,$C45)&amp;"")</f>
        <v/>
      </c>
      <c r="AB45" s="61" t="str">
        <f aca="false">IF($C45="","",INDEX(単元04!$H$5:$H$164,$C45)&amp;"")</f>
        <v/>
      </c>
      <c r="AC45" s="61" t="str">
        <f aca="false">IF($C45="","",INDEX(単元05!$F$5:$F$164,$C45)&amp;"")</f>
        <v/>
      </c>
      <c r="AD45" s="61" t="str">
        <f aca="false">IF($C45="","",INDEX(単元05!$G$5:$G$164,$C45)&amp;"")</f>
        <v/>
      </c>
      <c r="AE45" s="61" t="str">
        <f aca="false">IF($C45="","",INDEX(単元05!$H$5:$H$164,$C45)&amp;"")</f>
        <v/>
      </c>
      <c r="AF45" s="61" t="str">
        <f aca="false">IF($C45="","",INDEX(単元06!$F$5:$F$164,$C45)&amp;"")</f>
        <v/>
      </c>
      <c r="AG45" s="61" t="str">
        <f aca="false">IF($C45="","",INDEX(単元06!$G$5:$G$164,$C45)&amp;"")</f>
        <v/>
      </c>
      <c r="AH45" s="61" t="str">
        <f aca="false">IF($C45="","",INDEX(単元06!$H$5:$H$164,$C45)&amp;"")</f>
        <v/>
      </c>
      <c r="AI45" s="61" t="str">
        <f aca="false">IF($C45="","",INDEX(単元07!$F$5:$F$164,$C45)&amp;"")</f>
        <v/>
      </c>
      <c r="AJ45" s="61" t="str">
        <f aca="false">IF($C45="","",INDEX(単元07!$G$5:$G$164,$C45)&amp;"")</f>
        <v/>
      </c>
      <c r="AK45" s="61" t="str">
        <f aca="false">IF($C45="","",INDEX(単元07!$H$5:$H$164,$C45)&amp;"")</f>
        <v/>
      </c>
      <c r="AL45" s="61" t="str">
        <f aca="false">IF($C45="","",INDEX(単元08!$F$5:$F$164,$C45)&amp;"")</f>
        <v/>
      </c>
      <c r="AM45" s="61" t="str">
        <f aca="false">IF($C45="","",INDEX(単元08!$G$5:$G$164,$C45)&amp;"")</f>
        <v/>
      </c>
      <c r="AN45" s="61" t="str">
        <f aca="false">IF($C45="","",INDEX(単元08!$H$5:$H$164,$C45)&amp;"")</f>
        <v/>
      </c>
      <c r="AO45" s="61" t="str">
        <f aca="false">IF($C45="","",INDEX(単元09!$F$5:$F$164,$C45)&amp;"")</f>
        <v/>
      </c>
      <c r="AP45" s="61" t="str">
        <f aca="false">IF($C45="","",INDEX(単元09!$G$5:$G$164,$C45)&amp;"")</f>
        <v/>
      </c>
      <c r="AQ45" s="61" t="str">
        <f aca="false">IF($C45="","",INDEX(単元09!$H$5:$H$164,$C45)&amp;"")</f>
        <v/>
      </c>
      <c r="AR45" s="61" t="str">
        <f aca="false">IF($C45="","",INDEX(単元10!$F$5:$F$164,$C45)&amp;"")</f>
        <v/>
      </c>
      <c r="AS45" s="61" t="str">
        <f aca="false">IF($C45="","",INDEX(単元10!$G$5:$G$164,$C45)&amp;"")</f>
        <v/>
      </c>
      <c r="AT45" s="61" t="str">
        <f aca="false">IF($C45="","",INDEX(単元10!$H$5:$H$164,$C45)&amp;"")</f>
        <v/>
      </c>
      <c r="AU45" s="61" t="str">
        <f aca="false">IF($C45="","",INDEX(単元11!$F$5:$F$164,$C45)&amp;"")</f>
        <v/>
      </c>
      <c r="AV45" s="61" t="str">
        <f aca="false">IF($C45="","",INDEX(単元11!$G$5:$G$164,$C45)&amp;"")</f>
        <v/>
      </c>
      <c r="AW45" s="61" t="str">
        <f aca="false">IF($C45="","",INDEX(単元11!$H$5:$H$164,$C45)&amp;"")</f>
        <v/>
      </c>
      <c r="AX45" s="61" t="str">
        <f aca="false">IF($C45="","",INDEX(単元12!$F$5:$F$164,$C45)&amp;"")</f>
        <v/>
      </c>
      <c r="AY45" s="61" t="str">
        <f aca="false">IF($C45="","",INDEX(単元12!$G$5:$G$164,$C45)&amp;"")</f>
        <v/>
      </c>
      <c r="AZ45" s="61" t="str">
        <f aca="false">IF($C45="","",INDEX(単元12!$H$5:$H$164,$C45)&amp;"")</f>
        <v/>
      </c>
      <c r="BA45" s="61" t="str">
        <f aca="false">IF($C45="","",INDEX(単元13!$F$5:$F$164,$C45)&amp;"")</f>
        <v/>
      </c>
      <c r="BB45" s="61" t="str">
        <f aca="false">IF($C45="","",INDEX(単元13!$G$5:$G$164,$C45)&amp;"")</f>
        <v/>
      </c>
      <c r="BC45" s="61" t="str">
        <f aca="false">IF($C45="","",INDEX(単元13!$H$5:$H$164,$C45)&amp;"")</f>
        <v/>
      </c>
      <c r="BD45" s="61" t="str">
        <f aca="false">IF($C45="","",INDEX(単元14!$F$5:$F$164,$C45)&amp;"")</f>
        <v/>
      </c>
      <c r="BE45" s="61" t="str">
        <f aca="false">IF($C45="","",INDEX(単元14!$G$5:$G$164,$C45)&amp;"")</f>
        <v/>
      </c>
      <c r="BF45" s="61" t="str">
        <f aca="false">IF($C45="","",INDEX(単元14!$H$5:$H$164,$C45)&amp;"")</f>
        <v/>
      </c>
      <c r="BG45" s="61" t="str">
        <f aca="false">IF($C45="","",INDEX(単元15!$F$5:$F$164,$C45)&amp;"")</f>
        <v/>
      </c>
      <c r="BH45" s="61" t="str">
        <f aca="false">IF($C45="","",INDEX(単元15!$G$5:$G$164,$C45)&amp;"")</f>
        <v/>
      </c>
      <c r="BI45" s="61" t="str">
        <f aca="false">IF($C45="","",INDEX(単元15!$H$5:$H$164,$C45)&amp;"")</f>
        <v/>
      </c>
      <c r="BJ45" s="61" t="str">
        <f aca="false">IF($C45="","",INDEX(単元16!$F$5:$F$164,$C45)&amp;"")</f>
        <v/>
      </c>
      <c r="BK45" s="61" t="str">
        <f aca="false">IF($C45="","",INDEX(単元16!$G$5:$G$164,$C45)&amp;"")</f>
        <v/>
      </c>
      <c r="BL45" s="61" t="str">
        <f aca="false">IF($C45="","",INDEX(単元16!$H$5:$H$164,$C45)&amp;"")</f>
        <v/>
      </c>
      <c r="BM45" s="61" t="str">
        <f aca="false">IF($C45="","",INDEX(単元17!$F$5:$F$164,$C45)&amp;"")</f>
        <v/>
      </c>
      <c r="BN45" s="61" t="str">
        <f aca="false">IF($C45="","",INDEX(単元17!$G$5:$G$164,$C45)&amp;"")</f>
        <v/>
      </c>
      <c r="BO45" s="61" t="str">
        <f aca="false">IF($C45="","",INDEX(単元17!$H$5:$H$164,$C45)&amp;"")</f>
        <v/>
      </c>
      <c r="BP45" s="61" t="str">
        <f aca="false">IF($C45="","",INDEX(単元18!$F$5:$F$164,$C45)&amp;"")</f>
        <v/>
      </c>
      <c r="BQ45" s="61" t="str">
        <f aca="false">IF($C45="","",INDEX(単元18!$G$5:$G$164,$C45)&amp;"")</f>
        <v/>
      </c>
      <c r="BR45" s="61" t="str">
        <f aca="false">IF($C45="","",INDEX(単元18!$H$5:$H$164,$C45)&amp;"")</f>
        <v/>
      </c>
      <c r="BS45" s="61" t="str">
        <f aca="false">IF($C45="","",INDEX(単元19!$F$5:$F$164,$C45)&amp;"")</f>
        <v/>
      </c>
      <c r="BT45" s="61" t="str">
        <f aca="false">IF($C45="","",INDEX(単元19!$G$5:$G$164,$C45)&amp;"")</f>
        <v/>
      </c>
      <c r="BU45" s="61" t="str">
        <f aca="false">IF($C45="","",INDEX(単元19!$H$5:$H$164,$C45)&amp;"")</f>
        <v/>
      </c>
      <c r="BV45" s="61" t="str">
        <f aca="false">IF($C45="","",INDEX(単元20!$F$5:$F$164,$C45)&amp;"")</f>
        <v/>
      </c>
      <c r="BW45" s="61" t="str">
        <f aca="false">IF($C45="","",INDEX(単元20!$G$5:$G$164,$C45)&amp;"")</f>
        <v/>
      </c>
      <c r="BX45" s="61" t="str">
        <f aca="false">IF($C45="","",INDEX(単元20!$H$5:$H$164,$C45)&amp;"")</f>
        <v/>
      </c>
    </row>
    <row r="46" customFormat="false" ht="19.5" hidden="false" customHeight="true" outlineLevel="0" collapsed="false">
      <c r="A46" s="91" t="str">
        <f aca="false">IF($C46="","",INDEX(名簿!$C$5:$C$164,$C46))</f>
        <v/>
      </c>
      <c r="B46" s="59" t="str">
        <f aca="false">IF($C46="","",INDEX(名簿!$D$5:$D$164,$C46)&amp;IF(INDEX(名簿!$F$5:$F$164,$C46)="転出","（転出）",""))</f>
        <v/>
      </c>
      <c r="C46" s="41" t="str">
        <f aca="false">IFERROR(MATCH($B$2&amp;"|"&amp;40,名簿!$G$5:$G$164,0),"")</f>
        <v/>
      </c>
      <c r="D46" s="60" t="str">
        <f aca="false">IF($C46="","",SUMPRODUCT(($Q46:$BX46=D$6)*($Q$6:$BX$6=D$3)*((($F$2&amp;"")="通年")+($Q$3:$BX$3=($F$2&amp;""))&gt;0)))</f>
        <v/>
      </c>
      <c r="E46" s="60" t="str">
        <f aca="false">IF($C46="","",SUMPRODUCT(($Q46:$BX46=E$6)*($Q$6:$BX$6=E$3)*((($F$2&amp;"")="通年")+($Q$3:$BX$3=($F$2&amp;""))&gt;0)))</f>
        <v/>
      </c>
      <c r="F46" s="60" t="str">
        <f aca="false">IF($C46="","",SUMPRODUCT(($Q46:$BX46=F$6)*($Q$6:$BX$6=F$3)*((($F$2&amp;"")="通年")+($Q$3:$BX$3=($F$2&amp;""))&gt;0)))</f>
        <v/>
      </c>
      <c r="G46" s="60" t="str">
        <f aca="false">IF($C46="","",SUMPRODUCT(($Q46:$BX46=G$6)*($Q$6:$BX$6=G$3)*((($F$2&amp;"")="通年")+($Q$3:$BX$3=($F$2&amp;""))&gt;0)))</f>
        <v/>
      </c>
      <c r="H46" s="60" t="str">
        <f aca="false">IF($C46="","",SUMPRODUCT(($Q46:$BX46=H$6)*($Q$6:$BX$6=H$3)*((($F$2&amp;"")="通年")+($Q$3:$BX$3=($F$2&amp;""))&gt;0)))</f>
        <v/>
      </c>
      <c r="I46" s="60" t="str">
        <f aca="false">IF($C46="","",SUMPRODUCT(($Q46:$BX46=I$6)*($Q$6:$BX$6=I$3)*((($F$2&amp;"")="通年")+($Q$3:$BX$3=($F$2&amp;""))&gt;0)))</f>
        <v/>
      </c>
      <c r="J46" s="60" t="str">
        <f aca="false">IF($C46="","",SUMPRODUCT(($Q46:$BX46=J$6)*($Q$6:$BX$6=J$3)*((($F$2&amp;"")="通年")+($Q$3:$BX$3=($F$2&amp;""))&gt;0)))</f>
        <v/>
      </c>
      <c r="K46" s="60" t="str">
        <f aca="false">IF($C46="","",SUMPRODUCT(($Q46:$BX46=K$6)*($Q$6:$BX$6=K$3)*((($F$2&amp;"")="通年")+($Q$3:$BX$3=($F$2&amp;""))&gt;0)))</f>
        <v/>
      </c>
      <c r="L46" s="60" t="str">
        <f aca="false">IF($C46="","",SUMPRODUCT(($Q46:$BX46=L$6)*($Q$6:$BX$6=L$3)*((($F$2&amp;"")="通年")+($Q$3:$BX$3=($F$2&amp;""))&gt;0)))</f>
        <v/>
      </c>
      <c r="M46" s="62" t="str">
        <f aca="false">IF($C46="","",IF(SUM(D46:F46)=0,"",IF(D46/SUM(D46:F46)&gt;=設定!$I$17,設定!$G$8,IF(F46/SUM(D46:F46)&gt;=設定!$I$18,設定!$G$10,設定!$G$9))))</f>
        <v/>
      </c>
      <c r="N46" s="62" t="str">
        <f aca="false">IF($C46="","",IF(SUM(G46:I46)=0,"",IF(G46/SUM(G46:I46)&gt;=設定!$I$17,設定!$G$8,IF(I46/SUM(G46:I46)&gt;=設定!$I$18,設定!$G$10,設定!$G$9))))</f>
        <v/>
      </c>
      <c r="O46" s="62" t="str">
        <f aca="false">IF($C46="","",IF(SUM(J46:L46)=0,"",IF(J46/SUM(J46:L46)&gt;=設定!$I$17,設定!$G$8,IF(L46/SUM(J46:L46)&gt;=設定!$I$18,設定!$G$10,設定!$G$9))))</f>
        <v/>
      </c>
      <c r="P46" s="13"/>
      <c r="Q46" s="61" t="str">
        <f aca="false">IF($C46="","",INDEX(単元01!$F$5:$F$164,$C46)&amp;"")</f>
        <v/>
      </c>
      <c r="R46" s="61" t="str">
        <f aca="false">IF($C46="","",INDEX(単元01!$G$5:$G$164,$C46)&amp;"")</f>
        <v/>
      </c>
      <c r="S46" s="61" t="str">
        <f aca="false">IF($C46="","",INDEX(単元01!$H$5:$H$164,$C46)&amp;"")</f>
        <v/>
      </c>
      <c r="T46" s="61" t="str">
        <f aca="false">IF($C46="","",INDEX(単元02!$F$5:$F$164,$C46)&amp;"")</f>
        <v/>
      </c>
      <c r="U46" s="61" t="str">
        <f aca="false">IF($C46="","",INDEX(単元02!$G$5:$G$164,$C46)&amp;"")</f>
        <v/>
      </c>
      <c r="V46" s="61" t="str">
        <f aca="false">IF($C46="","",INDEX(単元02!$H$5:$H$164,$C46)&amp;"")</f>
        <v/>
      </c>
      <c r="W46" s="61" t="str">
        <f aca="false">IF($C46="","",INDEX(単元03!$F$5:$F$164,$C46)&amp;"")</f>
        <v/>
      </c>
      <c r="X46" s="61" t="str">
        <f aca="false">IF($C46="","",INDEX(単元03!$G$5:$G$164,$C46)&amp;"")</f>
        <v/>
      </c>
      <c r="Y46" s="61" t="str">
        <f aca="false">IF($C46="","",INDEX(単元03!$H$5:$H$164,$C46)&amp;"")</f>
        <v/>
      </c>
      <c r="Z46" s="61" t="str">
        <f aca="false">IF($C46="","",INDEX(単元04!$F$5:$F$164,$C46)&amp;"")</f>
        <v/>
      </c>
      <c r="AA46" s="61" t="str">
        <f aca="false">IF($C46="","",INDEX(単元04!$G$5:$G$164,$C46)&amp;"")</f>
        <v/>
      </c>
      <c r="AB46" s="61" t="str">
        <f aca="false">IF($C46="","",INDEX(単元04!$H$5:$H$164,$C46)&amp;"")</f>
        <v/>
      </c>
      <c r="AC46" s="61" t="str">
        <f aca="false">IF($C46="","",INDEX(単元05!$F$5:$F$164,$C46)&amp;"")</f>
        <v/>
      </c>
      <c r="AD46" s="61" t="str">
        <f aca="false">IF($C46="","",INDEX(単元05!$G$5:$G$164,$C46)&amp;"")</f>
        <v/>
      </c>
      <c r="AE46" s="61" t="str">
        <f aca="false">IF($C46="","",INDEX(単元05!$H$5:$H$164,$C46)&amp;"")</f>
        <v/>
      </c>
      <c r="AF46" s="61" t="str">
        <f aca="false">IF($C46="","",INDEX(単元06!$F$5:$F$164,$C46)&amp;"")</f>
        <v/>
      </c>
      <c r="AG46" s="61" t="str">
        <f aca="false">IF($C46="","",INDEX(単元06!$G$5:$G$164,$C46)&amp;"")</f>
        <v/>
      </c>
      <c r="AH46" s="61" t="str">
        <f aca="false">IF($C46="","",INDEX(単元06!$H$5:$H$164,$C46)&amp;"")</f>
        <v/>
      </c>
      <c r="AI46" s="61" t="str">
        <f aca="false">IF($C46="","",INDEX(単元07!$F$5:$F$164,$C46)&amp;"")</f>
        <v/>
      </c>
      <c r="AJ46" s="61" t="str">
        <f aca="false">IF($C46="","",INDEX(単元07!$G$5:$G$164,$C46)&amp;"")</f>
        <v/>
      </c>
      <c r="AK46" s="61" t="str">
        <f aca="false">IF($C46="","",INDEX(単元07!$H$5:$H$164,$C46)&amp;"")</f>
        <v/>
      </c>
      <c r="AL46" s="61" t="str">
        <f aca="false">IF($C46="","",INDEX(単元08!$F$5:$F$164,$C46)&amp;"")</f>
        <v/>
      </c>
      <c r="AM46" s="61" t="str">
        <f aca="false">IF($C46="","",INDEX(単元08!$G$5:$G$164,$C46)&amp;"")</f>
        <v/>
      </c>
      <c r="AN46" s="61" t="str">
        <f aca="false">IF($C46="","",INDEX(単元08!$H$5:$H$164,$C46)&amp;"")</f>
        <v/>
      </c>
      <c r="AO46" s="61" t="str">
        <f aca="false">IF($C46="","",INDEX(単元09!$F$5:$F$164,$C46)&amp;"")</f>
        <v/>
      </c>
      <c r="AP46" s="61" t="str">
        <f aca="false">IF($C46="","",INDEX(単元09!$G$5:$G$164,$C46)&amp;"")</f>
        <v/>
      </c>
      <c r="AQ46" s="61" t="str">
        <f aca="false">IF($C46="","",INDEX(単元09!$H$5:$H$164,$C46)&amp;"")</f>
        <v/>
      </c>
      <c r="AR46" s="61" t="str">
        <f aca="false">IF($C46="","",INDEX(単元10!$F$5:$F$164,$C46)&amp;"")</f>
        <v/>
      </c>
      <c r="AS46" s="61" t="str">
        <f aca="false">IF($C46="","",INDEX(単元10!$G$5:$G$164,$C46)&amp;"")</f>
        <v/>
      </c>
      <c r="AT46" s="61" t="str">
        <f aca="false">IF($C46="","",INDEX(単元10!$H$5:$H$164,$C46)&amp;"")</f>
        <v/>
      </c>
      <c r="AU46" s="61" t="str">
        <f aca="false">IF($C46="","",INDEX(単元11!$F$5:$F$164,$C46)&amp;"")</f>
        <v/>
      </c>
      <c r="AV46" s="61" t="str">
        <f aca="false">IF($C46="","",INDEX(単元11!$G$5:$G$164,$C46)&amp;"")</f>
        <v/>
      </c>
      <c r="AW46" s="61" t="str">
        <f aca="false">IF($C46="","",INDEX(単元11!$H$5:$H$164,$C46)&amp;"")</f>
        <v/>
      </c>
      <c r="AX46" s="61" t="str">
        <f aca="false">IF($C46="","",INDEX(単元12!$F$5:$F$164,$C46)&amp;"")</f>
        <v/>
      </c>
      <c r="AY46" s="61" t="str">
        <f aca="false">IF($C46="","",INDEX(単元12!$G$5:$G$164,$C46)&amp;"")</f>
        <v/>
      </c>
      <c r="AZ46" s="61" t="str">
        <f aca="false">IF($C46="","",INDEX(単元12!$H$5:$H$164,$C46)&amp;"")</f>
        <v/>
      </c>
      <c r="BA46" s="61" t="str">
        <f aca="false">IF($C46="","",INDEX(単元13!$F$5:$F$164,$C46)&amp;"")</f>
        <v/>
      </c>
      <c r="BB46" s="61" t="str">
        <f aca="false">IF($C46="","",INDEX(単元13!$G$5:$G$164,$C46)&amp;"")</f>
        <v/>
      </c>
      <c r="BC46" s="61" t="str">
        <f aca="false">IF($C46="","",INDEX(単元13!$H$5:$H$164,$C46)&amp;"")</f>
        <v/>
      </c>
      <c r="BD46" s="61" t="str">
        <f aca="false">IF($C46="","",INDEX(単元14!$F$5:$F$164,$C46)&amp;"")</f>
        <v/>
      </c>
      <c r="BE46" s="61" t="str">
        <f aca="false">IF($C46="","",INDEX(単元14!$G$5:$G$164,$C46)&amp;"")</f>
        <v/>
      </c>
      <c r="BF46" s="61" t="str">
        <f aca="false">IF($C46="","",INDEX(単元14!$H$5:$H$164,$C46)&amp;"")</f>
        <v/>
      </c>
      <c r="BG46" s="61" t="str">
        <f aca="false">IF($C46="","",INDEX(単元15!$F$5:$F$164,$C46)&amp;"")</f>
        <v/>
      </c>
      <c r="BH46" s="61" t="str">
        <f aca="false">IF($C46="","",INDEX(単元15!$G$5:$G$164,$C46)&amp;"")</f>
        <v/>
      </c>
      <c r="BI46" s="61" t="str">
        <f aca="false">IF($C46="","",INDEX(単元15!$H$5:$H$164,$C46)&amp;"")</f>
        <v/>
      </c>
      <c r="BJ46" s="61" t="str">
        <f aca="false">IF($C46="","",INDEX(単元16!$F$5:$F$164,$C46)&amp;"")</f>
        <v/>
      </c>
      <c r="BK46" s="61" t="str">
        <f aca="false">IF($C46="","",INDEX(単元16!$G$5:$G$164,$C46)&amp;"")</f>
        <v/>
      </c>
      <c r="BL46" s="61" t="str">
        <f aca="false">IF($C46="","",INDEX(単元16!$H$5:$H$164,$C46)&amp;"")</f>
        <v/>
      </c>
      <c r="BM46" s="61" t="str">
        <f aca="false">IF($C46="","",INDEX(単元17!$F$5:$F$164,$C46)&amp;"")</f>
        <v/>
      </c>
      <c r="BN46" s="61" t="str">
        <f aca="false">IF($C46="","",INDEX(単元17!$G$5:$G$164,$C46)&amp;"")</f>
        <v/>
      </c>
      <c r="BO46" s="61" t="str">
        <f aca="false">IF($C46="","",INDEX(単元17!$H$5:$H$164,$C46)&amp;"")</f>
        <v/>
      </c>
      <c r="BP46" s="61" t="str">
        <f aca="false">IF($C46="","",INDEX(単元18!$F$5:$F$164,$C46)&amp;"")</f>
        <v/>
      </c>
      <c r="BQ46" s="61" t="str">
        <f aca="false">IF($C46="","",INDEX(単元18!$G$5:$G$164,$C46)&amp;"")</f>
        <v/>
      </c>
      <c r="BR46" s="61" t="str">
        <f aca="false">IF($C46="","",INDEX(単元18!$H$5:$H$164,$C46)&amp;"")</f>
        <v/>
      </c>
      <c r="BS46" s="61" t="str">
        <f aca="false">IF($C46="","",INDEX(単元19!$F$5:$F$164,$C46)&amp;"")</f>
        <v/>
      </c>
      <c r="BT46" s="61" t="str">
        <f aca="false">IF($C46="","",INDEX(単元19!$G$5:$G$164,$C46)&amp;"")</f>
        <v/>
      </c>
      <c r="BU46" s="61" t="str">
        <f aca="false">IF($C46="","",INDEX(単元19!$H$5:$H$164,$C46)&amp;"")</f>
        <v/>
      </c>
      <c r="BV46" s="61" t="str">
        <f aca="false">IF($C46="","",INDEX(単元20!$F$5:$F$164,$C46)&amp;"")</f>
        <v/>
      </c>
      <c r="BW46" s="61" t="str">
        <f aca="false">IF($C46="","",INDEX(単元20!$G$5:$G$164,$C46)&amp;"")</f>
        <v/>
      </c>
      <c r="BX46" s="61" t="str">
        <f aca="false">IF($C46="","",INDEX(単元20!$H$5:$H$164,$C46)&amp;"")</f>
        <v/>
      </c>
    </row>
    <row r="47" customFormat="false" ht="19.5" hidden="false" customHeight="true" outlineLevel="0" collapsed="false">
      <c r="A47" s="91" t="str">
        <f aca="false">IF($C47="","",INDEX(名簿!$C$5:$C$164,$C47))</f>
        <v/>
      </c>
      <c r="B47" s="59" t="str">
        <f aca="false">IF($C47="","",INDEX(名簿!$D$5:$D$164,$C47)&amp;IF(INDEX(名簿!$F$5:$F$164,$C47)="転出","（転出）",""))</f>
        <v/>
      </c>
      <c r="C47" s="41" t="str">
        <f aca="false">IFERROR(MATCH($B$2&amp;"|"&amp;41,名簿!$G$5:$G$164,0),"")</f>
        <v/>
      </c>
      <c r="D47" s="60" t="str">
        <f aca="false">IF($C47="","",SUMPRODUCT(($Q47:$BX47=D$6)*($Q$6:$BX$6=D$3)*((($F$2&amp;"")="通年")+($Q$3:$BX$3=($F$2&amp;""))&gt;0)))</f>
        <v/>
      </c>
      <c r="E47" s="60" t="str">
        <f aca="false">IF($C47="","",SUMPRODUCT(($Q47:$BX47=E$6)*($Q$6:$BX$6=E$3)*((($F$2&amp;"")="通年")+($Q$3:$BX$3=($F$2&amp;""))&gt;0)))</f>
        <v/>
      </c>
      <c r="F47" s="60" t="str">
        <f aca="false">IF($C47="","",SUMPRODUCT(($Q47:$BX47=F$6)*($Q$6:$BX$6=F$3)*((($F$2&amp;"")="通年")+($Q$3:$BX$3=($F$2&amp;""))&gt;0)))</f>
        <v/>
      </c>
      <c r="G47" s="60" t="str">
        <f aca="false">IF($C47="","",SUMPRODUCT(($Q47:$BX47=G$6)*($Q$6:$BX$6=G$3)*((($F$2&amp;"")="通年")+($Q$3:$BX$3=($F$2&amp;""))&gt;0)))</f>
        <v/>
      </c>
      <c r="H47" s="60" t="str">
        <f aca="false">IF($C47="","",SUMPRODUCT(($Q47:$BX47=H$6)*($Q$6:$BX$6=H$3)*((($F$2&amp;"")="通年")+($Q$3:$BX$3=($F$2&amp;""))&gt;0)))</f>
        <v/>
      </c>
      <c r="I47" s="60" t="str">
        <f aca="false">IF($C47="","",SUMPRODUCT(($Q47:$BX47=I$6)*($Q$6:$BX$6=I$3)*((($F$2&amp;"")="通年")+($Q$3:$BX$3=($F$2&amp;""))&gt;0)))</f>
        <v/>
      </c>
      <c r="J47" s="60" t="str">
        <f aca="false">IF($C47="","",SUMPRODUCT(($Q47:$BX47=J$6)*($Q$6:$BX$6=J$3)*((($F$2&amp;"")="通年")+($Q$3:$BX$3=($F$2&amp;""))&gt;0)))</f>
        <v/>
      </c>
      <c r="K47" s="60" t="str">
        <f aca="false">IF($C47="","",SUMPRODUCT(($Q47:$BX47=K$6)*($Q$6:$BX$6=K$3)*((($F$2&amp;"")="通年")+($Q$3:$BX$3=($F$2&amp;""))&gt;0)))</f>
        <v/>
      </c>
      <c r="L47" s="60" t="str">
        <f aca="false">IF($C47="","",SUMPRODUCT(($Q47:$BX47=L$6)*($Q$6:$BX$6=L$3)*((($F$2&amp;"")="通年")+($Q$3:$BX$3=($F$2&amp;""))&gt;0)))</f>
        <v/>
      </c>
      <c r="M47" s="62" t="str">
        <f aca="false">IF($C47="","",IF(SUM(D47:F47)=0,"",IF(D47/SUM(D47:F47)&gt;=設定!$I$17,設定!$G$8,IF(F47/SUM(D47:F47)&gt;=設定!$I$18,設定!$G$10,設定!$G$9))))</f>
        <v/>
      </c>
      <c r="N47" s="62" t="str">
        <f aca="false">IF($C47="","",IF(SUM(G47:I47)=0,"",IF(G47/SUM(G47:I47)&gt;=設定!$I$17,設定!$G$8,IF(I47/SUM(G47:I47)&gt;=設定!$I$18,設定!$G$10,設定!$G$9))))</f>
        <v/>
      </c>
      <c r="O47" s="62" t="str">
        <f aca="false">IF($C47="","",IF(SUM(J47:L47)=0,"",IF(J47/SUM(J47:L47)&gt;=設定!$I$17,設定!$G$8,IF(L47/SUM(J47:L47)&gt;=設定!$I$18,設定!$G$10,設定!$G$9))))</f>
        <v/>
      </c>
      <c r="P47" s="13"/>
      <c r="Q47" s="61" t="str">
        <f aca="false">IF($C47="","",INDEX(単元01!$F$5:$F$164,$C47)&amp;"")</f>
        <v/>
      </c>
      <c r="R47" s="61" t="str">
        <f aca="false">IF($C47="","",INDEX(単元01!$G$5:$G$164,$C47)&amp;"")</f>
        <v/>
      </c>
      <c r="S47" s="61" t="str">
        <f aca="false">IF($C47="","",INDEX(単元01!$H$5:$H$164,$C47)&amp;"")</f>
        <v/>
      </c>
      <c r="T47" s="61" t="str">
        <f aca="false">IF($C47="","",INDEX(単元02!$F$5:$F$164,$C47)&amp;"")</f>
        <v/>
      </c>
      <c r="U47" s="61" t="str">
        <f aca="false">IF($C47="","",INDEX(単元02!$G$5:$G$164,$C47)&amp;"")</f>
        <v/>
      </c>
      <c r="V47" s="61" t="str">
        <f aca="false">IF($C47="","",INDEX(単元02!$H$5:$H$164,$C47)&amp;"")</f>
        <v/>
      </c>
      <c r="W47" s="61" t="str">
        <f aca="false">IF($C47="","",INDEX(単元03!$F$5:$F$164,$C47)&amp;"")</f>
        <v/>
      </c>
      <c r="X47" s="61" t="str">
        <f aca="false">IF($C47="","",INDEX(単元03!$G$5:$G$164,$C47)&amp;"")</f>
        <v/>
      </c>
      <c r="Y47" s="61" t="str">
        <f aca="false">IF($C47="","",INDEX(単元03!$H$5:$H$164,$C47)&amp;"")</f>
        <v/>
      </c>
      <c r="Z47" s="61" t="str">
        <f aca="false">IF($C47="","",INDEX(単元04!$F$5:$F$164,$C47)&amp;"")</f>
        <v/>
      </c>
      <c r="AA47" s="61" t="str">
        <f aca="false">IF($C47="","",INDEX(単元04!$G$5:$G$164,$C47)&amp;"")</f>
        <v/>
      </c>
      <c r="AB47" s="61" t="str">
        <f aca="false">IF($C47="","",INDEX(単元04!$H$5:$H$164,$C47)&amp;"")</f>
        <v/>
      </c>
      <c r="AC47" s="61" t="str">
        <f aca="false">IF($C47="","",INDEX(単元05!$F$5:$F$164,$C47)&amp;"")</f>
        <v/>
      </c>
      <c r="AD47" s="61" t="str">
        <f aca="false">IF($C47="","",INDEX(単元05!$G$5:$G$164,$C47)&amp;"")</f>
        <v/>
      </c>
      <c r="AE47" s="61" t="str">
        <f aca="false">IF($C47="","",INDEX(単元05!$H$5:$H$164,$C47)&amp;"")</f>
        <v/>
      </c>
      <c r="AF47" s="61" t="str">
        <f aca="false">IF($C47="","",INDEX(単元06!$F$5:$F$164,$C47)&amp;"")</f>
        <v/>
      </c>
      <c r="AG47" s="61" t="str">
        <f aca="false">IF($C47="","",INDEX(単元06!$G$5:$G$164,$C47)&amp;"")</f>
        <v/>
      </c>
      <c r="AH47" s="61" t="str">
        <f aca="false">IF($C47="","",INDEX(単元06!$H$5:$H$164,$C47)&amp;"")</f>
        <v/>
      </c>
      <c r="AI47" s="61" t="str">
        <f aca="false">IF($C47="","",INDEX(単元07!$F$5:$F$164,$C47)&amp;"")</f>
        <v/>
      </c>
      <c r="AJ47" s="61" t="str">
        <f aca="false">IF($C47="","",INDEX(単元07!$G$5:$G$164,$C47)&amp;"")</f>
        <v/>
      </c>
      <c r="AK47" s="61" t="str">
        <f aca="false">IF($C47="","",INDEX(単元07!$H$5:$H$164,$C47)&amp;"")</f>
        <v/>
      </c>
      <c r="AL47" s="61" t="str">
        <f aca="false">IF($C47="","",INDEX(単元08!$F$5:$F$164,$C47)&amp;"")</f>
        <v/>
      </c>
      <c r="AM47" s="61" t="str">
        <f aca="false">IF($C47="","",INDEX(単元08!$G$5:$G$164,$C47)&amp;"")</f>
        <v/>
      </c>
      <c r="AN47" s="61" t="str">
        <f aca="false">IF($C47="","",INDEX(単元08!$H$5:$H$164,$C47)&amp;"")</f>
        <v/>
      </c>
      <c r="AO47" s="61" t="str">
        <f aca="false">IF($C47="","",INDEX(単元09!$F$5:$F$164,$C47)&amp;"")</f>
        <v/>
      </c>
      <c r="AP47" s="61" t="str">
        <f aca="false">IF($C47="","",INDEX(単元09!$G$5:$G$164,$C47)&amp;"")</f>
        <v/>
      </c>
      <c r="AQ47" s="61" t="str">
        <f aca="false">IF($C47="","",INDEX(単元09!$H$5:$H$164,$C47)&amp;"")</f>
        <v/>
      </c>
      <c r="AR47" s="61" t="str">
        <f aca="false">IF($C47="","",INDEX(単元10!$F$5:$F$164,$C47)&amp;"")</f>
        <v/>
      </c>
      <c r="AS47" s="61" t="str">
        <f aca="false">IF($C47="","",INDEX(単元10!$G$5:$G$164,$C47)&amp;"")</f>
        <v/>
      </c>
      <c r="AT47" s="61" t="str">
        <f aca="false">IF($C47="","",INDEX(単元10!$H$5:$H$164,$C47)&amp;"")</f>
        <v/>
      </c>
      <c r="AU47" s="61" t="str">
        <f aca="false">IF($C47="","",INDEX(単元11!$F$5:$F$164,$C47)&amp;"")</f>
        <v/>
      </c>
      <c r="AV47" s="61" t="str">
        <f aca="false">IF($C47="","",INDEX(単元11!$G$5:$G$164,$C47)&amp;"")</f>
        <v/>
      </c>
      <c r="AW47" s="61" t="str">
        <f aca="false">IF($C47="","",INDEX(単元11!$H$5:$H$164,$C47)&amp;"")</f>
        <v/>
      </c>
      <c r="AX47" s="61" t="str">
        <f aca="false">IF($C47="","",INDEX(単元12!$F$5:$F$164,$C47)&amp;"")</f>
        <v/>
      </c>
      <c r="AY47" s="61" t="str">
        <f aca="false">IF($C47="","",INDEX(単元12!$G$5:$G$164,$C47)&amp;"")</f>
        <v/>
      </c>
      <c r="AZ47" s="61" t="str">
        <f aca="false">IF($C47="","",INDEX(単元12!$H$5:$H$164,$C47)&amp;"")</f>
        <v/>
      </c>
      <c r="BA47" s="61" t="str">
        <f aca="false">IF($C47="","",INDEX(単元13!$F$5:$F$164,$C47)&amp;"")</f>
        <v/>
      </c>
      <c r="BB47" s="61" t="str">
        <f aca="false">IF($C47="","",INDEX(単元13!$G$5:$G$164,$C47)&amp;"")</f>
        <v/>
      </c>
      <c r="BC47" s="61" t="str">
        <f aca="false">IF($C47="","",INDEX(単元13!$H$5:$H$164,$C47)&amp;"")</f>
        <v/>
      </c>
      <c r="BD47" s="61" t="str">
        <f aca="false">IF($C47="","",INDEX(単元14!$F$5:$F$164,$C47)&amp;"")</f>
        <v/>
      </c>
      <c r="BE47" s="61" t="str">
        <f aca="false">IF($C47="","",INDEX(単元14!$G$5:$G$164,$C47)&amp;"")</f>
        <v/>
      </c>
      <c r="BF47" s="61" t="str">
        <f aca="false">IF($C47="","",INDEX(単元14!$H$5:$H$164,$C47)&amp;"")</f>
        <v/>
      </c>
      <c r="BG47" s="61" t="str">
        <f aca="false">IF($C47="","",INDEX(単元15!$F$5:$F$164,$C47)&amp;"")</f>
        <v/>
      </c>
      <c r="BH47" s="61" t="str">
        <f aca="false">IF($C47="","",INDEX(単元15!$G$5:$G$164,$C47)&amp;"")</f>
        <v/>
      </c>
      <c r="BI47" s="61" t="str">
        <f aca="false">IF($C47="","",INDEX(単元15!$H$5:$H$164,$C47)&amp;"")</f>
        <v/>
      </c>
      <c r="BJ47" s="61" t="str">
        <f aca="false">IF($C47="","",INDEX(単元16!$F$5:$F$164,$C47)&amp;"")</f>
        <v/>
      </c>
      <c r="BK47" s="61" t="str">
        <f aca="false">IF($C47="","",INDEX(単元16!$G$5:$G$164,$C47)&amp;"")</f>
        <v/>
      </c>
      <c r="BL47" s="61" t="str">
        <f aca="false">IF($C47="","",INDEX(単元16!$H$5:$H$164,$C47)&amp;"")</f>
        <v/>
      </c>
      <c r="BM47" s="61" t="str">
        <f aca="false">IF($C47="","",INDEX(単元17!$F$5:$F$164,$C47)&amp;"")</f>
        <v/>
      </c>
      <c r="BN47" s="61" t="str">
        <f aca="false">IF($C47="","",INDEX(単元17!$G$5:$G$164,$C47)&amp;"")</f>
        <v/>
      </c>
      <c r="BO47" s="61" t="str">
        <f aca="false">IF($C47="","",INDEX(単元17!$H$5:$H$164,$C47)&amp;"")</f>
        <v/>
      </c>
      <c r="BP47" s="61" t="str">
        <f aca="false">IF($C47="","",INDEX(単元18!$F$5:$F$164,$C47)&amp;"")</f>
        <v/>
      </c>
      <c r="BQ47" s="61" t="str">
        <f aca="false">IF($C47="","",INDEX(単元18!$G$5:$G$164,$C47)&amp;"")</f>
        <v/>
      </c>
      <c r="BR47" s="61" t="str">
        <f aca="false">IF($C47="","",INDEX(単元18!$H$5:$H$164,$C47)&amp;"")</f>
        <v/>
      </c>
      <c r="BS47" s="61" t="str">
        <f aca="false">IF($C47="","",INDEX(単元19!$F$5:$F$164,$C47)&amp;"")</f>
        <v/>
      </c>
      <c r="BT47" s="61" t="str">
        <f aca="false">IF($C47="","",INDEX(単元19!$G$5:$G$164,$C47)&amp;"")</f>
        <v/>
      </c>
      <c r="BU47" s="61" t="str">
        <f aca="false">IF($C47="","",INDEX(単元19!$H$5:$H$164,$C47)&amp;"")</f>
        <v/>
      </c>
      <c r="BV47" s="61" t="str">
        <f aca="false">IF($C47="","",INDEX(単元20!$F$5:$F$164,$C47)&amp;"")</f>
        <v/>
      </c>
      <c r="BW47" s="61" t="str">
        <f aca="false">IF($C47="","",INDEX(単元20!$G$5:$G$164,$C47)&amp;"")</f>
        <v/>
      </c>
      <c r="BX47" s="61" t="str">
        <f aca="false">IF($C47="","",INDEX(単元20!$H$5:$H$164,$C47)&amp;"")</f>
        <v/>
      </c>
    </row>
    <row r="48" customFormat="false" ht="19.5" hidden="false" customHeight="true" outlineLevel="0" collapsed="false">
      <c r="A48" s="91" t="str">
        <f aca="false">IF($C48="","",INDEX(名簿!$C$5:$C$164,$C48))</f>
        <v/>
      </c>
      <c r="B48" s="59" t="str">
        <f aca="false">IF($C48="","",INDEX(名簿!$D$5:$D$164,$C48)&amp;IF(INDEX(名簿!$F$5:$F$164,$C48)="転出","（転出）",""))</f>
        <v/>
      </c>
      <c r="C48" s="41" t="str">
        <f aca="false">IFERROR(MATCH($B$2&amp;"|"&amp;42,名簿!$G$5:$G$164,0),"")</f>
        <v/>
      </c>
      <c r="D48" s="60" t="str">
        <f aca="false">IF($C48="","",SUMPRODUCT(($Q48:$BX48=D$6)*($Q$6:$BX$6=D$3)*((($F$2&amp;"")="通年")+($Q$3:$BX$3=($F$2&amp;""))&gt;0)))</f>
        <v/>
      </c>
      <c r="E48" s="60" t="str">
        <f aca="false">IF($C48="","",SUMPRODUCT(($Q48:$BX48=E$6)*($Q$6:$BX$6=E$3)*((($F$2&amp;"")="通年")+($Q$3:$BX$3=($F$2&amp;""))&gt;0)))</f>
        <v/>
      </c>
      <c r="F48" s="60" t="str">
        <f aca="false">IF($C48="","",SUMPRODUCT(($Q48:$BX48=F$6)*($Q$6:$BX$6=F$3)*((($F$2&amp;"")="通年")+($Q$3:$BX$3=($F$2&amp;""))&gt;0)))</f>
        <v/>
      </c>
      <c r="G48" s="60" t="str">
        <f aca="false">IF($C48="","",SUMPRODUCT(($Q48:$BX48=G$6)*($Q$6:$BX$6=G$3)*((($F$2&amp;"")="通年")+($Q$3:$BX$3=($F$2&amp;""))&gt;0)))</f>
        <v/>
      </c>
      <c r="H48" s="60" t="str">
        <f aca="false">IF($C48="","",SUMPRODUCT(($Q48:$BX48=H$6)*($Q$6:$BX$6=H$3)*((($F$2&amp;"")="通年")+($Q$3:$BX$3=($F$2&amp;""))&gt;0)))</f>
        <v/>
      </c>
      <c r="I48" s="60" t="str">
        <f aca="false">IF($C48="","",SUMPRODUCT(($Q48:$BX48=I$6)*($Q$6:$BX$6=I$3)*((($F$2&amp;"")="通年")+($Q$3:$BX$3=($F$2&amp;""))&gt;0)))</f>
        <v/>
      </c>
      <c r="J48" s="60" t="str">
        <f aca="false">IF($C48="","",SUMPRODUCT(($Q48:$BX48=J$6)*($Q$6:$BX$6=J$3)*((($F$2&amp;"")="通年")+($Q$3:$BX$3=($F$2&amp;""))&gt;0)))</f>
        <v/>
      </c>
      <c r="K48" s="60" t="str">
        <f aca="false">IF($C48="","",SUMPRODUCT(($Q48:$BX48=K$6)*($Q$6:$BX$6=K$3)*((($F$2&amp;"")="通年")+($Q$3:$BX$3=($F$2&amp;""))&gt;0)))</f>
        <v/>
      </c>
      <c r="L48" s="60" t="str">
        <f aca="false">IF($C48="","",SUMPRODUCT(($Q48:$BX48=L$6)*($Q$6:$BX$6=L$3)*((($F$2&amp;"")="通年")+($Q$3:$BX$3=($F$2&amp;""))&gt;0)))</f>
        <v/>
      </c>
      <c r="M48" s="62" t="str">
        <f aca="false">IF($C48="","",IF(SUM(D48:F48)=0,"",IF(D48/SUM(D48:F48)&gt;=設定!$I$17,設定!$G$8,IF(F48/SUM(D48:F48)&gt;=設定!$I$18,設定!$G$10,設定!$G$9))))</f>
        <v/>
      </c>
      <c r="N48" s="62" t="str">
        <f aca="false">IF($C48="","",IF(SUM(G48:I48)=0,"",IF(G48/SUM(G48:I48)&gt;=設定!$I$17,設定!$G$8,IF(I48/SUM(G48:I48)&gt;=設定!$I$18,設定!$G$10,設定!$G$9))))</f>
        <v/>
      </c>
      <c r="O48" s="62" t="str">
        <f aca="false">IF($C48="","",IF(SUM(J48:L48)=0,"",IF(J48/SUM(J48:L48)&gt;=設定!$I$17,設定!$G$8,IF(L48/SUM(J48:L48)&gt;=設定!$I$18,設定!$G$10,設定!$G$9))))</f>
        <v/>
      </c>
      <c r="P48" s="13"/>
      <c r="Q48" s="61" t="str">
        <f aca="false">IF($C48="","",INDEX(単元01!$F$5:$F$164,$C48)&amp;"")</f>
        <v/>
      </c>
      <c r="R48" s="61" t="str">
        <f aca="false">IF($C48="","",INDEX(単元01!$G$5:$G$164,$C48)&amp;"")</f>
        <v/>
      </c>
      <c r="S48" s="61" t="str">
        <f aca="false">IF($C48="","",INDEX(単元01!$H$5:$H$164,$C48)&amp;"")</f>
        <v/>
      </c>
      <c r="T48" s="61" t="str">
        <f aca="false">IF($C48="","",INDEX(単元02!$F$5:$F$164,$C48)&amp;"")</f>
        <v/>
      </c>
      <c r="U48" s="61" t="str">
        <f aca="false">IF($C48="","",INDEX(単元02!$G$5:$G$164,$C48)&amp;"")</f>
        <v/>
      </c>
      <c r="V48" s="61" t="str">
        <f aca="false">IF($C48="","",INDEX(単元02!$H$5:$H$164,$C48)&amp;"")</f>
        <v/>
      </c>
      <c r="W48" s="61" t="str">
        <f aca="false">IF($C48="","",INDEX(単元03!$F$5:$F$164,$C48)&amp;"")</f>
        <v/>
      </c>
      <c r="X48" s="61" t="str">
        <f aca="false">IF($C48="","",INDEX(単元03!$G$5:$G$164,$C48)&amp;"")</f>
        <v/>
      </c>
      <c r="Y48" s="61" t="str">
        <f aca="false">IF($C48="","",INDEX(単元03!$H$5:$H$164,$C48)&amp;"")</f>
        <v/>
      </c>
      <c r="Z48" s="61" t="str">
        <f aca="false">IF($C48="","",INDEX(単元04!$F$5:$F$164,$C48)&amp;"")</f>
        <v/>
      </c>
      <c r="AA48" s="61" t="str">
        <f aca="false">IF($C48="","",INDEX(単元04!$G$5:$G$164,$C48)&amp;"")</f>
        <v/>
      </c>
      <c r="AB48" s="61" t="str">
        <f aca="false">IF($C48="","",INDEX(単元04!$H$5:$H$164,$C48)&amp;"")</f>
        <v/>
      </c>
      <c r="AC48" s="61" t="str">
        <f aca="false">IF($C48="","",INDEX(単元05!$F$5:$F$164,$C48)&amp;"")</f>
        <v/>
      </c>
      <c r="AD48" s="61" t="str">
        <f aca="false">IF($C48="","",INDEX(単元05!$G$5:$G$164,$C48)&amp;"")</f>
        <v/>
      </c>
      <c r="AE48" s="61" t="str">
        <f aca="false">IF($C48="","",INDEX(単元05!$H$5:$H$164,$C48)&amp;"")</f>
        <v/>
      </c>
      <c r="AF48" s="61" t="str">
        <f aca="false">IF($C48="","",INDEX(単元06!$F$5:$F$164,$C48)&amp;"")</f>
        <v/>
      </c>
      <c r="AG48" s="61" t="str">
        <f aca="false">IF($C48="","",INDEX(単元06!$G$5:$G$164,$C48)&amp;"")</f>
        <v/>
      </c>
      <c r="AH48" s="61" t="str">
        <f aca="false">IF($C48="","",INDEX(単元06!$H$5:$H$164,$C48)&amp;"")</f>
        <v/>
      </c>
      <c r="AI48" s="61" t="str">
        <f aca="false">IF($C48="","",INDEX(単元07!$F$5:$F$164,$C48)&amp;"")</f>
        <v/>
      </c>
      <c r="AJ48" s="61" t="str">
        <f aca="false">IF($C48="","",INDEX(単元07!$G$5:$G$164,$C48)&amp;"")</f>
        <v/>
      </c>
      <c r="AK48" s="61" t="str">
        <f aca="false">IF($C48="","",INDEX(単元07!$H$5:$H$164,$C48)&amp;"")</f>
        <v/>
      </c>
      <c r="AL48" s="61" t="str">
        <f aca="false">IF($C48="","",INDEX(単元08!$F$5:$F$164,$C48)&amp;"")</f>
        <v/>
      </c>
      <c r="AM48" s="61" t="str">
        <f aca="false">IF($C48="","",INDEX(単元08!$G$5:$G$164,$C48)&amp;"")</f>
        <v/>
      </c>
      <c r="AN48" s="61" t="str">
        <f aca="false">IF($C48="","",INDEX(単元08!$H$5:$H$164,$C48)&amp;"")</f>
        <v/>
      </c>
      <c r="AO48" s="61" t="str">
        <f aca="false">IF($C48="","",INDEX(単元09!$F$5:$F$164,$C48)&amp;"")</f>
        <v/>
      </c>
      <c r="AP48" s="61" t="str">
        <f aca="false">IF($C48="","",INDEX(単元09!$G$5:$G$164,$C48)&amp;"")</f>
        <v/>
      </c>
      <c r="AQ48" s="61" t="str">
        <f aca="false">IF($C48="","",INDEX(単元09!$H$5:$H$164,$C48)&amp;"")</f>
        <v/>
      </c>
      <c r="AR48" s="61" t="str">
        <f aca="false">IF($C48="","",INDEX(単元10!$F$5:$F$164,$C48)&amp;"")</f>
        <v/>
      </c>
      <c r="AS48" s="61" t="str">
        <f aca="false">IF($C48="","",INDEX(単元10!$G$5:$G$164,$C48)&amp;"")</f>
        <v/>
      </c>
      <c r="AT48" s="61" t="str">
        <f aca="false">IF($C48="","",INDEX(単元10!$H$5:$H$164,$C48)&amp;"")</f>
        <v/>
      </c>
      <c r="AU48" s="61" t="str">
        <f aca="false">IF($C48="","",INDEX(単元11!$F$5:$F$164,$C48)&amp;"")</f>
        <v/>
      </c>
      <c r="AV48" s="61" t="str">
        <f aca="false">IF($C48="","",INDEX(単元11!$G$5:$G$164,$C48)&amp;"")</f>
        <v/>
      </c>
      <c r="AW48" s="61" t="str">
        <f aca="false">IF($C48="","",INDEX(単元11!$H$5:$H$164,$C48)&amp;"")</f>
        <v/>
      </c>
      <c r="AX48" s="61" t="str">
        <f aca="false">IF($C48="","",INDEX(単元12!$F$5:$F$164,$C48)&amp;"")</f>
        <v/>
      </c>
      <c r="AY48" s="61" t="str">
        <f aca="false">IF($C48="","",INDEX(単元12!$G$5:$G$164,$C48)&amp;"")</f>
        <v/>
      </c>
      <c r="AZ48" s="61" t="str">
        <f aca="false">IF($C48="","",INDEX(単元12!$H$5:$H$164,$C48)&amp;"")</f>
        <v/>
      </c>
      <c r="BA48" s="61" t="str">
        <f aca="false">IF($C48="","",INDEX(単元13!$F$5:$F$164,$C48)&amp;"")</f>
        <v/>
      </c>
      <c r="BB48" s="61" t="str">
        <f aca="false">IF($C48="","",INDEX(単元13!$G$5:$G$164,$C48)&amp;"")</f>
        <v/>
      </c>
      <c r="BC48" s="61" t="str">
        <f aca="false">IF($C48="","",INDEX(単元13!$H$5:$H$164,$C48)&amp;"")</f>
        <v/>
      </c>
      <c r="BD48" s="61" t="str">
        <f aca="false">IF($C48="","",INDEX(単元14!$F$5:$F$164,$C48)&amp;"")</f>
        <v/>
      </c>
      <c r="BE48" s="61" t="str">
        <f aca="false">IF($C48="","",INDEX(単元14!$G$5:$G$164,$C48)&amp;"")</f>
        <v/>
      </c>
      <c r="BF48" s="61" t="str">
        <f aca="false">IF($C48="","",INDEX(単元14!$H$5:$H$164,$C48)&amp;"")</f>
        <v/>
      </c>
      <c r="BG48" s="61" t="str">
        <f aca="false">IF($C48="","",INDEX(単元15!$F$5:$F$164,$C48)&amp;"")</f>
        <v/>
      </c>
      <c r="BH48" s="61" t="str">
        <f aca="false">IF($C48="","",INDEX(単元15!$G$5:$G$164,$C48)&amp;"")</f>
        <v/>
      </c>
      <c r="BI48" s="61" t="str">
        <f aca="false">IF($C48="","",INDEX(単元15!$H$5:$H$164,$C48)&amp;"")</f>
        <v/>
      </c>
      <c r="BJ48" s="61" t="str">
        <f aca="false">IF($C48="","",INDEX(単元16!$F$5:$F$164,$C48)&amp;"")</f>
        <v/>
      </c>
      <c r="BK48" s="61" t="str">
        <f aca="false">IF($C48="","",INDEX(単元16!$G$5:$G$164,$C48)&amp;"")</f>
        <v/>
      </c>
      <c r="BL48" s="61" t="str">
        <f aca="false">IF($C48="","",INDEX(単元16!$H$5:$H$164,$C48)&amp;"")</f>
        <v/>
      </c>
      <c r="BM48" s="61" t="str">
        <f aca="false">IF($C48="","",INDEX(単元17!$F$5:$F$164,$C48)&amp;"")</f>
        <v/>
      </c>
      <c r="BN48" s="61" t="str">
        <f aca="false">IF($C48="","",INDEX(単元17!$G$5:$G$164,$C48)&amp;"")</f>
        <v/>
      </c>
      <c r="BO48" s="61" t="str">
        <f aca="false">IF($C48="","",INDEX(単元17!$H$5:$H$164,$C48)&amp;"")</f>
        <v/>
      </c>
      <c r="BP48" s="61" t="str">
        <f aca="false">IF($C48="","",INDEX(単元18!$F$5:$F$164,$C48)&amp;"")</f>
        <v/>
      </c>
      <c r="BQ48" s="61" t="str">
        <f aca="false">IF($C48="","",INDEX(単元18!$G$5:$G$164,$C48)&amp;"")</f>
        <v/>
      </c>
      <c r="BR48" s="61" t="str">
        <f aca="false">IF($C48="","",INDEX(単元18!$H$5:$H$164,$C48)&amp;"")</f>
        <v/>
      </c>
      <c r="BS48" s="61" t="str">
        <f aca="false">IF($C48="","",INDEX(単元19!$F$5:$F$164,$C48)&amp;"")</f>
        <v/>
      </c>
      <c r="BT48" s="61" t="str">
        <f aca="false">IF($C48="","",INDEX(単元19!$G$5:$G$164,$C48)&amp;"")</f>
        <v/>
      </c>
      <c r="BU48" s="61" t="str">
        <f aca="false">IF($C48="","",INDEX(単元19!$H$5:$H$164,$C48)&amp;"")</f>
        <v/>
      </c>
      <c r="BV48" s="61" t="str">
        <f aca="false">IF($C48="","",INDEX(単元20!$F$5:$F$164,$C48)&amp;"")</f>
        <v/>
      </c>
      <c r="BW48" s="61" t="str">
        <f aca="false">IF($C48="","",INDEX(単元20!$G$5:$G$164,$C48)&amp;"")</f>
        <v/>
      </c>
      <c r="BX48" s="61" t="str">
        <f aca="false">IF($C48="","",INDEX(単元20!$H$5:$H$164,$C48)&amp;"")</f>
        <v/>
      </c>
    </row>
    <row r="49" customFormat="false" ht="19.5" hidden="false" customHeight="true" outlineLevel="0" collapsed="false">
      <c r="A49" s="91" t="str">
        <f aca="false">IF($C49="","",INDEX(名簿!$C$5:$C$164,$C49))</f>
        <v/>
      </c>
      <c r="B49" s="59" t="str">
        <f aca="false">IF($C49="","",INDEX(名簿!$D$5:$D$164,$C49)&amp;IF(INDEX(名簿!$F$5:$F$164,$C49)="転出","（転出）",""))</f>
        <v/>
      </c>
      <c r="C49" s="41" t="str">
        <f aca="false">IFERROR(MATCH($B$2&amp;"|"&amp;43,名簿!$G$5:$G$164,0),"")</f>
        <v/>
      </c>
      <c r="D49" s="60" t="str">
        <f aca="false">IF($C49="","",SUMPRODUCT(($Q49:$BX49=D$6)*($Q$6:$BX$6=D$3)*((($F$2&amp;"")="通年")+($Q$3:$BX$3=($F$2&amp;""))&gt;0)))</f>
        <v/>
      </c>
      <c r="E49" s="60" t="str">
        <f aca="false">IF($C49="","",SUMPRODUCT(($Q49:$BX49=E$6)*($Q$6:$BX$6=E$3)*((($F$2&amp;"")="通年")+($Q$3:$BX$3=($F$2&amp;""))&gt;0)))</f>
        <v/>
      </c>
      <c r="F49" s="60" t="str">
        <f aca="false">IF($C49="","",SUMPRODUCT(($Q49:$BX49=F$6)*($Q$6:$BX$6=F$3)*((($F$2&amp;"")="通年")+($Q$3:$BX$3=($F$2&amp;""))&gt;0)))</f>
        <v/>
      </c>
      <c r="G49" s="60" t="str">
        <f aca="false">IF($C49="","",SUMPRODUCT(($Q49:$BX49=G$6)*($Q$6:$BX$6=G$3)*((($F$2&amp;"")="通年")+($Q$3:$BX$3=($F$2&amp;""))&gt;0)))</f>
        <v/>
      </c>
      <c r="H49" s="60" t="str">
        <f aca="false">IF($C49="","",SUMPRODUCT(($Q49:$BX49=H$6)*($Q$6:$BX$6=H$3)*((($F$2&amp;"")="通年")+($Q$3:$BX$3=($F$2&amp;""))&gt;0)))</f>
        <v/>
      </c>
      <c r="I49" s="60" t="str">
        <f aca="false">IF($C49="","",SUMPRODUCT(($Q49:$BX49=I$6)*($Q$6:$BX$6=I$3)*((($F$2&amp;"")="通年")+($Q$3:$BX$3=($F$2&amp;""))&gt;0)))</f>
        <v/>
      </c>
      <c r="J49" s="60" t="str">
        <f aca="false">IF($C49="","",SUMPRODUCT(($Q49:$BX49=J$6)*($Q$6:$BX$6=J$3)*((($F$2&amp;"")="通年")+($Q$3:$BX$3=($F$2&amp;""))&gt;0)))</f>
        <v/>
      </c>
      <c r="K49" s="60" t="str">
        <f aca="false">IF($C49="","",SUMPRODUCT(($Q49:$BX49=K$6)*($Q$6:$BX$6=K$3)*((($F$2&amp;"")="通年")+($Q$3:$BX$3=($F$2&amp;""))&gt;0)))</f>
        <v/>
      </c>
      <c r="L49" s="60" t="str">
        <f aca="false">IF($C49="","",SUMPRODUCT(($Q49:$BX49=L$6)*($Q$6:$BX$6=L$3)*((($F$2&amp;"")="通年")+($Q$3:$BX$3=($F$2&amp;""))&gt;0)))</f>
        <v/>
      </c>
      <c r="M49" s="62" t="str">
        <f aca="false">IF($C49="","",IF(SUM(D49:F49)=0,"",IF(D49/SUM(D49:F49)&gt;=設定!$I$17,設定!$G$8,IF(F49/SUM(D49:F49)&gt;=設定!$I$18,設定!$G$10,設定!$G$9))))</f>
        <v/>
      </c>
      <c r="N49" s="62" t="str">
        <f aca="false">IF($C49="","",IF(SUM(G49:I49)=0,"",IF(G49/SUM(G49:I49)&gt;=設定!$I$17,設定!$G$8,IF(I49/SUM(G49:I49)&gt;=設定!$I$18,設定!$G$10,設定!$G$9))))</f>
        <v/>
      </c>
      <c r="O49" s="62" t="str">
        <f aca="false">IF($C49="","",IF(SUM(J49:L49)=0,"",IF(J49/SUM(J49:L49)&gt;=設定!$I$17,設定!$G$8,IF(L49/SUM(J49:L49)&gt;=設定!$I$18,設定!$G$10,設定!$G$9))))</f>
        <v/>
      </c>
      <c r="P49" s="13"/>
      <c r="Q49" s="61" t="str">
        <f aca="false">IF($C49="","",INDEX(単元01!$F$5:$F$164,$C49)&amp;"")</f>
        <v/>
      </c>
      <c r="R49" s="61" t="str">
        <f aca="false">IF($C49="","",INDEX(単元01!$G$5:$G$164,$C49)&amp;"")</f>
        <v/>
      </c>
      <c r="S49" s="61" t="str">
        <f aca="false">IF($C49="","",INDEX(単元01!$H$5:$H$164,$C49)&amp;"")</f>
        <v/>
      </c>
      <c r="T49" s="61" t="str">
        <f aca="false">IF($C49="","",INDEX(単元02!$F$5:$F$164,$C49)&amp;"")</f>
        <v/>
      </c>
      <c r="U49" s="61" t="str">
        <f aca="false">IF($C49="","",INDEX(単元02!$G$5:$G$164,$C49)&amp;"")</f>
        <v/>
      </c>
      <c r="V49" s="61" t="str">
        <f aca="false">IF($C49="","",INDEX(単元02!$H$5:$H$164,$C49)&amp;"")</f>
        <v/>
      </c>
      <c r="W49" s="61" t="str">
        <f aca="false">IF($C49="","",INDEX(単元03!$F$5:$F$164,$C49)&amp;"")</f>
        <v/>
      </c>
      <c r="X49" s="61" t="str">
        <f aca="false">IF($C49="","",INDEX(単元03!$G$5:$G$164,$C49)&amp;"")</f>
        <v/>
      </c>
      <c r="Y49" s="61" t="str">
        <f aca="false">IF($C49="","",INDEX(単元03!$H$5:$H$164,$C49)&amp;"")</f>
        <v/>
      </c>
      <c r="Z49" s="61" t="str">
        <f aca="false">IF($C49="","",INDEX(単元04!$F$5:$F$164,$C49)&amp;"")</f>
        <v/>
      </c>
      <c r="AA49" s="61" t="str">
        <f aca="false">IF($C49="","",INDEX(単元04!$G$5:$G$164,$C49)&amp;"")</f>
        <v/>
      </c>
      <c r="AB49" s="61" t="str">
        <f aca="false">IF($C49="","",INDEX(単元04!$H$5:$H$164,$C49)&amp;"")</f>
        <v/>
      </c>
      <c r="AC49" s="61" t="str">
        <f aca="false">IF($C49="","",INDEX(単元05!$F$5:$F$164,$C49)&amp;"")</f>
        <v/>
      </c>
      <c r="AD49" s="61" t="str">
        <f aca="false">IF($C49="","",INDEX(単元05!$G$5:$G$164,$C49)&amp;"")</f>
        <v/>
      </c>
      <c r="AE49" s="61" t="str">
        <f aca="false">IF($C49="","",INDEX(単元05!$H$5:$H$164,$C49)&amp;"")</f>
        <v/>
      </c>
      <c r="AF49" s="61" t="str">
        <f aca="false">IF($C49="","",INDEX(単元06!$F$5:$F$164,$C49)&amp;"")</f>
        <v/>
      </c>
      <c r="AG49" s="61" t="str">
        <f aca="false">IF($C49="","",INDEX(単元06!$G$5:$G$164,$C49)&amp;"")</f>
        <v/>
      </c>
      <c r="AH49" s="61" t="str">
        <f aca="false">IF($C49="","",INDEX(単元06!$H$5:$H$164,$C49)&amp;"")</f>
        <v/>
      </c>
      <c r="AI49" s="61" t="str">
        <f aca="false">IF($C49="","",INDEX(単元07!$F$5:$F$164,$C49)&amp;"")</f>
        <v/>
      </c>
      <c r="AJ49" s="61" t="str">
        <f aca="false">IF($C49="","",INDEX(単元07!$G$5:$G$164,$C49)&amp;"")</f>
        <v/>
      </c>
      <c r="AK49" s="61" t="str">
        <f aca="false">IF($C49="","",INDEX(単元07!$H$5:$H$164,$C49)&amp;"")</f>
        <v/>
      </c>
      <c r="AL49" s="61" t="str">
        <f aca="false">IF($C49="","",INDEX(単元08!$F$5:$F$164,$C49)&amp;"")</f>
        <v/>
      </c>
      <c r="AM49" s="61" t="str">
        <f aca="false">IF($C49="","",INDEX(単元08!$G$5:$G$164,$C49)&amp;"")</f>
        <v/>
      </c>
      <c r="AN49" s="61" t="str">
        <f aca="false">IF($C49="","",INDEX(単元08!$H$5:$H$164,$C49)&amp;"")</f>
        <v/>
      </c>
      <c r="AO49" s="61" t="str">
        <f aca="false">IF($C49="","",INDEX(単元09!$F$5:$F$164,$C49)&amp;"")</f>
        <v/>
      </c>
      <c r="AP49" s="61" t="str">
        <f aca="false">IF($C49="","",INDEX(単元09!$G$5:$G$164,$C49)&amp;"")</f>
        <v/>
      </c>
      <c r="AQ49" s="61" t="str">
        <f aca="false">IF($C49="","",INDEX(単元09!$H$5:$H$164,$C49)&amp;"")</f>
        <v/>
      </c>
      <c r="AR49" s="61" t="str">
        <f aca="false">IF($C49="","",INDEX(単元10!$F$5:$F$164,$C49)&amp;"")</f>
        <v/>
      </c>
      <c r="AS49" s="61" t="str">
        <f aca="false">IF($C49="","",INDEX(単元10!$G$5:$G$164,$C49)&amp;"")</f>
        <v/>
      </c>
      <c r="AT49" s="61" t="str">
        <f aca="false">IF($C49="","",INDEX(単元10!$H$5:$H$164,$C49)&amp;"")</f>
        <v/>
      </c>
      <c r="AU49" s="61" t="str">
        <f aca="false">IF($C49="","",INDEX(単元11!$F$5:$F$164,$C49)&amp;"")</f>
        <v/>
      </c>
      <c r="AV49" s="61" t="str">
        <f aca="false">IF($C49="","",INDEX(単元11!$G$5:$G$164,$C49)&amp;"")</f>
        <v/>
      </c>
      <c r="AW49" s="61" t="str">
        <f aca="false">IF($C49="","",INDEX(単元11!$H$5:$H$164,$C49)&amp;"")</f>
        <v/>
      </c>
      <c r="AX49" s="61" t="str">
        <f aca="false">IF($C49="","",INDEX(単元12!$F$5:$F$164,$C49)&amp;"")</f>
        <v/>
      </c>
      <c r="AY49" s="61" t="str">
        <f aca="false">IF($C49="","",INDEX(単元12!$G$5:$G$164,$C49)&amp;"")</f>
        <v/>
      </c>
      <c r="AZ49" s="61" t="str">
        <f aca="false">IF($C49="","",INDEX(単元12!$H$5:$H$164,$C49)&amp;"")</f>
        <v/>
      </c>
      <c r="BA49" s="61" t="str">
        <f aca="false">IF($C49="","",INDEX(単元13!$F$5:$F$164,$C49)&amp;"")</f>
        <v/>
      </c>
      <c r="BB49" s="61" t="str">
        <f aca="false">IF($C49="","",INDEX(単元13!$G$5:$G$164,$C49)&amp;"")</f>
        <v/>
      </c>
      <c r="BC49" s="61" t="str">
        <f aca="false">IF($C49="","",INDEX(単元13!$H$5:$H$164,$C49)&amp;"")</f>
        <v/>
      </c>
      <c r="BD49" s="61" t="str">
        <f aca="false">IF($C49="","",INDEX(単元14!$F$5:$F$164,$C49)&amp;"")</f>
        <v/>
      </c>
      <c r="BE49" s="61" t="str">
        <f aca="false">IF($C49="","",INDEX(単元14!$G$5:$G$164,$C49)&amp;"")</f>
        <v/>
      </c>
      <c r="BF49" s="61" t="str">
        <f aca="false">IF($C49="","",INDEX(単元14!$H$5:$H$164,$C49)&amp;"")</f>
        <v/>
      </c>
      <c r="BG49" s="61" t="str">
        <f aca="false">IF($C49="","",INDEX(単元15!$F$5:$F$164,$C49)&amp;"")</f>
        <v/>
      </c>
      <c r="BH49" s="61" t="str">
        <f aca="false">IF($C49="","",INDEX(単元15!$G$5:$G$164,$C49)&amp;"")</f>
        <v/>
      </c>
      <c r="BI49" s="61" t="str">
        <f aca="false">IF($C49="","",INDEX(単元15!$H$5:$H$164,$C49)&amp;"")</f>
        <v/>
      </c>
      <c r="BJ49" s="61" t="str">
        <f aca="false">IF($C49="","",INDEX(単元16!$F$5:$F$164,$C49)&amp;"")</f>
        <v/>
      </c>
      <c r="BK49" s="61" t="str">
        <f aca="false">IF($C49="","",INDEX(単元16!$G$5:$G$164,$C49)&amp;"")</f>
        <v/>
      </c>
      <c r="BL49" s="61" t="str">
        <f aca="false">IF($C49="","",INDEX(単元16!$H$5:$H$164,$C49)&amp;"")</f>
        <v/>
      </c>
      <c r="BM49" s="61" t="str">
        <f aca="false">IF($C49="","",INDEX(単元17!$F$5:$F$164,$C49)&amp;"")</f>
        <v/>
      </c>
      <c r="BN49" s="61" t="str">
        <f aca="false">IF($C49="","",INDEX(単元17!$G$5:$G$164,$C49)&amp;"")</f>
        <v/>
      </c>
      <c r="BO49" s="61" t="str">
        <f aca="false">IF($C49="","",INDEX(単元17!$H$5:$H$164,$C49)&amp;"")</f>
        <v/>
      </c>
      <c r="BP49" s="61" t="str">
        <f aca="false">IF($C49="","",INDEX(単元18!$F$5:$F$164,$C49)&amp;"")</f>
        <v/>
      </c>
      <c r="BQ49" s="61" t="str">
        <f aca="false">IF($C49="","",INDEX(単元18!$G$5:$G$164,$C49)&amp;"")</f>
        <v/>
      </c>
      <c r="BR49" s="61" t="str">
        <f aca="false">IF($C49="","",INDEX(単元18!$H$5:$H$164,$C49)&amp;"")</f>
        <v/>
      </c>
      <c r="BS49" s="61" t="str">
        <f aca="false">IF($C49="","",INDEX(単元19!$F$5:$F$164,$C49)&amp;"")</f>
        <v/>
      </c>
      <c r="BT49" s="61" t="str">
        <f aca="false">IF($C49="","",INDEX(単元19!$G$5:$G$164,$C49)&amp;"")</f>
        <v/>
      </c>
      <c r="BU49" s="61" t="str">
        <f aca="false">IF($C49="","",INDEX(単元19!$H$5:$H$164,$C49)&amp;"")</f>
        <v/>
      </c>
      <c r="BV49" s="61" t="str">
        <f aca="false">IF($C49="","",INDEX(単元20!$F$5:$F$164,$C49)&amp;"")</f>
        <v/>
      </c>
      <c r="BW49" s="61" t="str">
        <f aca="false">IF($C49="","",INDEX(単元20!$G$5:$G$164,$C49)&amp;"")</f>
        <v/>
      </c>
      <c r="BX49" s="61" t="str">
        <f aca="false">IF($C49="","",INDEX(単元20!$H$5:$H$164,$C49)&amp;"")</f>
        <v/>
      </c>
    </row>
    <row r="50" customFormat="false" ht="19.5" hidden="false" customHeight="true" outlineLevel="0" collapsed="false">
      <c r="A50" s="91" t="str">
        <f aca="false">IF($C50="","",INDEX(名簿!$C$5:$C$164,$C50))</f>
        <v/>
      </c>
      <c r="B50" s="59" t="str">
        <f aca="false">IF($C50="","",INDEX(名簿!$D$5:$D$164,$C50)&amp;IF(INDEX(名簿!$F$5:$F$164,$C50)="転出","（転出）",""))</f>
        <v/>
      </c>
      <c r="C50" s="41" t="str">
        <f aca="false">IFERROR(MATCH($B$2&amp;"|"&amp;44,名簿!$G$5:$G$164,0),"")</f>
        <v/>
      </c>
      <c r="D50" s="60" t="str">
        <f aca="false">IF($C50="","",SUMPRODUCT(($Q50:$BX50=D$6)*($Q$6:$BX$6=D$3)*((($F$2&amp;"")="通年")+($Q$3:$BX$3=($F$2&amp;""))&gt;0)))</f>
        <v/>
      </c>
      <c r="E50" s="60" t="str">
        <f aca="false">IF($C50="","",SUMPRODUCT(($Q50:$BX50=E$6)*($Q$6:$BX$6=E$3)*((($F$2&amp;"")="通年")+($Q$3:$BX$3=($F$2&amp;""))&gt;0)))</f>
        <v/>
      </c>
      <c r="F50" s="60" t="str">
        <f aca="false">IF($C50="","",SUMPRODUCT(($Q50:$BX50=F$6)*($Q$6:$BX$6=F$3)*((($F$2&amp;"")="通年")+($Q$3:$BX$3=($F$2&amp;""))&gt;0)))</f>
        <v/>
      </c>
      <c r="G50" s="60" t="str">
        <f aca="false">IF($C50="","",SUMPRODUCT(($Q50:$BX50=G$6)*($Q$6:$BX$6=G$3)*((($F$2&amp;"")="通年")+($Q$3:$BX$3=($F$2&amp;""))&gt;0)))</f>
        <v/>
      </c>
      <c r="H50" s="60" t="str">
        <f aca="false">IF($C50="","",SUMPRODUCT(($Q50:$BX50=H$6)*($Q$6:$BX$6=H$3)*((($F$2&amp;"")="通年")+($Q$3:$BX$3=($F$2&amp;""))&gt;0)))</f>
        <v/>
      </c>
      <c r="I50" s="60" t="str">
        <f aca="false">IF($C50="","",SUMPRODUCT(($Q50:$BX50=I$6)*($Q$6:$BX$6=I$3)*((($F$2&amp;"")="通年")+($Q$3:$BX$3=($F$2&amp;""))&gt;0)))</f>
        <v/>
      </c>
      <c r="J50" s="60" t="str">
        <f aca="false">IF($C50="","",SUMPRODUCT(($Q50:$BX50=J$6)*($Q$6:$BX$6=J$3)*((($F$2&amp;"")="通年")+($Q$3:$BX$3=($F$2&amp;""))&gt;0)))</f>
        <v/>
      </c>
      <c r="K50" s="60" t="str">
        <f aca="false">IF($C50="","",SUMPRODUCT(($Q50:$BX50=K$6)*($Q$6:$BX$6=K$3)*((($F$2&amp;"")="通年")+($Q$3:$BX$3=($F$2&amp;""))&gt;0)))</f>
        <v/>
      </c>
      <c r="L50" s="60" t="str">
        <f aca="false">IF($C50="","",SUMPRODUCT(($Q50:$BX50=L$6)*($Q$6:$BX$6=L$3)*((($F$2&amp;"")="通年")+($Q$3:$BX$3=($F$2&amp;""))&gt;0)))</f>
        <v/>
      </c>
      <c r="M50" s="62" t="str">
        <f aca="false">IF($C50="","",IF(SUM(D50:F50)=0,"",IF(D50/SUM(D50:F50)&gt;=設定!$I$17,設定!$G$8,IF(F50/SUM(D50:F50)&gt;=設定!$I$18,設定!$G$10,設定!$G$9))))</f>
        <v/>
      </c>
      <c r="N50" s="62" t="str">
        <f aca="false">IF($C50="","",IF(SUM(G50:I50)=0,"",IF(G50/SUM(G50:I50)&gt;=設定!$I$17,設定!$G$8,IF(I50/SUM(G50:I50)&gt;=設定!$I$18,設定!$G$10,設定!$G$9))))</f>
        <v/>
      </c>
      <c r="O50" s="62" t="str">
        <f aca="false">IF($C50="","",IF(SUM(J50:L50)=0,"",IF(J50/SUM(J50:L50)&gt;=設定!$I$17,設定!$G$8,IF(L50/SUM(J50:L50)&gt;=設定!$I$18,設定!$G$10,設定!$G$9))))</f>
        <v/>
      </c>
      <c r="P50" s="13"/>
      <c r="Q50" s="61" t="str">
        <f aca="false">IF($C50="","",INDEX(単元01!$F$5:$F$164,$C50)&amp;"")</f>
        <v/>
      </c>
      <c r="R50" s="61" t="str">
        <f aca="false">IF($C50="","",INDEX(単元01!$G$5:$G$164,$C50)&amp;"")</f>
        <v/>
      </c>
      <c r="S50" s="61" t="str">
        <f aca="false">IF($C50="","",INDEX(単元01!$H$5:$H$164,$C50)&amp;"")</f>
        <v/>
      </c>
      <c r="T50" s="61" t="str">
        <f aca="false">IF($C50="","",INDEX(単元02!$F$5:$F$164,$C50)&amp;"")</f>
        <v/>
      </c>
      <c r="U50" s="61" t="str">
        <f aca="false">IF($C50="","",INDEX(単元02!$G$5:$G$164,$C50)&amp;"")</f>
        <v/>
      </c>
      <c r="V50" s="61" t="str">
        <f aca="false">IF($C50="","",INDEX(単元02!$H$5:$H$164,$C50)&amp;"")</f>
        <v/>
      </c>
      <c r="W50" s="61" t="str">
        <f aca="false">IF($C50="","",INDEX(単元03!$F$5:$F$164,$C50)&amp;"")</f>
        <v/>
      </c>
      <c r="X50" s="61" t="str">
        <f aca="false">IF($C50="","",INDEX(単元03!$G$5:$G$164,$C50)&amp;"")</f>
        <v/>
      </c>
      <c r="Y50" s="61" t="str">
        <f aca="false">IF($C50="","",INDEX(単元03!$H$5:$H$164,$C50)&amp;"")</f>
        <v/>
      </c>
      <c r="Z50" s="61" t="str">
        <f aca="false">IF($C50="","",INDEX(単元04!$F$5:$F$164,$C50)&amp;"")</f>
        <v/>
      </c>
      <c r="AA50" s="61" t="str">
        <f aca="false">IF($C50="","",INDEX(単元04!$G$5:$G$164,$C50)&amp;"")</f>
        <v/>
      </c>
      <c r="AB50" s="61" t="str">
        <f aca="false">IF($C50="","",INDEX(単元04!$H$5:$H$164,$C50)&amp;"")</f>
        <v/>
      </c>
      <c r="AC50" s="61" t="str">
        <f aca="false">IF($C50="","",INDEX(単元05!$F$5:$F$164,$C50)&amp;"")</f>
        <v/>
      </c>
      <c r="AD50" s="61" t="str">
        <f aca="false">IF($C50="","",INDEX(単元05!$G$5:$G$164,$C50)&amp;"")</f>
        <v/>
      </c>
      <c r="AE50" s="61" t="str">
        <f aca="false">IF($C50="","",INDEX(単元05!$H$5:$H$164,$C50)&amp;"")</f>
        <v/>
      </c>
      <c r="AF50" s="61" t="str">
        <f aca="false">IF($C50="","",INDEX(単元06!$F$5:$F$164,$C50)&amp;"")</f>
        <v/>
      </c>
      <c r="AG50" s="61" t="str">
        <f aca="false">IF($C50="","",INDEX(単元06!$G$5:$G$164,$C50)&amp;"")</f>
        <v/>
      </c>
      <c r="AH50" s="61" t="str">
        <f aca="false">IF($C50="","",INDEX(単元06!$H$5:$H$164,$C50)&amp;"")</f>
        <v/>
      </c>
      <c r="AI50" s="61" t="str">
        <f aca="false">IF($C50="","",INDEX(単元07!$F$5:$F$164,$C50)&amp;"")</f>
        <v/>
      </c>
      <c r="AJ50" s="61" t="str">
        <f aca="false">IF($C50="","",INDEX(単元07!$G$5:$G$164,$C50)&amp;"")</f>
        <v/>
      </c>
      <c r="AK50" s="61" t="str">
        <f aca="false">IF($C50="","",INDEX(単元07!$H$5:$H$164,$C50)&amp;"")</f>
        <v/>
      </c>
      <c r="AL50" s="61" t="str">
        <f aca="false">IF($C50="","",INDEX(単元08!$F$5:$F$164,$C50)&amp;"")</f>
        <v/>
      </c>
      <c r="AM50" s="61" t="str">
        <f aca="false">IF($C50="","",INDEX(単元08!$G$5:$G$164,$C50)&amp;"")</f>
        <v/>
      </c>
      <c r="AN50" s="61" t="str">
        <f aca="false">IF($C50="","",INDEX(単元08!$H$5:$H$164,$C50)&amp;"")</f>
        <v/>
      </c>
      <c r="AO50" s="61" t="str">
        <f aca="false">IF($C50="","",INDEX(単元09!$F$5:$F$164,$C50)&amp;"")</f>
        <v/>
      </c>
      <c r="AP50" s="61" t="str">
        <f aca="false">IF($C50="","",INDEX(単元09!$G$5:$G$164,$C50)&amp;"")</f>
        <v/>
      </c>
      <c r="AQ50" s="61" t="str">
        <f aca="false">IF($C50="","",INDEX(単元09!$H$5:$H$164,$C50)&amp;"")</f>
        <v/>
      </c>
      <c r="AR50" s="61" t="str">
        <f aca="false">IF($C50="","",INDEX(単元10!$F$5:$F$164,$C50)&amp;"")</f>
        <v/>
      </c>
      <c r="AS50" s="61" t="str">
        <f aca="false">IF($C50="","",INDEX(単元10!$G$5:$G$164,$C50)&amp;"")</f>
        <v/>
      </c>
      <c r="AT50" s="61" t="str">
        <f aca="false">IF($C50="","",INDEX(単元10!$H$5:$H$164,$C50)&amp;"")</f>
        <v/>
      </c>
      <c r="AU50" s="61" t="str">
        <f aca="false">IF($C50="","",INDEX(単元11!$F$5:$F$164,$C50)&amp;"")</f>
        <v/>
      </c>
      <c r="AV50" s="61" t="str">
        <f aca="false">IF($C50="","",INDEX(単元11!$G$5:$G$164,$C50)&amp;"")</f>
        <v/>
      </c>
      <c r="AW50" s="61" t="str">
        <f aca="false">IF($C50="","",INDEX(単元11!$H$5:$H$164,$C50)&amp;"")</f>
        <v/>
      </c>
      <c r="AX50" s="61" t="str">
        <f aca="false">IF($C50="","",INDEX(単元12!$F$5:$F$164,$C50)&amp;"")</f>
        <v/>
      </c>
      <c r="AY50" s="61" t="str">
        <f aca="false">IF($C50="","",INDEX(単元12!$G$5:$G$164,$C50)&amp;"")</f>
        <v/>
      </c>
      <c r="AZ50" s="61" t="str">
        <f aca="false">IF($C50="","",INDEX(単元12!$H$5:$H$164,$C50)&amp;"")</f>
        <v/>
      </c>
      <c r="BA50" s="61" t="str">
        <f aca="false">IF($C50="","",INDEX(単元13!$F$5:$F$164,$C50)&amp;"")</f>
        <v/>
      </c>
      <c r="BB50" s="61" t="str">
        <f aca="false">IF($C50="","",INDEX(単元13!$G$5:$G$164,$C50)&amp;"")</f>
        <v/>
      </c>
      <c r="BC50" s="61" t="str">
        <f aca="false">IF($C50="","",INDEX(単元13!$H$5:$H$164,$C50)&amp;"")</f>
        <v/>
      </c>
      <c r="BD50" s="61" t="str">
        <f aca="false">IF($C50="","",INDEX(単元14!$F$5:$F$164,$C50)&amp;"")</f>
        <v/>
      </c>
      <c r="BE50" s="61" t="str">
        <f aca="false">IF($C50="","",INDEX(単元14!$G$5:$G$164,$C50)&amp;"")</f>
        <v/>
      </c>
      <c r="BF50" s="61" t="str">
        <f aca="false">IF($C50="","",INDEX(単元14!$H$5:$H$164,$C50)&amp;"")</f>
        <v/>
      </c>
      <c r="BG50" s="61" t="str">
        <f aca="false">IF($C50="","",INDEX(単元15!$F$5:$F$164,$C50)&amp;"")</f>
        <v/>
      </c>
      <c r="BH50" s="61" t="str">
        <f aca="false">IF($C50="","",INDEX(単元15!$G$5:$G$164,$C50)&amp;"")</f>
        <v/>
      </c>
      <c r="BI50" s="61" t="str">
        <f aca="false">IF($C50="","",INDEX(単元15!$H$5:$H$164,$C50)&amp;"")</f>
        <v/>
      </c>
      <c r="BJ50" s="61" t="str">
        <f aca="false">IF($C50="","",INDEX(単元16!$F$5:$F$164,$C50)&amp;"")</f>
        <v/>
      </c>
      <c r="BK50" s="61" t="str">
        <f aca="false">IF($C50="","",INDEX(単元16!$G$5:$G$164,$C50)&amp;"")</f>
        <v/>
      </c>
      <c r="BL50" s="61" t="str">
        <f aca="false">IF($C50="","",INDEX(単元16!$H$5:$H$164,$C50)&amp;"")</f>
        <v/>
      </c>
      <c r="BM50" s="61" t="str">
        <f aca="false">IF($C50="","",INDEX(単元17!$F$5:$F$164,$C50)&amp;"")</f>
        <v/>
      </c>
      <c r="BN50" s="61" t="str">
        <f aca="false">IF($C50="","",INDEX(単元17!$G$5:$G$164,$C50)&amp;"")</f>
        <v/>
      </c>
      <c r="BO50" s="61" t="str">
        <f aca="false">IF($C50="","",INDEX(単元17!$H$5:$H$164,$C50)&amp;"")</f>
        <v/>
      </c>
      <c r="BP50" s="61" t="str">
        <f aca="false">IF($C50="","",INDEX(単元18!$F$5:$F$164,$C50)&amp;"")</f>
        <v/>
      </c>
      <c r="BQ50" s="61" t="str">
        <f aca="false">IF($C50="","",INDEX(単元18!$G$5:$G$164,$C50)&amp;"")</f>
        <v/>
      </c>
      <c r="BR50" s="61" t="str">
        <f aca="false">IF($C50="","",INDEX(単元18!$H$5:$H$164,$C50)&amp;"")</f>
        <v/>
      </c>
      <c r="BS50" s="61" t="str">
        <f aca="false">IF($C50="","",INDEX(単元19!$F$5:$F$164,$C50)&amp;"")</f>
        <v/>
      </c>
      <c r="BT50" s="61" t="str">
        <f aca="false">IF($C50="","",INDEX(単元19!$G$5:$G$164,$C50)&amp;"")</f>
        <v/>
      </c>
      <c r="BU50" s="61" t="str">
        <f aca="false">IF($C50="","",INDEX(単元19!$H$5:$H$164,$C50)&amp;"")</f>
        <v/>
      </c>
      <c r="BV50" s="61" t="str">
        <f aca="false">IF($C50="","",INDEX(単元20!$F$5:$F$164,$C50)&amp;"")</f>
        <v/>
      </c>
      <c r="BW50" s="61" t="str">
        <f aca="false">IF($C50="","",INDEX(単元20!$G$5:$G$164,$C50)&amp;"")</f>
        <v/>
      </c>
      <c r="BX50" s="61" t="str">
        <f aca="false">IF($C50="","",INDEX(単元20!$H$5:$H$164,$C50)&amp;"")</f>
        <v/>
      </c>
    </row>
    <row r="51" customFormat="false" ht="19.5" hidden="false" customHeight="true" outlineLevel="0" collapsed="false">
      <c r="A51" s="91" t="str">
        <f aca="false">IF($C51="","",INDEX(名簿!$C$5:$C$164,$C51))</f>
        <v/>
      </c>
      <c r="B51" s="59" t="str">
        <f aca="false">IF($C51="","",INDEX(名簿!$D$5:$D$164,$C51)&amp;IF(INDEX(名簿!$F$5:$F$164,$C51)="転出","（転出）",""))</f>
        <v/>
      </c>
      <c r="C51" s="41" t="str">
        <f aca="false">IFERROR(MATCH($B$2&amp;"|"&amp;45,名簿!$G$5:$G$164,0),"")</f>
        <v/>
      </c>
      <c r="D51" s="60" t="str">
        <f aca="false">IF($C51="","",SUMPRODUCT(($Q51:$BX51=D$6)*($Q$6:$BX$6=D$3)*((($F$2&amp;"")="通年")+($Q$3:$BX$3=($F$2&amp;""))&gt;0)))</f>
        <v/>
      </c>
      <c r="E51" s="60" t="str">
        <f aca="false">IF($C51="","",SUMPRODUCT(($Q51:$BX51=E$6)*($Q$6:$BX$6=E$3)*((($F$2&amp;"")="通年")+($Q$3:$BX$3=($F$2&amp;""))&gt;0)))</f>
        <v/>
      </c>
      <c r="F51" s="60" t="str">
        <f aca="false">IF($C51="","",SUMPRODUCT(($Q51:$BX51=F$6)*($Q$6:$BX$6=F$3)*((($F$2&amp;"")="通年")+($Q$3:$BX$3=($F$2&amp;""))&gt;0)))</f>
        <v/>
      </c>
      <c r="G51" s="60" t="str">
        <f aca="false">IF($C51="","",SUMPRODUCT(($Q51:$BX51=G$6)*($Q$6:$BX$6=G$3)*((($F$2&amp;"")="通年")+($Q$3:$BX$3=($F$2&amp;""))&gt;0)))</f>
        <v/>
      </c>
      <c r="H51" s="60" t="str">
        <f aca="false">IF($C51="","",SUMPRODUCT(($Q51:$BX51=H$6)*($Q$6:$BX$6=H$3)*((($F$2&amp;"")="通年")+($Q$3:$BX$3=($F$2&amp;""))&gt;0)))</f>
        <v/>
      </c>
      <c r="I51" s="60" t="str">
        <f aca="false">IF($C51="","",SUMPRODUCT(($Q51:$BX51=I$6)*($Q$6:$BX$6=I$3)*((($F$2&amp;"")="通年")+($Q$3:$BX$3=($F$2&amp;""))&gt;0)))</f>
        <v/>
      </c>
      <c r="J51" s="60" t="str">
        <f aca="false">IF($C51="","",SUMPRODUCT(($Q51:$BX51=J$6)*($Q$6:$BX$6=J$3)*((($F$2&amp;"")="通年")+($Q$3:$BX$3=($F$2&amp;""))&gt;0)))</f>
        <v/>
      </c>
      <c r="K51" s="60" t="str">
        <f aca="false">IF($C51="","",SUMPRODUCT(($Q51:$BX51=K$6)*($Q$6:$BX$6=K$3)*((($F$2&amp;"")="通年")+($Q$3:$BX$3=($F$2&amp;""))&gt;0)))</f>
        <v/>
      </c>
      <c r="L51" s="60" t="str">
        <f aca="false">IF($C51="","",SUMPRODUCT(($Q51:$BX51=L$6)*($Q$6:$BX$6=L$3)*((($F$2&amp;"")="通年")+($Q$3:$BX$3=($F$2&amp;""))&gt;0)))</f>
        <v/>
      </c>
      <c r="M51" s="62" t="str">
        <f aca="false">IF($C51="","",IF(SUM(D51:F51)=0,"",IF(D51/SUM(D51:F51)&gt;=設定!$I$17,設定!$G$8,IF(F51/SUM(D51:F51)&gt;=設定!$I$18,設定!$G$10,設定!$G$9))))</f>
        <v/>
      </c>
      <c r="N51" s="62" t="str">
        <f aca="false">IF($C51="","",IF(SUM(G51:I51)=0,"",IF(G51/SUM(G51:I51)&gt;=設定!$I$17,設定!$G$8,IF(I51/SUM(G51:I51)&gt;=設定!$I$18,設定!$G$10,設定!$G$9))))</f>
        <v/>
      </c>
      <c r="O51" s="62" t="str">
        <f aca="false">IF($C51="","",IF(SUM(J51:L51)=0,"",IF(J51/SUM(J51:L51)&gt;=設定!$I$17,設定!$G$8,IF(L51/SUM(J51:L51)&gt;=設定!$I$18,設定!$G$10,設定!$G$9))))</f>
        <v/>
      </c>
      <c r="P51" s="13"/>
      <c r="Q51" s="61" t="str">
        <f aca="false">IF($C51="","",INDEX(単元01!$F$5:$F$164,$C51)&amp;"")</f>
        <v/>
      </c>
      <c r="R51" s="61" t="str">
        <f aca="false">IF($C51="","",INDEX(単元01!$G$5:$G$164,$C51)&amp;"")</f>
        <v/>
      </c>
      <c r="S51" s="61" t="str">
        <f aca="false">IF($C51="","",INDEX(単元01!$H$5:$H$164,$C51)&amp;"")</f>
        <v/>
      </c>
      <c r="T51" s="61" t="str">
        <f aca="false">IF($C51="","",INDEX(単元02!$F$5:$F$164,$C51)&amp;"")</f>
        <v/>
      </c>
      <c r="U51" s="61" t="str">
        <f aca="false">IF($C51="","",INDEX(単元02!$G$5:$G$164,$C51)&amp;"")</f>
        <v/>
      </c>
      <c r="V51" s="61" t="str">
        <f aca="false">IF($C51="","",INDEX(単元02!$H$5:$H$164,$C51)&amp;"")</f>
        <v/>
      </c>
      <c r="W51" s="61" t="str">
        <f aca="false">IF($C51="","",INDEX(単元03!$F$5:$F$164,$C51)&amp;"")</f>
        <v/>
      </c>
      <c r="X51" s="61" t="str">
        <f aca="false">IF($C51="","",INDEX(単元03!$G$5:$G$164,$C51)&amp;"")</f>
        <v/>
      </c>
      <c r="Y51" s="61" t="str">
        <f aca="false">IF($C51="","",INDEX(単元03!$H$5:$H$164,$C51)&amp;"")</f>
        <v/>
      </c>
      <c r="Z51" s="61" t="str">
        <f aca="false">IF($C51="","",INDEX(単元04!$F$5:$F$164,$C51)&amp;"")</f>
        <v/>
      </c>
      <c r="AA51" s="61" t="str">
        <f aca="false">IF($C51="","",INDEX(単元04!$G$5:$G$164,$C51)&amp;"")</f>
        <v/>
      </c>
      <c r="AB51" s="61" t="str">
        <f aca="false">IF($C51="","",INDEX(単元04!$H$5:$H$164,$C51)&amp;"")</f>
        <v/>
      </c>
      <c r="AC51" s="61" t="str">
        <f aca="false">IF($C51="","",INDEX(単元05!$F$5:$F$164,$C51)&amp;"")</f>
        <v/>
      </c>
      <c r="AD51" s="61" t="str">
        <f aca="false">IF($C51="","",INDEX(単元05!$G$5:$G$164,$C51)&amp;"")</f>
        <v/>
      </c>
      <c r="AE51" s="61" t="str">
        <f aca="false">IF($C51="","",INDEX(単元05!$H$5:$H$164,$C51)&amp;"")</f>
        <v/>
      </c>
      <c r="AF51" s="61" t="str">
        <f aca="false">IF($C51="","",INDEX(単元06!$F$5:$F$164,$C51)&amp;"")</f>
        <v/>
      </c>
      <c r="AG51" s="61" t="str">
        <f aca="false">IF($C51="","",INDEX(単元06!$G$5:$G$164,$C51)&amp;"")</f>
        <v/>
      </c>
      <c r="AH51" s="61" t="str">
        <f aca="false">IF($C51="","",INDEX(単元06!$H$5:$H$164,$C51)&amp;"")</f>
        <v/>
      </c>
      <c r="AI51" s="61" t="str">
        <f aca="false">IF($C51="","",INDEX(単元07!$F$5:$F$164,$C51)&amp;"")</f>
        <v/>
      </c>
      <c r="AJ51" s="61" t="str">
        <f aca="false">IF($C51="","",INDEX(単元07!$G$5:$G$164,$C51)&amp;"")</f>
        <v/>
      </c>
      <c r="AK51" s="61" t="str">
        <f aca="false">IF($C51="","",INDEX(単元07!$H$5:$H$164,$C51)&amp;"")</f>
        <v/>
      </c>
      <c r="AL51" s="61" t="str">
        <f aca="false">IF($C51="","",INDEX(単元08!$F$5:$F$164,$C51)&amp;"")</f>
        <v/>
      </c>
      <c r="AM51" s="61" t="str">
        <f aca="false">IF($C51="","",INDEX(単元08!$G$5:$G$164,$C51)&amp;"")</f>
        <v/>
      </c>
      <c r="AN51" s="61" t="str">
        <f aca="false">IF($C51="","",INDEX(単元08!$H$5:$H$164,$C51)&amp;"")</f>
        <v/>
      </c>
      <c r="AO51" s="61" t="str">
        <f aca="false">IF($C51="","",INDEX(単元09!$F$5:$F$164,$C51)&amp;"")</f>
        <v/>
      </c>
      <c r="AP51" s="61" t="str">
        <f aca="false">IF($C51="","",INDEX(単元09!$G$5:$G$164,$C51)&amp;"")</f>
        <v/>
      </c>
      <c r="AQ51" s="61" t="str">
        <f aca="false">IF($C51="","",INDEX(単元09!$H$5:$H$164,$C51)&amp;"")</f>
        <v/>
      </c>
      <c r="AR51" s="61" t="str">
        <f aca="false">IF($C51="","",INDEX(単元10!$F$5:$F$164,$C51)&amp;"")</f>
        <v/>
      </c>
      <c r="AS51" s="61" t="str">
        <f aca="false">IF($C51="","",INDEX(単元10!$G$5:$G$164,$C51)&amp;"")</f>
        <v/>
      </c>
      <c r="AT51" s="61" t="str">
        <f aca="false">IF($C51="","",INDEX(単元10!$H$5:$H$164,$C51)&amp;"")</f>
        <v/>
      </c>
      <c r="AU51" s="61" t="str">
        <f aca="false">IF($C51="","",INDEX(単元11!$F$5:$F$164,$C51)&amp;"")</f>
        <v/>
      </c>
      <c r="AV51" s="61" t="str">
        <f aca="false">IF($C51="","",INDEX(単元11!$G$5:$G$164,$C51)&amp;"")</f>
        <v/>
      </c>
      <c r="AW51" s="61" t="str">
        <f aca="false">IF($C51="","",INDEX(単元11!$H$5:$H$164,$C51)&amp;"")</f>
        <v/>
      </c>
      <c r="AX51" s="61" t="str">
        <f aca="false">IF($C51="","",INDEX(単元12!$F$5:$F$164,$C51)&amp;"")</f>
        <v/>
      </c>
      <c r="AY51" s="61" t="str">
        <f aca="false">IF($C51="","",INDEX(単元12!$G$5:$G$164,$C51)&amp;"")</f>
        <v/>
      </c>
      <c r="AZ51" s="61" t="str">
        <f aca="false">IF($C51="","",INDEX(単元12!$H$5:$H$164,$C51)&amp;"")</f>
        <v/>
      </c>
      <c r="BA51" s="61" t="str">
        <f aca="false">IF($C51="","",INDEX(単元13!$F$5:$F$164,$C51)&amp;"")</f>
        <v/>
      </c>
      <c r="BB51" s="61" t="str">
        <f aca="false">IF($C51="","",INDEX(単元13!$G$5:$G$164,$C51)&amp;"")</f>
        <v/>
      </c>
      <c r="BC51" s="61" t="str">
        <f aca="false">IF($C51="","",INDEX(単元13!$H$5:$H$164,$C51)&amp;"")</f>
        <v/>
      </c>
      <c r="BD51" s="61" t="str">
        <f aca="false">IF($C51="","",INDEX(単元14!$F$5:$F$164,$C51)&amp;"")</f>
        <v/>
      </c>
      <c r="BE51" s="61" t="str">
        <f aca="false">IF($C51="","",INDEX(単元14!$G$5:$G$164,$C51)&amp;"")</f>
        <v/>
      </c>
      <c r="BF51" s="61" t="str">
        <f aca="false">IF($C51="","",INDEX(単元14!$H$5:$H$164,$C51)&amp;"")</f>
        <v/>
      </c>
      <c r="BG51" s="61" t="str">
        <f aca="false">IF($C51="","",INDEX(単元15!$F$5:$F$164,$C51)&amp;"")</f>
        <v/>
      </c>
      <c r="BH51" s="61" t="str">
        <f aca="false">IF($C51="","",INDEX(単元15!$G$5:$G$164,$C51)&amp;"")</f>
        <v/>
      </c>
      <c r="BI51" s="61" t="str">
        <f aca="false">IF($C51="","",INDEX(単元15!$H$5:$H$164,$C51)&amp;"")</f>
        <v/>
      </c>
      <c r="BJ51" s="61" t="str">
        <f aca="false">IF($C51="","",INDEX(単元16!$F$5:$F$164,$C51)&amp;"")</f>
        <v/>
      </c>
      <c r="BK51" s="61" t="str">
        <f aca="false">IF($C51="","",INDEX(単元16!$G$5:$G$164,$C51)&amp;"")</f>
        <v/>
      </c>
      <c r="BL51" s="61" t="str">
        <f aca="false">IF($C51="","",INDEX(単元16!$H$5:$H$164,$C51)&amp;"")</f>
        <v/>
      </c>
      <c r="BM51" s="61" t="str">
        <f aca="false">IF($C51="","",INDEX(単元17!$F$5:$F$164,$C51)&amp;"")</f>
        <v/>
      </c>
      <c r="BN51" s="61" t="str">
        <f aca="false">IF($C51="","",INDEX(単元17!$G$5:$G$164,$C51)&amp;"")</f>
        <v/>
      </c>
      <c r="BO51" s="61" t="str">
        <f aca="false">IF($C51="","",INDEX(単元17!$H$5:$H$164,$C51)&amp;"")</f>
        <v/>
      </c>
      <c r="BP51" s="61" t="str">
        <f aca="false">IF($C51="","",INDEX(単元18!$F$5:$F$164,$C51)&amp;"")</f>
        <v/>
      </c>
      <c r="BQ51" s="61" t="str">
        <f aca="false">IF($C51="","",INDEX(単元18!$G$5:$G$164,$C51)&amp;"")</f>
        <v/>
      </c>
      <c r="BR51" s="61" t="str">
        <f aca="false">IF($C51="","",INDEX(単元18!$H$5:$H$164,$C51)&amp;"")</f>
        <v/>
      </c>
      <c r="BS51" s="61" t="str">
        <f aca="false">IF($C51="","",INDEX(単元19!$F$5:$F$164,$C51)&amp;"")</f>
        <v/>
      </c>
      <c r="BT51" s="61" t="str">
        <f aca="false">IF($C51="","",INDEX(単元19!$G$5:$G$164,$C51)&amp;"")</f>
        <v/>
      </c>
      <c r="BU51" s="61" t="str">
        <f aca="false">IF($C51="","",INDEX(単元19!$H$5:$H$164,$C51)&amp;"")</f>
        <v/>
      </c>
      <c r="BV51" s="61" t="str">
        <f aca="false">IF($C51="","",INDEX(単元20!$F$5:$F$164,$C51)&amp;"")</f>
        <v/>
      </c>
      <c r="BW51" s="61" t="str">
        <f aca="false">IF($C51="","",INDEX(単元20!$G$5:$G$164,$C51)&amp;"")</f>
        <v/>
      </c>
      <c r="BX51" s="61" t="str">
        <f aca="false">IF($C51="","",INDEX(単元20!$H$5:$H$164,$C51)&amp;"")</f>
        <v/>
      </c>
    </row>
  </sheetData>
  <sheetProtection sheet="true" formatColumns="false" formatRows="false"/>
  <mergeCells count="51">
    <mergeCell ref="A1:L1"/>
    <mergeCell ref="D2:E2"/>
    <mergeCell ref="F2:H2"/>
    <mergeCell ref="A4:A6"/>
    <mergeCell ref="B4:B6"/>
    <mergeCell ref="D4:L4"/>
    <mergeCell ref="M4:O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  <mergeCell ref="AX4:AZ4"/>
    <mergeCell ref="BA4:BC4"/>
    <mergeCell ref="BD4:BF4"/>
    <mergeCell ref="BG4:BI4"/>
    <mergeCell ref="BJ4:BL4"/>
    <mergeCell ref="BM4:BO4"/>
    <mergeCell ref="BP4:BR4"/>
    <mergeCell ref="BS4:BU4"/>
    <mergeCell ref="BV4:BX4"/>
    <mergeCell ref="D5:F5"/>
    <mergeCell ref="G5:I5"/>
    <mergeCell ref="J5:L5"/>
    <mergeCell ref="M5:O5"/>
    <mergeCell ref="Q5:S5"/>
    <mergeCell ref="T5:V5"/>
    <mergeCell ref="W5:Y5"/>
    <mergeCell ref="Z5:AB5"/>
    <mergeCell ref="AC5:AE5"/>
    <mergeCell ref="AF5:AH5"/>
    <mergeCell ref="AI5:AK5"/>
    <mergeCell ref="AL5:AN5"/>
    <mergeCell ref="AO5:AQ5"/>
    <mergeCell ref="AR5:AT5"/>
    <mergeCell ref="AU5:AW5"/>
    <mergeCell ref="AX5:AZ5"/>
    <mergeCell ref="BA5:BC5"/>
    <mergeCell ref="BD5:BF5"/>
    <mergeCell ref="BG5:BI5"/>
    <mergeCell ref="BJ5:BL5"/>
    <mergeCell ref="BM5:BO5"/>
    <mergeCell ref="BP5:BR5"/>
    <mergeCell ref="BS5:BU5"/>
    <mergeCell ref="BV5:BX5"/>
  </mergeCells>
  <conditionalFormatting sqref="D7:L51">
    <cfRule type="expression" priority="2" aboveAverage="0" equalAverage="0" bottom="0" percent="0" rank="0" text="" dxfId="18">
      <formula>AND($C7&lt;&gt;"",D7=0)</formula>
    </cfRule>
    <cfRule type="expression" priority="3" aboveAverage="0" equalAverage="0" bottom="0" percent="0" rank="0" text="" dxfId="19">
      <formula>$C7&lt;&gt;""</formula>
    </cfRule>
  </conditionalFormatting>
  <conditionalFormatting sqref="M7:O51">
    <cfRule type="expression" priority="4" aboveAverage="0" equalAverage="0" bottom="0" percent="0" rank="0" text="" dxfId="12">
      <formula>AND($C7&lt;&gt;"",M7&lt;&gt;"",M7=設定!$G$10)</formula>
    </cfRule>
    <cfRule type="expression" priority="5" aboveAverage="0" equalAverage="0" bottom="0" percent="0" rank="0" text="" dxfId="20">
      <formula>AND($C7&lt;&gt;"",M7&lt;&gt;"",M7=設定!$G$8)</formula>
    </cfRule>
    <cfRule type="expression" priority="6" aboveAverage="0" equalAverage="0" bottom="0" percent="0" rank="0" text="" dxfId="21">
      <formula>$C7&lt;&gt;""</formula>
    </cfRule>
  </conditionalFormatting>
  <conditionalFormatting sqref="A7:A51">
    <cfRule type="expression" priority="7" aboveAverage="0" equalAverage="0" bottom="0" percent="0" rank="0" text="" dxfId="8">
      <formula>$C7&lt;&gt;""</formula>
    </cfRule>
  </conditionalFormatting>
  <conditionalFormatting sqref="B7:B51">
    <cfRule type="expression" priority="8" aboveAverage="0" equalAverage="0" bottom="0" percent="0" rank="0" text="" dxfId="22">
      <formula>AND($C7&lt;&gt;"",SUMPRODUCT(($T7:$BX7=設定!$G$10)*($Q7:$BU7=設定!$G$10))&gt;0)</formula>
    </cfRule>
    <cfRule type="expression" priority="9" aboveAverage="0" equalAverage="0" bottom="0" percent="0" rank="0" text="" dxfId="8">
      <formula>$C7&lt;&gt;""</formula>
    </cfRule>
  </conditionalFormatting>
  <conditionalFormatting sqref="Q7:Q51">
    <cfRule type="expression" priority="10" aboveAverage="0" equalAverage="0" bottom="0" percent="0" rank="0" text="" dxfId="23">
      <formula>AND(Q7&lt;&gt;"",Q7=設定!$G$10,T7=設定!$G$10)</formula>
    </cfRule>
    <cfRule type="expression" priority="11" aboveAverage="0" equalAverage="0" bottom="0" percent="0" rank="0" text="" dxfId="24">
      <formula>AND($C7&lt;&gt;"",($F$2&amp;"")&lt;&gt;"通年",Q$3&lt;&gt;($F$2&amp;""))</formula>
    </cfRule>
    <cfRule type="expression" priority="12" aboveAverage="0" equalAverage="0" bottom="0" percent="0" rank="0" text="" dxfId="25">
      <formula>AND(Q7&lt;&gt;"",Q7=設定!$G$10)</formula>
    </cfRule>
    <cfRule type="expression" priority="13" aboveAverage="0" equalAverage="0" bottom="0" percent="0" rank="0" text="" dxfId="26">
      <formula>AND(Q7&lt;&gt;"",Q7=設定!$G$8)</formula>
    </cfRule>
    <cfRule type="expression" priority="14" aboveAverage="0" equalAverage="0" bottom="0" percent="0" rank="0" text="" dxfId="27">
      <formula>$C7&lt;&gt;""</formula>
    </cfRule>
  </conditionalFormatting>
  <conditionalFormatting sqref="R7:S51">
    <cfRule type="expression" priority="15" aboveAverage="0" equalAverage="0" bottom="0" percent="0" rank="0" text="" dxfId="22">
      <formula>AND(R7&lt;&gt;"",R7=設定!$G$10,U7=設定!$G$10)</formula>
    </cfRule>
    <cfRule type="expression" priority="16" aboveAverage="0" equalAverage="0" bottom="0" percent="0" rank="0" text="" dxfId="28">
      <formula>AND($C7&lt;&gt;"",($F$2&amp;"")&lt;&gt;"通年",R$3&lt;&gt;($F$2&amp;""))</formula>
    </cfRule>
    <cfRule type="expression" priority="17" aboveAverage="0" equalAverage="0" bottom="0" percent="0" rank="0" text="" dxfId="12">
      <formula>AND(R7&lt;&gt;"",R7=設定!$G$10)</formula>
    </cfRule>
    <cfRule type="expression" priority="18" aboveAverage="0" equalAverage="0" bottom="0" percent="0" rank="0" text="" dxfId="16">
      <formula>AND(R7&lt;&gt;"",R7=設定!$G$8)</formula>
    </cfRule>
    <cfRule type="expression" priority="19" aboveAverage="0" equalAverage="0" bottom="0" percent="0" rank="0" text="" dxfId="8">
      <formula>$C7&lt;&gt;""</formula>
    </cfRule>
  </conditionalFormatting>
  <conditionalFormatting sqref="T7:T51 W7:W51 Z7:Z51 AC7:AC51 AF7:AF51 AI7:AI51 AL7:AL51 AO7:AO51 AR7:AR51 AU7:AU51 AX7:AX51 BA7:BA51 BD7:BD51 BG7:BG51 BJ7:BJ51 BM7:BM51 BP7:BP51 BS7:BS51 BV7:BV51">
    <cfRule type="expression" priority="20" aboveAverage="0" equalAverage="0" bottom="0" percent="0" rank="0" text="" dxfId="23">
      <formula>AND(T7&lt;&gt;"",T7=設定!$G$10,OR(Q7=設定!$G$10,W7=設定!$G$10))</formula>
    </cfRule>
    <cfRule type="expression" priority="21" aboveAverage="0" equalAverage="0" bottom="0" percent="0" rank="0" text="" dxfId="24">
      <formula>AND($C7&lt;&gt;"",($F$2&amp;"")&lt;&gt;"通年",T$3&lt;&gt;($F$2&amp;""))</formula>
    </cfRule>
    <cfRule type="expression" priority="22" aboveAverage="0" equalAverage="0" bottom="0" percent="0" rank="0" text="" dxfId="25">
      <formula>AND(T7&lt;&gt;"",T7=設定!$G$10)</formula>
    </cfRule>
    <cfRule type="expression" priority="23" aboveAverage="0" equalAverage="0" bottom="0" percent="0" rank="0" text="" dxfId="26">
      <formula>AND(T7&lt;&gt;"",T7=設定!$G$8)</formula>
    </cfRule>
    <cfRule type="expression" priority="24" aboveAverage="0" equalAverage="0" bottom="0" percent="0" rank="0" text="" dxfId="27">
      <formula>$C7&lt;&gt;""</formula>
    </cfRule>
  </conditionalFormatting>
  <conditionalFormatting sqref="U7:V51 X7:Y51 AA7:AB51 AD7:AE51 AG7:AH51 AJ7:AK51 AM7:AN51 AP7:AQ51 AS7:AT51 AV7:AW51 AY7:AZ51 BB7:BC51 BE7:BF51 BH7:BI51 BK7:BL51 BN7:BO51 BQ7:BR51 BT7:BU51 BW7:BX51">
    <cfRule type="expression" priority="25" aboveAverage="0" equalAverage="0" bottom="0" percent="0" rank="0" text="" dxfId="22">
      <formula>AND(U7&lt;&gt;"",U7=設定!$G$10,OR(R7=設定!$G$10,X7=設定!$G$10))</formula>
    </cfRule>
    <cfRule type="expression" priority="26" aboveAverage="0" equalAverage="0" bottom="0" percent="0" rank="0" text="" dxfId="28">
      <formula>AND($C7&lt;&gt;"",($F$2&amp;"")&lt;&gt;"通年",U$3&lt;&gt;($F$2&amp;""))</formula>
    </cfRule>
    <cfRule type="expression" priority="27" aboveAverage="0" equalAverage="0" bottom="0" percent="0" rank="0" text="" dxfId="12">
      <formula>AND(U7&lt;&gt;"",U7=設定!$G$10)</formula>
    </cfRule>
    <cfRule type="expression" priority="28" aboveAverage="0" equalAverage="0" bottom="0" percent="0" rank="0" text="" dxfId="16">
      <formula>AND(U7&lt;&gt;"",U7=設定!$G$8)</formula>
    </cfRule>
    <cfRule type="expression" priority="29" aboveAverage="0" equalAverage="0" bottom="0" percent="0" rank="0" text="" dxfId="8">
      <formula>$C7&lt;&gt;""</formula>
    </cfRule>
  </conditionalFormatting>
  <dataValidations count="2">
    <dataValidation allowBlank="false" error="一覧から選んでください。" errorStyle="stop" errorTitle="入力エラー" operator="between" showDropDown="false" showErrorMessage="true" showInputMessage="false" sqref="B2" type="list">
      <formula1>学級一覧</formula1>
      <formula2>0</formula2>
    </dataValidation>
    <dataValidation allowBlank="false" error="一覧から選んでください。" errorStyle="stop" errorTitle="入力エラー" operator="between" showDropDown="false" showErrorMessage="true" showInputMessage="false" sqref="F2" type="list">
      <formula1>学期選択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U50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pane xSplit="3" ySplit="5" topLeftCell="D6" activePane="bottomRight" state="frozen"/>
      <selection pane="topLeft" activeCell="A1" activeCellId="0" sqref="A1"/>
      <selection pane="topRight" activeCell="D1" activeCellId="0" sqref="D1"/>
      <selection pane="bottomLeft" activeCell="A6" activeCellId="0" sqref="A6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"/>
    <col collapsed="false" customWidth="true" hidden="false" outlineLevel="0" max="2" min="2" style="0" width="16"/>
    <col collapsed="false" customWidth="true" hidden="true" outlineLevel="0" max="3" min="3" style="0" width="13"/>
    <col collapsed="false" customWidth="true" hidden="false" outlineLevel="0" max="4" min="4" style="0" width="9"/>
    <col collapsed="false" customWidth="true" hidden="false" outlineLevel="0" max="5" min="5" style="0" width="34"/>
    <col collapsed="false" customWidth="true" hidden="false" outlineLevel="0" max="6" min="6" style="0" width="9"/>
    <col collapsed="false" customWidth="true" hidden="false" outlineLevel="0" max="7" min="7" style="0" width="34"/>
    <col collapsed="false" customWidth="true" hidden="false" outlineLevel="0" max="8" min="8" style="0" width="9"/>
    <col collapsed="false" customWidth="true" hidden="false" outlineLevel="0" max="9" min="9" style="0" width="34"/>
    <col collapsed="false" customWidth="true" hidden="false" outlineLevel="0" max="10" min="10" style="0" width="9"/>
    <col collapsed="false" customWidth="true" hidden="false" outlineLevel="0" max="11" min="11" style="0" width="34"/>
    <col collapsed="false" customWidth="true" hidden="false" outlineLevel="0" max="12" min="12" style="0" width="9"/>
    <col collapsed="false" customWidth="true" hidden="false" outlineLevel="0" max="13" min="13" style="0" width="34"/>
    <col collapsed="false" customWidth="true" hidden="false" outlineLevel="0" max="14" min="14" style="0" width="9"/>
    <col collapsed="false" customWidth="true" hidden="false" outlineLevel="0" max="15" min="15" style="0" width="34"/>
    <col collapsed="false" customWidth="true" hidden="false" outlineLevel="0" max="16" min="16" style="0" width="9"/>
    <col collapsed="false" customWidth="true" hidden="false" outlineLevel="0" max="17" min="17" style="0" width="34"/>
    <col collapsed="false" customWidth="true" hidden="false" outlineLevel="0" max="18" min="18" style="0" width="9"/>
    <col collapsed="false" customWidth="true" hidden="false" outlineLevel="0" max="19" min="19" style="0" width="34"/>
    <col collapsed="false" customWidth="true" hidden="false" outlineLevel="0" max="20" min="20" style="0" width="9"/>
    <col collapsed="false" customWidth="true" hidden="false" outlineLevel="0" max="21" min="21" style="0" width="34"/>
    <col collapsed="false" customWidth="true" hidden="false" outlineLevel="0" max="22" min="22" style="0" width="9"/>
    <col collapsed="false" customWidth="true" hidden="false" outlineLevel="0" max="23" min="23" style="0" width="34"/>
    <col collapsed="false" customWidth="true" hidden="false" outlineLevel="0" max="24" min="24" style="0" width="9"/>
    <col collapsed="false" customWidth="true" hidden="false" outlineLevel="0" max="25" min="25" style="0" width="34"/>
    <col collapsed="false" customWidth="true" hidden="false" outlineLevel="0" max="26" min="26" style="0" width="9"/>
    <col collapsed="false" customWidth="true" hidden="false" outlineLevel="0" max="27" min="27" style="0" width="34"/>
    <col collapsed="false" customWidth="true" hidden="false" outlineLevel="0" max="28" min="28" style="0" width="9"/>
    <col collapsed="false" customWidth="true" hidden="false" outlineLevel="0" max="29" min="29" style="0" width="34"/>
    <col collapsed="false" customWidth="true" hidden="false" outlineLevel="0" max="30" min="30" style="0" width="9"/>
    <col collapsed="false" customWidth="true" hidden="false" outlineLevel="0" max="31" min="31" style="0" width="34"/>
    <col collapsed="false" customWidth="true" hidden="false" outlineLevel="0" max="32" min="32" style="0" width="9"/>
    <col collapsed="false" customWidth="true" hidden="false" outlineLevel="0" max="33" min="33" style="0" width="34"/>
    <col collapsed="false" customWidth="true" hidden="false" outlineLevel="0" max="34" min="34" style="0" width="9"/>
    <col collapsed="false" customWidth="true" hidden="false" outlineLevel="0" max="35" min="35" style="0" width="34"/>
    <col collapsed="false" customWidth="true" hidden="false" outlineLevel="0" max="36" min="36" style="0" width="9"/>
    <col collapsed="false" customWidth="true" hidden="false" outlineLevel="0" max="37" min="37" style="0" width="34"/>
    <col collapsed="false" customWidth="true" hidden="false" outlineLevel="0" max="38" min="38" style="0" width="9"/>
    <col collapsed="false" customWidth="true" hidden="false" outlineLevel="0" max="39" min="39" style="0" width="34"/>
    <col collapsed="false" customWidth="true" hidden="false" outlineLevel="0" max="40" min="40" style="0" width="9"/>
    <col collapsed="false" customWidth="true" hidden="false" outlineLevel="0" max="41" min="41" style="0" width="34"/>
    <col collapsed="false" customWidth="true" hidden="false" outlineLevel="0" max="42" min="42" style="0" width="9"/>
    <col collapsed="false" customWidth="true" hidden="false" outlineLevel="0" max="43" min="43" style="0" width="34"/>
    <col collapsed="false" customWidth="true" hidden="true" outlineLevel="0" max="47" min="46" style="0" width="13"/>
  </cols>
  <sheetData>
    <row r="1" customFormat="false" ht="33.75" hidden="false" customHeight="true" outlineLevel="0" collapsed="false">
      <c r="A1" s="14" t="s">
        <v>147</v>
      </c>
      <c r="B1" s="14"/>
      <c r="C1" s="14"/>
      <c r="D1" s="14"/>
      <c r="E1" s="14"/>
      <c r="F1" s="14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</row>
    <row r="2" customFormat="false" ht="27.75" hidden="false" customHeight="true" outlineLevel="0" collapsed="false">
      <c r="A2" s="16" t="s">
        <v>121</v>
      </c>
      <c r="B2" s="69" t="s">
        <v>144</v>
      </c>
      <c r="C2" s="13"/>
      <c r="D2" s="16" t="s">
        <v>72</v>
      </c>
      <c r="E2" s="92" t="s">
        <v>79</v>
      </c>
      <c r="F2" s="103" t="str">
        <f aca="false">"→ "&amp;IF(($E$2&amp;"")="通年","全単元",$E$2&amp;IF(ISNUMBER($E$2),"学期",""))&amp;"の単元（"&amp;MAX($AU$6:$AU$25)&amp;"単元）を左から表示"</f>
        <v>→ 全単元の単元（0単元）を左から表示</v>
      </c>
      <c r="G2" s="103"/>
      <c r="H2" s="10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</row>
    <row r="3" customFormat="false" ht="15" hidden="true" customHeight="false" outlineLevel="0" collapsed="false">
      <c r="A3" s="13"/>
      <c r="B3" s="13"/>
      <c r="C3" s="13"/>
      <c r="D3" s="68" t="str">
        <f aca="false">IFERROR(INDEX($AT$6:$AT$25,MATCH(1,$AU$6:$AU$25,0)),"")</f>
        <v/>
      </c>
      <c r="E3" s="68" t="str">
        <f aca="false">D3</f>
        <v/>
      </c>
      <c r="F3" s="68" t="str">
        <f aca="false">IFERROR(INDEX($AT$6:$AT$25,MATCH(2,$AU$6:$AU$25,0)),"")</f>
        <v/>
      </c>
      <c r="G3" s="68" t="str">
        <f aca="false">F3</f>
        <v/>
      </c>
      <c r="H3" s="68" t="str">
        <f aca="false">IFERROR(INDEX($AT$6:$AT$25,MATCH(3,$AU$6:$AU$25,0)),"")</f>
        <v/>
      </c>
      <c r="I3" s="68" t="str">
        <f aca="false">H3</f>
        <v/>
      </c>
      <c r="J3" s="68" t="str">
        <f aca="false">IFERROR(INDEX($AT$6:$AT$25,MATCH(4,$AU$6:$AU$25,0)),"")</f>
        <v/>
      </c>
      <c r="K3" s="68" t="str">
        <f aca="false">J3</f>
        <v/>
      </c>
      <c r="L3" s="68" t="str">
        <f aca="false">IFERROR(INDEX($AT$6:$AT$25,MATCH(5,$AU$6:$AU$25,0)),"")</f>
        <v/>
      </c>
      <c r="M3" s="68" t="str">
        <f aca="false">L3</f>
        <v/>
      </c>
      <c r="N3" s="68" t="str">
        <f aca="false">IFERROR(INDEX($AT$6:$AT$25,MATCH(6,$AU$6:$AU$25,0)),"")</f>
        <v/>
      </c>
      <c r="O3" s="68" t="str">
        <f aca="false">N3</f>
        <v/>
      </c>
      <c r="P3" s="68" t="str">
        <f aca="false">IFERROR(INDEX($AT$6:$AT$25,MATCH(7,$AU$6:$AU$25,0)),"")</f>
        <v/>
      </c>
      <c r="Q3" s="68" t="str">
        <f aca="false">P3</f>
        <v/>
      </c>
      <c r="R3" s="68" t="str">
        <f aca="false">IFERROR(INDEX($AT$6:$AT$25,MATCH(8,$AU$6:$AU$25,0)),"")</f>
        <v/>
      </c>
      <c r="S3" s="68" t="str">
        <f aca="false">R3</f>
        <v/>
      </c>
      <c r="T3" s="68" t="str">
        <f aca="false">IFERROR(INDEX($AT$6:$AT$25,MATCH(9,$AU$6:$AU$25,0)),"")</f>
        <v/>
      </c>
      <c r="U3" s="68" t="str">
        <f aca="false">T3</f>
        <v/>
      </c>
      <c r="V3" s="68" t="str">
        <f aca="false">IFERROR(INDEX($AT$6:$AT$25,MATCH(10,$AU$6:$AU$25,0)),"")</f>
        <v/>
      </c>
      <c r="W3" s="68" t="str">
        <f aca="false">V3</f>
        <v/>
      </c>
      <c r="X3" s="68" t="str">
        <f aca="false">IFERROR(INDEX($AT$6:$AT$25,MATCH(11,$AU$6:$AU$25,0)),"")</f>
        <v/>
      </c>
      <c r="Y3" s="68" t="str">
        <f aca="false">X3</f>
        <v/>
      </c>
      <c r="Z3" s="68" t="str">
        <f aca="false">IFERROR(INDEX($AT$6:$AT$25,MATCH(12,$AU$6:$AU$25,0)),"")</f>
        <v/>
      </c>
      <c r="AA3" s="68" t="str">
        <f aca="false">Z3</f>
        <v/>
      </c>
      <c r="AB3" s="68" t="str">
        <f aca="false">IFERROR(INDEX($AT$6:$AT$25,MATCH(13,$AU$6:$AU$25,0)),"")</f>
        <v/>
      </c>
      <c r="AC3" s="68" t="str">
        <f aca="false">AB3</f>
        <v/>
      </c>
      <c r="AD3" s="68" t="str">
        <f aca="false">IFERROR(INDEX($AT$6:$AT$25,MATCH(14,$AU$6:$AU$25,0)),"")</f>
        <v/>
      </c>
      <c r="AE3" s="68" t="str">
        <f aca="false">AD3</f>
        <v/>
      </c>
      <c r="AF3" s="68" t="str">
        <f aca="false">IFERROR(INDEX($AT$6:$AT$25,MATCH(15,$AU$6:$AU$25,0)),"")</f>
        <v/>
      </c>
      <c r="AG3" s="68" t="str">
        <f aca="false">AF3</f>
        <v/>
      </c>
      <c r="AH3" s="68" t="str">
        <f aca="false">IFERROR(INDEX($AT$6:$AT$25,MATCH(16,$AU$6:$AU$25,0)),"")</f>
        <v/>
      </c>
      <c r="AI3" s="68" t="str">
        <f aca="false">AH3</f>
        <v/>
      </c>
      <c r="AJ3" s="68" t="str">
        <f aca="false">IFERROR(INDEX($AT$6:$AT$25,MATCH(17,$AU$6:$AU$25,0)),"")</f>
        <v/>
      </c>
      <c r="AK3" s="68" t="str">
        <f aca="false">AJ3</f>
        <v/>
      </c>
      <c r="AL3" s="68" t="str">
        <f aca="false">IFERROR(INDEX($AT$6:$AT$25,MATCH(18,$AU$6:$AU$25,0)),"")</f>
        <v/>
      </c>
      <c r="AM3" s="68" t="str">
        <f aca="false">AL3</f>
        <v/>
      </c>
      <c r="AN3" s="68" t="str">
        <f aca="false">IFERROR(INDEX($AT$6:$AT$25,MATCH(19,$AU$6:$AU$25,0)),"")</f>
        <v/>
      </c>
      <c r="AO3" s="68" t="str">
        <f aca="false">AN3</f>
        <v/>
      </c>
      <c r="AP3" s="68" t="str">
        <f aca="false">IFERROR(INDEX($AT$6:$AT$25,MATCH(20,$AU$6:$AU$25,0)),"")</f>
        <v/>
      </c>
      <c r="AQ3" s="68" t="str">
        <f aca="false">AP3</f>
        <v/>
      </c>
      <c r="AR3" s="13"/>
      <c r="AS3" s="13"/>
      <c r="AT3" s="13"/>
      <c r="AU3" s="13"/>
    </row>
    <row r="4" customFormat="false" ht="25.5" hidden="false" customHeight="true" outlineLevel="0" collapsed="false">
      <c r="A4" s="16" t="s">
        <v>122</v>
      </c>
      <c r="B4" s="16" t="s">
        <v>123</v>
      </c>
      <c r="C4" s="13"/>
      <c r="D4" s="104" t="str">
        <f aca="false">IF(D$3="","",D$3&amp;"　"&amp;INDEX(設定!$D$17:$D$36,D$3)&amp;IF(INDEX(設定!$C$17:$C$36,D$3)="","","（"&amp;INDEX(設定!$C$17:$C$36,D$3)&amp;IF(ISNUMBER(INDEX(設定!$C$17:$C$36,D$3)),"学期","")&amp;"）"))</f>
        <v/>
      </c>
      <c r="E4" s="104"/>
      <c r="F4" s="104" t="str">
        <f aca="false">IF(F$3="","",F$3&amp;"　"&amp;INDEX(設定!$D$17:$D$36,F$3)&amp;IF(INDEX(設定!$C$17:$C$36,F$3)="","","（"&amp;INDEX(設定!$C$17:$C$36,F$3)&amp;IF(ISNUMBER(INDEX(設定!$C$17:$C$36,F$3)),"学期","")&amp;"）"))</f>
        <v/>
      </c>
      <c r="G4" s="104"/>
      <c r="H4" s="104" t="str">
        <f aca="false">IF(H$3="","",H$3&amp;"　"&amp;INDEX(設定!$D$17:$D$36,H$3)&amp;IF(INDEX(設定!$C$17:$C$36,H$3)="","","（"&amp;INDEX(設定!$C$17:$C$36,H$3)&amp;IF(ISNUMBER(INDEX(設定!$C$17:$C$36,H$3)),"学期","")&amp;"）"))</f>
        <v/>
      </c>
      <c r="I4" s="104"/>
      <c r="J4" s="104" t="str">
        <f aca="false">IF(J$3="","",J$3&amp;"　"&amp;INDEX(設定!$D$17:$D$36,J$3)&amp;IF(INDEX(設定!$C$17:$C$36,J$3)="","","（"&amp;INDEX(設定!$C$17:$C$36,J$3)&amp;IF(ISNUMBER(INDEX(設定!$C$17:$C$36,J$3)),"学期","")&amp;"）"))</f>
        <v/>
      </c>
      <c r="K4" s="104"/>
      <c r="L4" s="104" t="str">
        <f aca="false">IF(L$3="","",L$3&amp;"　"&amp;INDEX(設定!$D$17:$D$36,L$3)&amp;IF(INDEX(設定!$C$17:$C$36,L$3)="","","（"&amp;INDEX(設定!$C$17:$C$36,L$3)&amp;IF(ISNUMBER(INDEX(設定!$C$17:$C$36,L$3)),"学期","")&amp;"）"))</f>
        <v/>
      </c>
      <c r="M4" s="104"/>
      <c r="N4" s="104" t="str">
        <f aca="false">IF(N$3="","",N$3&amp;"　"&amp;INDEX(設定!$D$17:$D$36,N$3)&amp;IF(INDEX(設定!$C$17:$C$36,N$3)="","","（"&amp;INDEX(設定!$C$17:$C$36,N$3)&amp;IF(ISNUMBER(INDEX(設定!$C$17:$C$36,N$3)),"学期","")&amp;"）"))</f>
        <v/>
      </c>
      <c r="O4" s="104"/>
      <c r="P4" s="104" t="str">
        <f aca="false">IF(P$3="","",P$3&amp;"　"&amp;INDEX(設定!$D$17:$D$36,P$3)&amp;IF(INDEX(設定!$C$17:$C$36,P$3)="","","（"&amp;INDEX(設定!$C$17:$C$36,P$3)&amp;IF(ISNUMBER(INDEX(設定!$C$17:$C$36,P$3)),"学期","")&amp;"）"))</f>
        <v/>
      </c>
      <c r="Q4" s="104"/>
      <c r="R4" s="104" t="str">
        <f aca="false">IF(R$3="","",R$3&amp;"　"&amp;INDEX(設定!$D$17:$D$36,R$3)&amp;IF(INDEX(設定!$C$17:$C$36,R$3)="","","（"&amp;INDEX(設定!$C$17:$C$36,R$3)&amp;IF(ISNUMBER(INDEX(設定!$C$17:$C$36,R$3)),"学期","")&amp;"）"))</f>
        <v/>
      </c>
      <c r="S4" s="104"/>
      <c r="T4" s="104" t="str">
        <f aca="false">IF(T$3="","",T$3&amp;"　"&amp;INDEX(設定!$D$17:$D$36,T$3)&amp;IF(INDEX(設定!$C$17:$C$36,T$3)="","","（"&amp;INDEX(設定!$C$17:$C$36,T$3)&amp;IF(ISNUMBER(INDEX(設定!$C$17:$C$36,T$3)),"学期","")&amp;"）"))</f>
        <v/>
      </c>
      <c r="U4" s="104"/>
      <c r="V4" s="104" t="str">
        <f aca="false">IF(V$3="","",V$3&amp;"　"&amp;INDEX(設定!$D$17:$D$36,V$3)&amp;IF(INDEX(設定!$C$17:$C$36,V$3)="","","（"&amp;INDEX(設定!$C$17:$C$36,V$3)&amp;IF(ISNUMBER(INDEX(設定!$C$17:$C$36,V$3)),"学期","")&amp;"）"))</f>
        <v/>
      </c>
      <c r="W4" s="104"/>
      <c r="X4" s="104" t="str">
        <f aca="false">IF(X$3="","",X$3&amp;"　"&amp;INDEX(設定!$D$17:$D$36,X$3)&amp;IF(INDEX(設定!$C$17:$C$36,X$3)="","","（"&amp;INDEX(設定!$C$17:$C$36,X$3)&amp;IF(ISNUMBER(INDEX(設定!$C$17:$C$36,X$3)),"学期","")&amp;"）"))</f>
        <v/>
      </c>
      <c r="Y4" s="104"/>
      <c r="Z4" s="104" t="str">
        <f aca="false">IF(Z$3="","",Z$3&amp;"　"&amp;INDEX(設定!$D$17:$D$36,Z$3)&amp;IF(INDEX(設定!$C$17:$C$36,Z$3)="","","（"&amp;INDEX(設定!$C$17:$C$36,Z$3)&amp;IF(ISNUMBER(INDEX(設定!$C$17:$C$36,Z$3)),"学期","")&amp;"）"))</f>
        <v/>
      </c>
      <c r="AA4" s="104"/>
      <c r="AB4" s="104" t="str">
        <f aca="false">IF(AB$3="","",AB$3&amp;"　"&amp;INDEX(設定!$D$17:$D$36,AB$3)&amp;IF(INDEX(設定!$C$17:$C$36,AB$3)="","","（"&amp;INDEX(設定!$C$17:$C$36,AB$3)&amp;IF(ISNUMBER(INDEX(設定!$C$17:$C$36,AB$3)),"学期","")&amp;"）"))</f>
        <v/>
      </c>
      <c r="AC4" s="104"/>
      <c r="AD4" s="104" t="str">
        <f aca="false">IF(AD$3="","",AD$3&amp;"　"&amp;INDEX(設定!$D$17:$D$36,AD$3)&amp;IF(INDEX(設定!$C$17:$C$36,AD$3)="","","（"&amp;INDEX(設定!$C$17:$C$36,AD$3)&amp;IF(ISNUMBER(INDEX(設定!$C$17:$C$36,AD$3)),"学期","")&amp;"）"))</f>
        <v/>
      </c>
      <c r="AE4" s="104"/>
      <c r="AF4" s="104" t="str">
        <f aca="false">IF(AF$3="","",AF$3&amp;"　"&amp;INDEX(設定!$D$17:$D$36,AF$3)&amp;IF(INDEX(設定!$C$17:$C$36,AF$3)="","","（"&amp;INDEX(設定!$C$17:$C$36,AF$3)&amp;IF(ISNUMBER(INDEX(設定!$C$17:$C$36,AF$3)),"学期","")&amp;"）"))</f>
        <v/>
      </c>
      <c r="AG4" s="104"/>
      <c r="AH4" s="104" t="str">
        <f aca="false">IF(AH$3="","",AH$3&amp;"　"&amp;INDEX(設定!$D$17:$D$36,AH$3)&amp;IF(INDEX(設定!$C$17:$C$36,AH$3)="","","（"&amp;INDEX(設定!$C$17:$C$36,AH$3)&amp;IF(ISNUMBER(INDEX(設定!$C$17:$C$36,AH$3)),"学期","")&amp;"）"))</f>
        <v/>
      </c>
      <c r="AI4" s="104"/>
      <c r="AJ4" s="104" t="str">
        <f aca="false">IF(AJ$3="","",AJ$3&amp;"　"&amp;INDEX(設定!$D$17:$D$36,AJ$3)&amp;IF(INDEX(設定!$C$17:$C$36,AJ$3)="","","（"&amp;INDEX(設定!$C$17:$C$36,AJ$3)&amp;IF(ISNUMBER(INDEX(設定!$C$17:$C$36,AJ$3)),"学期","")&amp;"）"))</f>
        <v/>
      </c>
      <c r="AK4" s="104"/>
      <c r="AL4" s="104" t="str">
        <f aca="false">IF(AL$3="","",AL$3&amp;"　"&amp;INDEX(設定!$D$17:$D$36,AL$3)&amp;IF(INDEX(設定!$C$17:$C$36,AL$3)="","","（"&amp;INDEX(設定!$C$17:$C$36,AL$3)&amp;IF(ISNUMBER(INDEX(設定!$C$17:$C$36,AL$3)),"学期","")&amp;"）"))</f>
        <v/>
      </c>
      <c r="AM4" s="104"/>
      <c r="AN4" s="104" t="str">
        <f aca="false">IF(AN$3="","",AN$3&amp;"　"&amp;INDEX(設定!$D$17:$D$36,AN$3)&amp;IF(INDEX(設定!$C$17:$C$36,AN$3)="","","（"&amp;INDEX(設定!$C$17:$C$36,AN$3)&amp;IF(ISNUMBER(INDEX(設定!$C$17:$C$36,AN$3)),"学期","")&amp;"）"))</f>
        <v/>
      </c>
      <c r="AO4" s="104"/>
      <c r="AP4" s="104" t="str">
        <f aca="false">IF(AP$3="","",AP$3&amp;"　"&amp;INDEX(設定!$D$17:$D$36,AP$3)&amp;IF(INDEX(設定!$C$17:$C$36,AP$3)="","","（"&amp;INDEX(設定!$C$17:$C$36,AP$3)&amp;IF(ISNUMBER(INDEX(設定!$C$17:$C$36,AP$3)),"学期","")&amp;"）"))</f>
        <v/>
      </c>
      <c r="AQ4" s="104"/>
      <c r="AR4" s="13"/>
      <c r="AS4" s="13"/>
      <c r="AT4" s="13"/>
      <c r="AU4" s="13"/>
    </row>
    <row r="5" customFormat="false" ht="18" hidden="false" customHeight="true" outlineLevel="0" collapsed="false">
      <c r="A5" s="16"/>
      <c r="B5" s="16"/>
      <c r="C5" s="13"/>
      <c r="D5" s="105" t="str">
        <f aca="false">IF(D$3="","","コース")</f>
        <v/>
      </c>
      <c r="E5" s="105" t="str">
        <f aca="false">IF(D$3="","","所見")</f>
        <v/>
      </c>
      <c r="F5" s="105" t="str">
        <f aca="false">IF(F$3="","","コース")</f>
        <v/>
      </c>
      <c r="G5" s="105" t="str">
        <f aca="false">IF(F$3="","","所見")</f>
        <v/>
      </c>
      <c r="H5" s="105" t="str">
        <f aca="false">IF(H$3="","","コース")</f>
        <v/>
      </c>
      <c r="I5" s="105" t="str">
        <f aca="false">IF(H$3="","","所見")</f>
        <v/>
      </c>
      <c r="J5" s="105" t="str">
        <f aca="false">IF(J$3="","","コース")</f>
        <v/>
      </c>
      <c r="K5" s="105" t="str">
        <f aca="false">IF(J$3="","","所見")</f>
        <v/>
      </c>
      <c r="L5" s="105" t="str">
        <f aca="false">IF(L$3="","","コース")</f>
        <v/>
      </c>
      <c r="M5" s="105" t="str">
        <f aca="false">IF(L$3="","","所見")</f>
        <v/>
      </c>
      <c r="N5" s="105" t="str">
        <f aca="false">IF(N$3="","","コース")</f>
        <v/>
      </c>
      <c r="O5" s="105" t="str">
        <f aca="false">IF(N$3="","","所見")</f>
        <v/>
      </c>
      <c r="P5" s="105" t="str">
        <f aca="false">IF(P$3="","","コース")</f>
        <v/>
      </c>
      <c r="Q5" s="105" t="str">
        <f aca="false">IF(P$3="","","所見")</f>
        <v/>
      </c>
      <c r="R5" s="105" t="str">
        <f aca="false">IF(R$3="","","コース")</f>
        <v/>
      </c>
      <c r="S5" s="105" t="str">
        <f aca="false">IF(R$3="","","所見")</f>
        <v/>
      </c>
      <c r="T5" s="105" t="str">
        <f aca="false">IF(T$3="","","コース")</f>
        <v/>
      </c>
      <c r="U5" s="105" t="str">
        <f aca="false">IF(T$3="","","所見")</f>
        <v/>
      </c>
      <c r="V5" s="105" t="str">
        <f aca="false">IF(V$3="","","コース")</f>
        <v/>
      </c>
      <c r="W5" s="105" t="str">
        <f aca="false">IF(V$3="","","所見")</f>
        <v/>
      </c>
      <c r="X5" s="105" t="str">
        <f aca="false">IF(X$3="","","コース")</f>
        <v/>
      </c>
      <c r="Y5" s="105" t="str">
        <f aca="false">IF(X$3="","","所見")</f>
        <v/>
      </c>
      <c r="Z5" s="105" t="str">
        <f aca="false">IF(Z$3="","","コース")</f>
        <v/>
      </c>
      <c r="AA5" s="105" t="str">
        <f aca="false">IF(Z$3="","","所見")</f>
        <v/>
      </c>
      <c r="AB5" s="105" t="str">
        <f aca="false">IF(AB$3="","","コース")</f>
        <v/>
      </c>
      <c r="AC5" s="105" t="str">
        <f aca="false">IF(AB$3="","","所見")</f>
        <v/>
      </c>
      <c r="AD5" s="105" t="str">
        <f aca="false">IF(AD$3="","","コース")</f>
        <v/>
      </c>
      <c r="AE5" s="105" t="str">
        <f aca="false">IF(AD$3="","","所見")</f>
        <v/>
      </c>
      <c r="AF5" s="105" t="str">
        <f aca="false">IF(AF$3="","","コース")</f>
        <v/>
      </c>
      <c r="AG5" s="105" t="str">
        <f aca="false">IF(AF$3="","","所見")</f>
        <v/>
      </c>
      <c r="AH5" s="105" t="str">
        <f aca="false">IF(AH$3="","","コース")</f>
        <v/>
      </c>
      <c r="AI5" s="105" t="str">
        <f aca="false">IF(AH$3="","","所見")</f>
        <v/>
      </c>
      <c r="AJ5" s="105" t="str">
        <f aca="false">IF(AJ$3="","","コース")</f>
        <v/>
      </c>
      <c r="AK5" s="105" t="str">
        <f aca="false">IF(AJ$3="","","所見")</f>
        <v/>
      </c>
      <c r="AL5" s="105" t="str">
        <f aca="false">IF(AL$3="","","コース")</f>
        <v/>
      </c>
      <c r="AM5" s="105" t="str">
        <f aca="false">IF(AL$3="","","所見")</f>
        <v/>
      </c>
      <c r="AN5" s="105" t="str">
        <f aca="false">IF(AN$3="","","コース")</f>
        <v/>
      </c>
      <c r="AO5" s="105" t="str">
        <f aca="false">IF(AN$3="","","所見")</f>
        <v/>
      </c>
      <c r="AP5" s="105" t="str">
        <f aca="false">IF(AP$3="","","コース")</f>
        <v/>
      </c>
      <c r="AQ5" s="105" t="str">
        <f aca="false">IF(AP$3="","","所見")</f>
        <v/>
      </c>
      <c r="AR5" s="13"/>
      <c r="AS5" s="13"/>
      <c r="AT5" s="13"/>
      <c r="AU5" s="13"/>
    </row>
    <row r="6" customFormat="false" ht="36" hidden="false" customHeight="true" outlineLevel="0" collapsed="false">
      <c r="A6" s="91" t="str">
        <f aca="false">IF($C6="","",INDEX(名簿!$C$5:$C$164,$C6))</f>
        <v/>
      </c>
      <c r="B6" s="59" t="str">
        <f aca="false">IF($C6="","",INDEX(名簿!$D$5:$D$164,$C6))</f>
        <v/>
      </c>
      <c r="C6" s="41" t="str">
        <f aca="false">IFERROR(MATCH($B$2&amp;"|"&amp;1,名簿!$G$5:$G$164,0),"")</f>
        <v/>
      </c>
      <c r="D6" s="105" t="str">
        <f aca="false">IF(OR($C6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6)&amp;"")</f>
        <v/>
      </c>
      <c r="E6" s="106" t="str">
        <f aca="false">IF(OR($C6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6)&amp;"")</f>
        <v/>
      </c>
      <c r="F6" s="105" t="str">
        <f aca="false">IF(OR($C6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6)&amp;"")</f>
        <v/>
      </c>
      <c r="G6" s="106" t="str">
        <f aca="false">IF(OR($C6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6)&amp;"")</f>
        <v/>
      </c>
      <c r="H6" s="105" t="str">
        <f aca="false">IF(OR($C6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6)&amp;"")</f>
        <v/>
      </c>
      <c r="I6" s="106" t="str">
        <f aca="false">IF(OR($C6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6)&amp;"")</f>
        <v/>
      </c>
      <c r="J6" s="105" t="str">
        <f aca="false">IF(OR($C6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6)&amp;"")</f>
        <v/>
      </c>
      <c r="K6" s="106" t="str">
        <f aca="false">IF(OR($C6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6)&amp;"")</f>
        <v/>
      </c>
      <c r="L6" s="105" t="str">
        <f aca="false">IF(OR($C6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6)&amp;"")</f>
        <v/>
      </c>
      <c r="M6" s="106" t="str">
        <f aca="false">IF(OR($C6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6)&amp;"")</f>
        <v/>
      </c>
      <c r="N6" s="105" t="str">
        <f aca="false">IF(OR($C6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6)&amp;"")</f>
        <v/>
      </c>
      <c r="O6" s="106" t="str">
        <f aca="false">IF(OR($C6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6)&amp;"")</f>
        <v/>
      </c>
      <c r="P6" s="105" t="str">
        <f aca="false">IF(OR($C6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6)&amp;"")</f>
        <v/>
      </c>
      <c r="Q6" s="106" t="str">
        <f aca="false">IF(OR($C6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6)&amp;"")</f>
        <v/>
      </c>
      <c r="R6" s="105" t="str">
        <f aca="false">IF(OR($C6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6)&amp;"")</f>
        <v/>
      </c>
      <c r="S6" s="106" t="str">
        <f aca="false">IF(OR($C6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6)&amp;"")</f>
        <v/>
      </c>
      <c r="T6" s="105" t="str">
        <f aca="false">IF(OR($C6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6)&amp;"")</f>
        <v/>
      </c>
      <c r="U6" s="106" t="str">
        <f aca="false">IF(OR($C6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6)&amp;"")</f>
        <v/>
      </c>
      <c r="V6" s="105" t="str">
        <f aca="false">IF(OR($C6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6)&amp;"")</f>
        <v/>
      </c>
      <c r="W6" s="106" t="str">
        <f aca="false">IF(OR($C6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6)&amp;"")</f>
        <v/>
      </c>
      <c r="X6" s="105" t="str">
        <f aca="false">IF(OR($C6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6)&amp;"")</f>
        <v/>
      </c>
      <c r="Y6" s="106" t="str">
        <f aca="false">IF(OR($C6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6)&amp;"")</f>
        <v/>
      </c>
      <c r="Z6" s="105" t="str">
        <f aca="false">IF(OR($C6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6)&amp;"")</f>
        <v/>
      </c>
      <c r="AA6" s="106" t="str">
        <f aca="false">IF(OR($C6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6)&amp;"")</f>
        <v/>
      </c>
      <c r="AB6" s="105" t="str">
        <f aca="false">IF(OR($C6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6)&amp;"")</f>
        <v/>
      </c>
      <c r="AC6" s="106" t="str">
        <f aca="false">IF(OR($C6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6)&amp;"")</f>
        <v/>
      </c>
      <c r="AD6" s="105" t="str">
        <f aca="false">IF(OR($C6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6)&amp;"")</f>
        <v/>
      </c>
      <c r="AE6" s="106" t="str">
        <f aca="false">IF(OR($C6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6)&amp;"")</f>
        <v/>
      </c>
      <c r="AF6" s="105" t="str">
        <f aca="false">IF(OR($C6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6)&amp;"")</f>
        <v/>
      </c>
      <c r="AG6" s="106" t="str">
        <f aca="false">IF(OR($C6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6)&amp;"")</f>
        <v/>
      </c>
      <c r="AH6" s="105" t="str">
        <f aca="false">IF(OR($C6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6)&amp;"")</f>
        <v/>
      </c>
      <c r="AI6" s="106" t="str">
        <f aca="false">IF(OR($C6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6)&amp;"")</f>
        <v/>
      </c>
      <c r="AJ6" s="105" t="str">
        <f aca="false">IF(OR($C6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6)&amp;"")</f>
        <v/>
      </c>
      <c r="AK6" s="106" t="str">
        <f aca="false">IF(OR($C6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6)&amp;"")</f>
        <v/>
      </c>
      <c r="AL6" s="105" t="str">
        <f aca="false">IF(OR($C6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6)&amp;"")</f>
        <v/>
      </c>
      <c r="AM6" s="106" t="str">
        <f aca="false">IF(OR($C6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6)&amp;"")</f>
        <v/>
      </c>
      <c r="AN6" s="105" t="str">
        <f aca="false">IF(OR($C6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6)&amp;"")</f>
        <v/>
      </c>
      <c r="AO6" s="106" t="str">
        <f aca="false">IF(OR($C6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6)&amp;"")</f>
        <v/>
      </c>
      <c r="AP6" s="105" t="str">
        <f aca="false">IF(OR($C6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6)&amp;"")</f>
        <v/>
      </c>
      <c r="AQ6" s="106" t="str">
        <f aca="false">IF(OR($C6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6)&amp;"")</f>
        <v/>
      </c>
      <c r="AR6" s="13"/>
      <c r="AT6" s="41" t="str">
        <f aca="false">IF(AND(設定!$D$17&lt;&gt;"",OR(($E$2&amp;"")="通年",(設定!$C$17&amp;"")=($E$2&amp;""))),1,"")</f>
        <v/>
      </c>
      <c r="AU6" s="107" t="str">
        <f aca="false">IF(AT6="","",COUNT($AT$6:AT6))</f>
        <v/>
      </c>
    </row>
    <row r="7" customFormat="false" ht="36" hidden="false" customHeight="true" outlineLevel="0" collapsed="false">
      <c r="A7" s="91" t="str">
        <f aca="false">IF($C7="","",INDEX(名簿!$C$5:$C$164,$C7))</f>
        <v/>
      </c>
      <c r="B7" s="59" t="str">
        <f aca="false">IF($C7="","",INDEX(名簿!$D$5:$D$164,$C7))</f>
        <v/>
      </c>
      <c r="C7" s="41" t="str">
        <f aca="false">IFERROR(MATCH($B$2&amp;"|"&amp;2,名簿!$G$5:$G$164,0),"")</f>
        <v/>
      </c>
      <c r="D7" s="105" t="str">
        <f aca="false">IF(OR($C7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7)&amp;"")</f>
        <v/>
      </c>
      <c r="E7" s="106" t="str">
        <f aca="false">IF(OR($C7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7)&amp;"")</f>
        <v/>
      </c>
      <c r="F7" s="105" t="str">
        <f aca="false">IF(OR($C7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7)&amp;"")</f>
        <v/>
      </c>
      <c r="G7" s="106" t="str">
        <f aca="false">IF(OR($C7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7)&amp;"")</f>
        <v/>
      </c>
      <c r="H7" s="105" t="str">
        <f aca="false">IF(OR($C7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7)&amp;"")</f>
        <v/>
      </c>
      <c r="I7" s="106" t="str">
        <f aca="false">IF(OR($C7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7)&amp;"")</f>
        <v/>
      </c>
      <c r="J7" s="105" t="str">
        <f aca="false">IF(OR($C7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7)&amp;"")</f>
        <v/>
      </c>
      <c r="K7" s="106" t="str">
        <f aca="false">IF(OR($C7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7)&amp;"")</f>
        <v/>
      </c>
      <c r="L7" s="105" t="str">
        <f aca="false">IF(OR($C7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7)&amp;"")</f>
        <v/>
      </c>
      <c r="M7" s="106" t="str">
        <f aca="false">IF(OR($C7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7)&amp;"")</f>
        <v/>
      </c>
      <c r="N7" s="105" t="str">
        <f aca="false">IF(OR($C7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7)&amp;"")</f>
        <v/>
      </c>
      <c r="O7" s="106" t="str">
        <f aca="false">IF(OR($C7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7)&amp;"")</f>
        <v/>
      </c>
      <c r="P7" s="105" t="str">
        <f aca="false">IF(OR($C7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7)&amp;"")</f>
        <v/>
      </c>
      <c r="Q7" s="106" t="str">
        <f aca="false">IF(OR($C7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7)&amp;"")</f>
        <v/>
      </c>
      <c r="R7" s="105" t="str">
        <f aca="false">IF(OR($C7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7)&amp;"")</f>
        <v/>
      </c>
      <c r="S7" s="106" t="str">
        <f aca="false">IF(OR($C7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7)&amp;"")</f>
        <v/>
      </c>
      <c r="T7" s="105" t="str">
        <f aca="false">IF(OR($C7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7)&amp;"")</f>
        <v/>
      </c>
      <c r="U7" s="106" t="str">
        <f aca="false">IF(OR($C7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7)&amp;"")</f>
        <v/>
      </c>
      <c r="V7" s="105" t="str">
        <f aca="false">IF(OR($C7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7)&amp;"")</f>
        <v/>
      </c>
      <c r="W7" s="106" t="str">
        <f aca="false">IF(OR($C7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7)&amp;"")</f>
        <v/>
      </c>
      <c r="X7" s="105" t="str">
        <f aca="false">IF(OR($C7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7)&amp;"")</f>
        <v/>
      </c>
      <c r="Y7" s="106" t="str">
        <f aca="false">IF(OR($C7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7)&amp;"")</f>
        <v/>
      </c>
      <c r="Z7" s="105" t="str">
        <f aca="false">IF(OR($C7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7)&amp;"")</f>
        <v/>
      </c>
      <c r="AA7" s="106" t="str">
        <f aca="false">IF(OR($C7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7)&amp;"")</f>
        <v/>
      </c>
      <c r="AB7" s="105" t="str">
        <f aca="false">IF(OR($C7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7)&amp;"")</f>
        <v/>
      </c>
      <c r="AC7" s="106" t="str">
        <f aca="false">IF(OR($C7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7)&amp;"")</f>
        <v/>
      </c>
      <c r="AD7" s="105" t="str">
        <f aca="false">IF(OR($C7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7)&amp;"")</f>
        <v/>
      </c>
      <c r="AE7" s="106" t="str">
        <f aca="false">IF(OR($C7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7)&amp;"")</f>
        <v/>
      </c>
      <c r="AF7" s="105" t="str">
        <f aca="false">IF(OR($C7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7)&amp;"")</f>
        <v/>
      </c>
      <c r="AG7" s="106" t="str">
        <f aca="false">IF(OR($C7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7)&amp;"")</f>
        <v/>
      </c>
      <c r="AH7" s="105" t="str">
        <f aca="false">IF(OR($C7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7)&amp;"")</f>
        <v/>
      </c>
      <c r="AI7" s="106" t="str">
        <f aca="false">IF(OR($C7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7)&amp;"")</f>
        <v/>
      </c>
      <c r="AJ7" s="105" t="str">
        <f aca="false">IF(OR($C7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7)&amp;"")</f>
        <v/>
      </c>
      <c r="AK7" s="106" t="str">
        <f aca="false">IF(OR($C7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7)&amp;"")</f>
        <v/>
      </c>
      <c r="AL7" s="105" t="str">
        <f aca="false">IF(OR($C7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7)&amp;"")</f>
        <v/>
      </c>
      <c r="AM7" s="106" t="str">
        <f aca="false">IF(OR($C7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7)&amp;"")</f>
        <v/>
      </c>
      <c r="AN7" s="105" t="str">
        <f aca="false">IF(OR($C7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7)&amp;"")</f>
        <v/>
      </c>
      <c r="AO7" s="106" t="str">
        <f aca="false">IF(OR($C7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7)&amp;"")</f>
        <v/>
      </c>
      <c r="AP7" s="105" t="str">
        <f aca="false">IF(OR($C7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7)&amp;"")</f>
        <v/>
      </c>
      <c r="AQ7" s="106" t="str">
        <f aca="false">IF(OR($C7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7)&amp;"")</f>
        <v/>
      </c>
      <c r="AR7" s="13"/>
      <c r="AT7" s="41" t="str">
        <f aca="false">IF(AND(設定!$D$18&lt;&gt;"",OR(($E$2&amp;"")="通年",(設定!$C$18&amp;"")=($E$2&amp;""))),2,"")</f>
        <v/>
      </c>
      <c r="AU7" s="107" t="str">
        <f aca="false">IF(AT7="","",COUNT($AT$6:AT7))</f>
        <v/>
      </c>
    </row>
    <row r="8" customFormat="false" ht="36" hidden="false" customHeight="true" outlineLevel="0" collapsed="false">
      <c r="A8" s="91" t="str">
        <f aca="false">IF($C8="","",INDEX(名簿!$C$5:$C$164,$C8))</f>
        <v/>
      </c>
      <c r="B8" s="59" t="str">
        <f aca="false">IF($C8="","",INDEX(名簿!$D$5:$D$164,$C8))</f>
        <v/>
      </c>
      <c r="C8" s="41" t="str">
        <f aca="false">IFERROR(MATCH($B$2&amp;"|"&amp;3,名簿!$G$5:$G$164,0),"")</f>
        <v/>
      </c>
      <c r="D8" s="105" t="str">
        <f aca="false">IF(OR($C8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8)&amp;"")</f>
        <v/>
      </c>
      <c r="E8" s="106" t="str">
        <f aca="false">IF(OR($C8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8)&amp;"")</f>
        <v/>
      </c>
      <c r="F8" s="105" t="str">
        <f aca="false">IF(OR($C8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8)&amp;"")</f>
        <v/>
      </c>
      <c r="G8" s="106" t="str">
        <f aca="false">IF(OR($C8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8)&amp;"")</f>
        <v/>
      </c>
      <c r="H8" s="105" t="str">
        <f aca="false">IF(OR($C8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8)&amp;"")</f>
        <v/>
      </c>
      <c r="I8" s="106" t="str">
        <f aca="false">IF(OR($C8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8)&amp;"")</f>
        <v/>
      </c>
      <c r="J8" s="105" t="str">
        <f aca="false">IF(OR($C8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8)&amp;"")</f>
        <v/>
      </c>
      <c r="K8" s="106" t="str">
        <f aca="false">IF(OR($C8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8)&amp;"")</f>
        <v/>
      </c>
      <c r="L8" s="105" t="str">
        <f aca="false">IF(OR($C8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8)&amp;"")</f>
        <v/>
      </c>
      <c r="M8" s="106" t="str">
        <f aca="false">IF(OR($C8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8)&amp;"")</f>
        <v/>
      </c>
      <c r="N8" s="105" t="str">
        <f aca="false">IF(OR($C8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8)&amp;"")</f>
        <v/>
      </c>
      <c r="O8" s="106" t="str">
        <f aca="false">IF(OR($C8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8)&amp;"")</f>
        <v/>
      </c>
      <c r="P8" s="105" t="str">
        <f aca="false">IF(OR($C8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8)&amp;"")</f>
        <v/>
      </c>
      <c r="Q8" s="106" t="str">
        <f aca="false">IF(OR($C8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8)&amp;"")</f>
        <v/>
      </c>
      <c r="R8" s="105" t="str">
        <f aca="false">IF(OR($C8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8)&amp;"")</f>
        <v/>
      </c>
      <c r="S8" s="106" t="str">
        <f aca="false">IF(OR($C8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8)&amp;"")</f>
        <v/>
      </c>
      <c r="T8" s="105" t="str">
        <f aca="false">IF(OR($C8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8)&amp;"")</f>
        <v/>
      </c>
      <c r="U8" s="106" t="str">
        <f aca="false">IF(OR($C8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8)&amp;"")</f>
        <v/>
      </c>
      <c r="V8" s="105" t="str">
        <f aca="false">IF(OR($C8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8)&amp;"")</f>
        <v/>
      </c>
      <c r="W8" s="106" t="str">
        <f aca="false">IF(OR($C8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8)&amp;"")</f>
        <v/>
      </c>
      <c r="X8" s="105" t="str">
        <f aca="false">IF(OR($C8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8)&amp;"")</f>
        <v/>
      </c>
      <c r="Y8" s="106" t="str">
        <f aca="false">IF(OR($C8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8)&amp;"")</f>
        <v/>
      </c>
      <c r="Z8" s="105" t="str">
        <f aca="false">IF(OR($C8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8)&amp;"")</f>
        <v/>
      </c>
      <c r="AA8" s="106" t="str">
        <f aca="false">IF(OR($C8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8)&amp;"")</f>
        <v/>
      </c>
      <c r="AB8" s="105" t="str">
        <f aca="false">IF(OR($C8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8)&amp;"")</f>
        <v/>
      </c>
      <c r="AC8" s="106" t="str">
        <f aca="false">IF(OR($C8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8)&amp;"")</f>
        <v/>
      </c>
      <c r="AD8" s="105" t="str">
        <f aca="false">IF(OR($C8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8)&amp;"")</f>
        <v/>
      </c>
      <c r="AE8" s="106" t="str">
        <f aca="false">IF(OR($C8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8)&amp;"")</f>
        <v/>
      </c>
      <c r="AF8" s="105" t="str">
        <f aca="false">IF(OR($C8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8)&amp;"")</f>
        <v/>
      </c>
      <c r="AG8" s="106" t="str">
        <f aca="false">IF(OR($C8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8)&amp;"")</f>
        <v/>
      </c>
      <c r="AH8" s="105" t="str">
        <f aca="false">IF(OR($C8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8)&amp;"")</f>
        <v/>
      </c>
      <c r="AI8" s="106" t="str">
        <f aca="false">IF(OR($C8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8)&amp;"")</f>
        <v/>
      </c>
      <c r="AJ8" s="105" t="str">
        <f aca="false">IF(OR($C8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8)&amp;"")</f>
        <v/>
      </c>
      <c r="AK8" s="106" t="str">
        <f aca="false">IF(OR($C8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8)&amp;"")</f>
        <v/>
      </c>
      <c r="AL8" s="105" t="str">
        <f aca="false">IF(OR($C8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8)&amp;"")</f>
        <v/>
      </c>
      <c r="AM8" s="106" t="str">
        <f aca="false">IF(OR($C8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8)&amp;"")</f>
        <v/>
      </c>
      <c r="AN8" s="105" t="str">
        <f aca="false">IF(OR($C8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8)&amp;"")</f>
        <v/>
      </c>
      <c r="AO8" s="106" t="str">
        <f aca="false">IF(OR($C8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8)&amp;"")</f>
        <v/>
      </c>
      <c r="AP8" s="105" t="str">
        <f aca="false">IF(OR($C8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8)&amp;"")</f>
        <v/>
      </c>
      <c r="AQ8" s="106" t="str">
        <f aca="false">IF(OR($C8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8)&amp;"")</f>
        <v/>
      </c>
      <c r="AR8" s="13"/>
      <c r="AT8" s="41" t="str">
        <f aca="false">IF(AND(設定!$D$19&lt;&gt;"",OR(($E$2&amp;"")="通年",(設定!$C$19&amp;"")=($E$2&amp;""))),3,"")</f>
        <v/>
      </c>
      <c r="AU8" s="107" t="str">
        <f aca="false">IF(AT8="","",COUNT($AT$6:AT8))</f>
        <v/>
      </c>
    </row>
    <row r="9" customFormat="false" ht="36" hidden="false" customHeight="true" outlineLevel="0" collapsed="false">
      <c r="A9" s="91" t="str">
        <f aca="false">IF($C9="","",INDEX(名簿!$C$5:$C$164,$C9))</f>
        <v/>
      </c>
      <c r="B9" s="59" t="str">
        <f aca="false">IF($C9="","",INDEX(名簿!$D$5:$D$164,$C9))</f>
        <v/>
      </c>
      <c r="C9" s="41" t="str">
        <f aca="false">IFERROR(MATCH($B$2&amp;"|"&amp;4,名簿!$G$5:$G$164,0),"")</f>
        <v/>
      </c>
      <c r="D9" s="105" t="str">
        <f aca="false">IF(OR($C9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9)&amp;"")</f>
        <v/>
      </c>
      <c r="E9" s="106" t="str">
        <f aca="false">IF(OR($C9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9)&amp;"")</f>
        <v/>
      </c>
      <c r="F9" s="105" t="str">
        <f aca="false">IF(OR($C9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9)&amp;"")</f>
        <v/>
      </c>
      <c r="G9" s="106" t="str">
        <f aca="false">IF(OR($C9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9)&amp;"")</f>
        <v/>
      </c>
      <c r="H9" s="105" t="str">
        <f aca="false">IF(OR($C9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9)&amp;"")</f>
        <v/>
      </c>
      <c r="I9" s="106" t="str">
        <f aca="false">IF(OR($C9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9)&amp;"")</f>
        <v/>
      </c>
      <c r="J9" s="105" t="str">
        <f aca="false">IF(OR($C9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9)&amp;"")</f>
        <v/>
      </c>
      <c r="K9" s="106" t="str">
        <f aca="false">IF(OR($C9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9)&amp;"")</f>
        <v/>
      </c>
      <c r="L9" s="105" t="str">
        <f aca="false">IF(OR($C9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9)&amp;"")</f>
        <v/>
      </c>
      <c r="M9" s="106" t="str">
        <f aca="false">IF(OR($C9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9)&amp;"")</f>
        <v/>
      </c>
      <c r="N9" s="105" t="str">
        <f aca="false">IF(OR($C9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9)&amp;"")</f>
        <v/>
      </c>
      <c r="O9" s="106" t="str">
        <f aca="false">IF(OR($C9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9)&amp;"")</f>
        <v/>
      </c>
      <c r="P9" s="105" t="str">
        <f aca="false">IF(OR($C9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9)&amp;"")</f>
        <v/>
      </c>
      <c r="Q9" s="106" t="str">
        <f aca="false">IF(OR($C9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9)&amp;"")</f>
        <v/>
      </c>
      <c r="R9" s="105" t="str">
        <f aca="false">IF(OR($C9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9)&amp;"")</f>
        <v/>
      </c>
      <c r="S9" s="106" t="str">
        <f aca="false">IF(OR($C9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9)&amp;"")</f>
        <v/>
      </c>
      <c r="T9" s="105" t="str">
        <f aca="false">IF(OR($C9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9)&amp;"")</f>
        <v/>
      </c>
      <c r="U9" s="106" t="str">
        <f aca="false">IF(OR($C9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9)&amp;"")</f>
        <v/>
      </c>
      <c r="V9" s="105" t="str">
        <f aca="false">IF(OR($C9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9)&amp;"")</f>
        <v/>
      </c>
      <c r="W9" s="106" t="str">
        <f aca="false">IF(OR($C9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9)&amp;"")</f>
        <v/>
      </c>
      <c r="X9" s="105" t="str">
        <f aca="false">IF(OR($C9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9)&amp;"")</f>
        <v/>
      </c>
      <c r="Y9" s="106" t="str">
        <f aca="false">IF(OR($C9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9)&amp;"")</f>
        <v/>
      </c>
      <c r="Z9" s="105" t="str">
        <f aca="false">IF(OR($C9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9)&amp;"")</f>
        <v/>
      </c>
      <c r="AA9" s="106" t="str">
        <f aca="false">IF(OR($C9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9)&amp;"")</f>
        <v/>
      </c>
      <c r="AB9" s="105" t="str">
        <f aca="false">IF(OR($C9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9)&amp;"")</f>
        <v/>
      </c>
      <c r="AC9" s="106" t="str">
        <f aca="false">IF(OR($C9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9)&amp;"")</f>
        <v/>
      </c>
      <c r="AD9" s="105" t="str">
        <f aca="false">IF(OR($C9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9)&amp;"")</f>
        <v/>
      </c>
      <c r="AE9" s="106" t="str">
        <f aca="false">IF(OR($C9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9)&amp;"")</f>
        <v/>
      </c>
      <c r="AF9" s="105" t="str">
        <f aca="false">IF(OR($C9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9)&amp;"")</f>
        <v/>
      </c>
      <c r="AG9" s="106" t="str">
        <f aca="false">IF(OR($C9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9)&amp;"")</f>
        <v/>
      </c>
      <c r="AH9" s="105" t="str">
        <f aca="false">IF(OR($C9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9)&amp;"")</f>
        <v/>
      </c>
      <c r="AI9" s="106" t="str">
        <f aca="false">IF(OR($C9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9)&amp;"")</f>
        <v/>
      </c>
      <c r="AJ9" s="105" t="str">
        <f aca="false">IF(OR($C9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9)&amp;"")</f>
        <v/>
      </c>
      <c r="AK9" s="106" t="str">
        <f aca="false">IF(OR($C9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9)&amp;"")</f>
        <v/>
      </c>
      <c r="AL9" s="105" t="str">
        <f aca="false">IF(OR($C9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9)&amp;"")</f>
        <v/>
      </c>
      <c r="AM9" s="106" t="str">
        <f aca="false">IF(OR($C9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9)&amp;"")</f>
        <v/>
      </c>
      <c r="AN9" s="105" t="str">
        <f aca="false">IF(OR($C9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9)&amp;"")</f>
        <v/>
      </c>
      <c r="AO9" s="106" t="str">
        <f aca="false">IF(OR($C9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9)&amp;"")</f>
        <v/>
      </c>
      <c r="AP9" s="105" t="str">
        <f aca="false">IF(OR($C9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9)&amp;"")</f>
        <v/>
      </c>
      <c r="AQ9" s="106" t="str">
        <f aca="false">IF(OR($C9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9)&amp;"")</f>
        <v/>
      </c>
      <c r="AR9" s="13"/>
      <c r="AT9" s="41" t="str">
        <f aca="false">IF(AND(設定!$D$20&lt;&gt;"",OR(($E$2&amp;"")="通年",(設定!$C$20&amp;"")=($E$2&amp;""))),4,"")</f>
        <v/>
      </c>
      <c r="AU9" s="107" t="str">
        <f aca="false">IF(AT9="","",COUNT($AT$6:AT9))</f>
        <v/>
      </c>
    </row>
    <row r="10" customFormat="false" ht="36" hidden="false" customHeight="true" outlineLevel="0" collapsed="false">
      <c r="A10" s="91" t="str">
        <f aca="false">IF($C10="","",INDEX(名簿!$C$5:$C$164,$C10))</f>
        <v/>
      </c>
      <c r="B10" s="59" t="str">
        <f aca="false">IF($C10="","",INDEX(名簿!$D$5:$D$164,$C10))</f>
        <v/>
      </c>
      <c r="C10" s="41" t="str">
        <f aca="false">IFERROR(MATCH($B$2&amp;"|"&amp;5,名簿!$G$5:$G$164,0),"")</f>
        <v/>
      </c>
      <c r="D10" s="105" t="str">
        <f aca="false">IF(OR($C10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10)&amp;"")</f>
        <v/>
      </c>
      <c r="E10" s="106" t="str">
        <f aca="false">IF(OR($C10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10)&amp;"")</f>
        <v/>
      </c>
      <c r="F10" s="105" t="str">
        <f aca="false">IF(OR($C10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10)&amp;"")</f>
        <v/>
      </c>
      <c r="G10" s="106" t="str">
        <f aca="false">IF(OR($C10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10)&amp;"")</f>
        <v/>
      </c>
      <c r="H10" s="105" t="str">
        <f aca="false">IF(OR($C10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10)&amp;"")</f>
        <v/>
      </c>
      <c r="I10" s="106" t="str">
        <f aca="false">IF(OR($C10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10)&amp;"")</f>
        <v/>
      </c>
      <c r="J10" s="105" t="str">
        <f aca="false">IF(OR($C10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10)&amp;"")</f>
        <v/>
      </c>
      <c r="K10" s="106" t="str">
        <f aca="false">IF(OR($C10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10)&amp;"")</f>
        <v/>
      </c>
      <c r="L10" s="105" t="str">
        <f aca="false">IF(OR($C10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10)&amp;"")</f>
        <v/>
      </c>
      <c r="M10" s="106" t="str">
        <f aca="false">IF(OR($C10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10)&amp;"")</f>
        <v/>
      </c>
      <c r="N10" s="105" t="str">
        <f aca="false">IF(OR($C10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10)&amp;"")</f>
        <v/>
      </c>
      <c r="O10" s="106" t="str">
        <f aca="false">IF(OR($C10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10)&amp;"")</f>
        <v/>
      </c>
      <c r="P10" s="105" t="str">
        <f aca="false">IF(OR($C10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10)&amp;"")</f>
        <v/>
      </c>
      <c r="Q10" s="106" t="str">
        <f aca="false">IF(OR($C10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10)&amp;"")</f>
        <v/>
      </c>
      <c r="R10" s="105" t="str">
        <f aca="false">IF(OR($C10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10)&amp;"")</f>
        <v/>
      </c>
      <c r="S10" s="106" t="str">
        <f aca="false">IF(OR($C10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10)&amp;"")</f>
        <v/>
      </c>
      <c r="T10" s="105" t="str">
        <f aca="false">IF(OR($C10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10)&amp;"")</f>
        <v/>
      </c>
      <c r="U10" s="106" t="str">
        <f aca="false">IF(OR($C10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10)&amp;"")</f>
        <v/>
      </c>
      <c r="V10" s="105" t="str">
        <f aca="false">IF(OR($C10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10)&amp;"")</f>
        <v/>
      </c>
      <c r="W10" s="106" t="str">
        <f aca="false">IF(OR($C10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10)&amp;"")</f>
        <v/>
      </c>
      <c r="X10" s="105" t="str">
        <f aca="false">IF(OR($C10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10)&amp;"")</f>
        <v/>
      </c>
      <c r="Y10" s="106" t="str">
        <f aca="false">IF(OR($C10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10)&amp;"")</f>
        <v/>
      </c>
      <c r="Z10" s="105" t="str">
        <f aca="false">IF(OR($C10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10)&amp;"")</f>
        <v/>
      </c>
      <c r="AA10" s="106" t="str">
        <f aca="false">IF(OR($C10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10)&amp;"")</f>
        <v/>
      </c>
      <c r="AB10" s="105" t="str">
        <f aca="false">IF(OR($C10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10)&amp;"")</f>
        <v/>
      </c>
      <c r="AC10" s="106" t="str">
        <f aca="false">IF(OR($C10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10)&amp;"")</f>
        <v/>
      </c>
      <c r="AD10" s="105" t="str">
        <f aca="false">IF(OR($C10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10)&amp;"")</f>
        <v/>
      </c>
      <c r="AE10" s="106" t="str">
        <f aca="false">IF(OR($C10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10)&amp;"")</f>
        <v/>
      </c>
      <c r="AF10" s="105" t="str">
        <f aca="false">IF(OR($C10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10)&amp;"")</f>
        <v/>
      </c>
      <c r="AG10" s="106" t="str">
        <f aca="false">IF(OR($C10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10)&amp;"")</f>
        <v/>
      </c>
      <c r="AH10" s="105" t="str">
        <f aca="false">IF(OR($C10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10)&amp;"")</f>
        <v/>
      </c>
      <c r="AI10" s="106" t="str">
        <f aca="false">IF(OR($C10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10)&amp;"")</f>
        <v/>
      </c>
      <c r="AJ10" s="105" t="str">
        <f aca="false">IF(OR($C10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10)&amp;"")</f>
        <v/>
      </c>
      <c r="AK10" s="106" t="str">
        <f aca="false">IF(OR($C10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10)&amp;"")</f>
        <v/>
      </c>
      <c r="AL10" s="105" t="str">
        <f aca="false">IF(OR($C10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10)&amp;"")</f>
        <v/>
      </c>
      <c r="AM10" s="106" t="str">
        <f aca="false">IF(OR($C10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10)&amp;"")</f>
        <v/>
      </c>
      <c r="AN10" s="105" t="str">
        <f aca="false">IF(OR($C10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10)&amp;"")</f>
        <v/>
      </c>
      <c r="AO10" s="106" t="str">
        <f aca="false">IF(OR($C10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10)&amp;"")</f>
        <v/>
      </c>
      <c r="AP10" s="105" t="str">
        <f aca="false">IF(OR($C10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10)&amp;"")</f>
        <v/>
      </c>
      <c r="AQ10" s="106" t="str">
        <f aca="false">IF(OR($C10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10)&amp;"")</f>
        <v/>
      </c>
      <c r="AR10" s="13"/>
      <c r="AT10" s="41" t="str">
        <f aca="false">IF(AND(設定!$D$21&lt;&gt;"",OR(($E$2&amp;"")="通年",(設定!$C$21&amp;"")=($E$2&amp;""))),5,"")</f>
        <v/>
      </c>
      <c r="AU10" s="107" t="str">
        <f aca="false">IF(AT10="","",COUNT($AT$6:AT10))</f>
        <v/>
      </c>
    </row>
    <row r="11" customFormat="false" ht="36" hidden="false" customHeight="true" outlineLevel="0" collapsed="false">
      <c r="A11" s="91" t="str">
        <f aca="false">IF($C11="","",INDEX(名簿!$C$5:$C$164,$C11))</f>
        <v/>
      </c>
      <c r="B11" s="59" t="str">
        <f aca="false">IF($C11="","",INDEX(名簿!$D$5:$D$164,$C11))</f>
        <v/>
      </c>
      <c r="C11" s="41" t="str">
        <f aca="false">IFERROR(MATCH($B$2&amp;"|"&amp;6,名簿!$G$5:$G$164,0),"")</f>
        <v/>
      </c>
      <c r="D11" s="105" t="str">
        <f aca="false">IF(OR($C11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11)&amp;"")</f>
        <v/>
      </c>
      <c r="E11" s="106" t="str">
        <f aca="false">IF(OR($C11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11)&amp;"")</f>
        <v/>
      </c>
      <c r="F11" s="105" t="str">
        <f aca="false">IF(OR($C11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11)&amp;"")</f>
        <v/>
      </c>
      <c r="G11" s="106" t="str">
        <f aca="false">IF(OR($C11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11)&amp;"")</f>
        <v/>
      </c>
      <c r="H11" s="105" t="str">
        <f aca="false">IF(OR($C11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11)&amp;"")</f>
        <v/>
      </c>
      <c r="I11" s="106" t="str">
        <f aca="false">IF(OR($C11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11)&amp;"")</f>
        <v/>
      </c>
      <c r="J11" s="105" t="str">
        <f aca="false">IF(OR($C11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11)&amp;"")</f>
        <v/>
      </c>
      <c r="K11" s="106" t="str">
        <f aca="false">IF(OR($C11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11)&amp;"")</f>
        <v/>
      </c>
      <c r="L11" s="105" t="str">
        <f aca="false">IF(OR($C11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11)&amp;"")</f>
        <v/>
      </c>
      <c r="M11" s="106" t="str">
        <f aca="false">IF(OR($C11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11)&amp;"")</f>
        <v/>
      </c>
      <c r="N11" s="105" t="str">
        <f aca="false">IF(OR($C11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11)&amp;"")</f>
        <v/>
      </c>
      <c r="O11" s="106" t="str">
        <f aca="false">IF(OR($C11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11)&amp;"")</f>
        <v/>
      </c>
      <c r="P11" s="105" t="str">
        <f aca="false">IF(OR($C11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11)&amp;"")</f>
        <v/>
      </c>
      <c r="Q11" s="106" t="str">
        <f aca="false">IF(OR($C11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11)&amp;"")</f>
        <v/>
      </c>
      <c r="R11" s="105" t="str">
        <f aca="false">IF(OR($C11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11)&amp;"")</f>
        <v/>
      </c>
      <c r="S11" s="106" t="str">
        <f aca="false">IF(OR($C11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11)&amp;"")</f>
        <v/>
      </c>
      <c r="T11" s="105" t="str">
        <f aca="false">IF(OR($C11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11)&amp;"")</f>
        <v/>
      </c>
      <c r="U11" s="106" t="str">
        <f aca="false">IF(OR($C11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11)&amp;"")</f>
        <v/>
      </c>
      <c r="V11" s="105" t="str">
        <f aca="false">IF(OR($C11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11)&amp;"")</f>
        <v/>
      </c>
      <c r="W11" s="106" t="str">
        <f aca="false">IF(OR($C11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11)&amp;"")</f>
        <v/>
      </c>
      <c r="X11" s="105" t="str">
        <f aca="false">IF(OR($C11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11)&amp;"")</f>
        <v/>
      </c>
      <c r="Y11" s="106" t="str">
        <f aca="false">IF(OR($C11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11)&amp;"")</f>
        <v/>
      </c>
      <c r="Z11" s="105" t="str">
        <f aca="false">IF(OR($C11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11)&amp;"")</f>
        <v/>
      </c>
      <c r="AA11" s="106" t="str">
        <f aca="false">IF(OR($C11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11)&amp;"")</f>
        <v/>
      </c>
      <c r="AB11" s="105" t="str">
        <f aca="false">IF(OR($C11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11)&amp;"")</f>
        <v/>
      </c>
      <c r="AC11" s="106" t="str">
        <f aca="false">IF(OR($C11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11)&amp;"")</f>
        <v/>
      </c>
      <c r="AD11" s="105" t="str">
        <f aca="false">IF(OR($C11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11)&amp;"")</f>
        <v/>
      </c>
      <c r="AE11" s="106" t="str">
        <f aca="false">IF(OR($C11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11)&amp;"")</f>
        <v/>
      </c>
      <c r="AF11" s="105" t="str">
        <f aca="false">IF(OR($C11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11)&amp;"")</f>
        <v/>
      </c>
      <c r="AG11" s="106" t="str">
        <f aca="false">IF(OR($C11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11)&amp;"")</f>
        <v/>
      </c>
      <c r="AH11" s="105" t="str">
        <f aca="false">IF(OR($C11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11)&amp;"")</f>
        <v/>
      </c>
      <c r="AI11" s="106" t="str">
        <f aca="false">IF(OR($C11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11)&amp;"")</f>
        <v/>
      </c>
      <c r="AJ11" s="105" t="str">
        <f aca="false">IF(OR($C11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11)&amp;"")</f>
        <v/>
      </c>
      <c r="AK11" s="106" t="str">
        <f aca="false">IF(OR($C11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11)&amp;"")</f>
        <v/>
      </c>
      <c r="AL11" s="105" t="str">
        <f aca="false">IF(OR($C11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11)&amp;"")</f>
        <v/>
      </c>
      <c r="AM11" s="106" t="str">
        <f aca="false">IF(OR($C11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11)&amp;"")</f>
        <v/>
      </c>
      <c r="AN11" s="105" t="str">
        <f aca="false">IF(OR($C11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11)&amp;"")</f>
        <v/>
      </c>
      <c r="AO11" s="106" t="str">
        <f aca="false">IF(OR($C11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11)&amp;"")</f>
        <v/>
      </c>
      <c r="AP11" s="105" t="str">
        <f aca="false">IF(OR($C11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11)&amp;"")</f>
        <v/>
      </c>
      <c r="AQ11" s="106" t="str">
        <f aca="false">IF(OR($C11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11)&amp;"")</f>
        <v/>
      </c>
      <c r="AR11" s="13"/>
      <c r="AT11" s="41" t="str">
        <f aca="false">IF(AND(設定!$D$22&lt;&gt;"",OR(($E$2&amp;"")="通年",(設定!$C$22&amp;"")=($E$2&amp;""))),6,"")</f>
        <v/>
      </c>
      <c r="AU11" s="107" t="str">
        <f aca="false">IF(AT11="","",COUNT($AT$6:AT11))</f>
        <v/>
      </c>
    </row>
    <row r="12" customFormat="false" ht="36" hidden="false" customHeight="true" outlineLevel="0" collapsed="false">
      <c r="A12" s="91" t="str">
        <f aca="false">IF($C12="","",INDEX(名簿!$C$5:$C$164,$C12))</f>
        <v/>
      </c>
      <c r="B12" s="59" t="str">
        <f aca="false">IF($C12="","",INDEX(名簿!$D$5:$D$164,$C12))</f>
        <v/>
      </c>
      <c r="C12" s="41" t="str">
        <f aca="false">IFERROR(MATCH($B$2&amp;"|"&amp;7,名簿!$G$5:$G$164,0),"")</f>
        <v/>
      </c>
      <c r="D12" s="105" t="str">
        <f aca="false">IF(OR($C12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12)&amp;"")</f>
        <v/>
      </c>
      <c r="E12" s="106" t="str">
        <f aca="false">IF(OR($C12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12)&amp;"")</f>
        <v/>
      </c>
      <c r="F12" s="105" t="str">
        <f aca="false">IF(OR($C12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12)&amp;"")</f>
        <v/>
      </c>
      <c r="G12" s="106" t="str">
        <f aca="false">IF(OR($C12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12)&amp;"")</f>
        <v/>
      </c>
      <c r="H12" s="105" t="str">
        <f aca="false">IF(OR($C12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12)&amp;"")</f>
        <v/>
      </c>
      <c r="I12" s="106" t="str">
        <f aca="false">IF(OR($C12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12)&amp;"")</f>
        <v/>
      </c>
      <c r="J12" s="105" t="str">
        <f aca="false">IF(OR($C12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12)&amp;"")</f>
        <v/>
      </c>
      <c r="K12" s="106" t="str">
        <f aca="false">IF(OR($C12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12)&amp;"")</f>
        <v/>
      </c>
      <c r="L12" s="105" t="str">
        <f aca="false">IF(OR($C12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12)&amp;"")</f>
        <v/>
      </c>
      <c r="M12" s="106" t="str">
        <f aca="false">IF(OR($C12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12)&amp;"")</f>
        <v/>
      </c>
      <c r="N12" s="105" t="str">
        <f aca="false">IF(OR($C12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12)&amp;"")</f>
        <v/>
      </c>
      <c r="O12" s="106" t="str">
        <f aca="false">IF(OR($C12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12)&amp;"")</f>
        <v/>
      </c>
      <c r="P12" s="105" t="str">
        <f aca="false">IF(OR($C12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12)&amp;"")</f>
        <v/>
      </c>
      <c r="Q12" s="106" t="str">
        <f aca="false">IF(OR($C12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12)&amp;"")</f>
        <v/>
      </c>
      <c r="R12" s="105" t="str">
        <f aca="false">IF(OR($C12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12)&amp;"")</f>
        <v/>
      </c>
      <c r="S12" s="106" t="str">
        <f aca="false">IF(OR($C12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12)&amp;"")</f>
        <v/>
      </c>
      <c r="T12" s="105" t="str">
        <f aca="false">IF(OR($C12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12)&amp;"")</f>
        <v/>
      </c>
      <c r="U12" s="106" t="str">
        <f aca="false">IF(OR($C12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12)&amp;"")</f>
        <v/>
      </c>
      <c r="V12" s="105" t="str">
        <f aca="false">IF(OR($C12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12)&amp;"")</f>
        <v/>
      </c>
      <c r="W12" s="106" t="str">
        <f aca="false">IF(OR($C12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12)&amp;"")</f>
        <v/>
      </c>
      <c r="X12" s="105" t="str">
        <f aca="false">IF(OR($C12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12)&amp;"")</f>
        <v/>
      </c>
      <c r="Y12" s="106" t="str">
        <f aca="false">IF(OR($C12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12)&amp;"")</f>
        <v/>
      </c>
      <c r="Z12" s="105" t="str">
        <f aca="false">IF(OR($C12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12)&amp;"")</f>
        <v/>
      </c>
      <c r="AA12" s="106" t="str">
        <f aca="false">IF(OR($C12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12)&amp;"")</f>
        <v/>
      </c>
      <c r="AB12" s="105" t="str">
        <f aca="false">IF(OR($C12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12)&amp;"")</f>
        <v/>
      </c>
      <c r="AC12" s="106" t="str">
        <f aca="false">IF(OR($C12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12)&amp;"")</f>
        <v/>
      </c>
      <c r="AD12" s="105" t="str">
        <f aca="false">IF(OR($C12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12)&amp;"")</f>
        <v/>
      </c>
      <c r="AE12" s="106" t="str">
        <f aca="false">IF(OR($C12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12)&amp;"")</f>
        <v/>
      </c>
      <c r="AF12" s="105" t="str">
        <f aca="false">IF(OR($C12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12)&amp;"")</f>
        <v/>
      </c>
      <c r="AG12" s="106" t="str">
        <f aca="false">IF(OR($C12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12)&amp;"")</f>
        <v/>
      </c>
      <c r="AH12" s="105" t="str">
        <f aca="false">IF(OR($C12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12)&amp;"")</f>
        <v/>
      </c>
      <c r="AI12" s="106" t="str">
        <f aca="false">IF(OR($C12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12)&amp;"")</f>
        <v/>
      </c>
      <c r="AJ12" s="105" t="str">
        <f aca="false">IF(OR($C12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12)&amp;"")</f>
        <v/>
      </c>
      <c r="AK12" s="106" t="str">
        <f aca="false">IF(OR($C12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12)&amp;"")</f>
        <v/>
      </c>
      <c r="AL12" s="105" t="str">
        <f aca="false">IF(OR($C12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12)&amp;"")</f>
        <v/>
      </c>
      <c r="AM12" s="106" t="str">
        <f aca="false">IF(OR($C12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12)&amp;"")</f>
        <v/>
      </c>
      <c r="AN12" s="105" t="str">
        <f aca="false">IF(OR($C12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12)&amp;"")</f>
        <v/>
      </c>
      <c r="AO12" s="106" t="str">
        <f aca="false">IF(OR($C12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12)&amp;"")</f>
        <v/>
      </c>
      <c r="AP12" s="105" t="str">
        <f aca="false">IF(OR($C12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12)&amp;"")</f>
        <v/>
      </c>
      <c r="AQ12" s="106" t="str">
        <f aca="false">IF(OR($C12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12)&amp;"")</f>
        <v/>
      </c>
      <c r="AR12" s="13"/>
      <c r="AT12" s="41" t="str">
        <f aca="false">IF(AND(設定!$D$23&lt;&gt;"",OR(($E$2&amp;"")="通年",(設定!$C$23&amp;"")=($E$2&amp;""))),7,"")</f>
        <v/>
      </c>
      <c r="AU12" s="107" t="str">
        <f aca="false">IF(AT12="","",COUNT($AT$6:AT12))</f>
        <v/>
      </c>
    </row>
    <row r="13" customFormat="false" ht="36" hidden="false" customHeight="true" outlineLevel="0" collapsed="false">
      <c r="A13" s="91" t="str">
        <f aca="false">IF($C13="","",INDEX(名簿!$C$5:$C$164,$C13))</f>
        <v/>
      </c>
      <c r="B13" s="59" t="str">
        <f aca="false">IF($C13="","",INDEX(名簿!$D$5:$D$164,$C13))</f>
        <v/>
      </c>
      <c r="C13" s="41" t="str">
        <f aca="false">IFERROR(MATCH($B$2&amp;"|"&amp;8,名簿!$G$5:$G$164,0),"")</f>
        <v/>
      </c>
      <c r="D13" s="105" t="str">
        <f aca="false">IF(OR($C13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13)&amp;"")</f>
        <v/>
      </c>
      <c r="E13" s="106" t="str">
        <f aca="false">IF(OR($C13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13)&amp;"")</f>
        <v/>
      </c>
      <c r="F13" s="105" t="str">
        <f aca="false">IF(OR($C13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13)&amp;"")</f>
        <v/>
      </c>
      <c r="G13" s="106" t="str">
        <f aca="false">IF(OR($C13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13)&amp;"")</f>
        <v/>
      </c>
      <c r="H13" s="105" t="str">
        <f aca="false">IF(OR($C13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13)&amp;"")</f>
        <v/>
      </c>
      <c r="I13" s="106" t="str">
        <f aca="false">IF(OR($C13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13)&amp;"")</f>
        <v/>
      </c>
      <c r="J13" s="105" t="str">
        <f aca="false">IF(OR($C13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13)&amp;"")</f>
        <v/>
      </c>
      <c r="K13" s="106" t="str">
        <f aca="false">IF(OR($C13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13)&amp;"")</f>
        <v/>
      </c>
      <c r="L13" s="105" t="str">
        <f aca="false">IF(OR($C13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13)&amp;"")</f>
        <v/>
      </c>
      <c r="M13" s="106" t="str">
        <f aca="false">IF(OR($C13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13)&amp;"")</f>
        <v/>
      </c>
      <c r="N13" s="105" t="str">
        <f aca="false">IF(OR($C13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13)&amp;"")</f>
        <v/>
      </c>
      <c r="O13" s="106" t="str">
        <f aca="false">IF(OR($C13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13)&amp;"")</f>
        <v/>
      </c>
      <c r="P13" s="105" t="str">
        <f aca="false">IF(OR($C13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13)&amp;"")</f>
        <v/>
      </c>
      <c r="Q13" s="106" t="str">
        <f aca="false">IF(OR($C13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13)&amp;"")</f>
        <v/>
      </c>
      <c r="R13" s="105" t="str">
        <f aca="false">IF(OR($C13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13)&amp;"")</f>
        <v/>
      </c>
      <c r="S13" s="106" t="str">
        <f aca="false">IF(OR($C13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13)&amp;"")</f>
        <v/>
      </c>
      <c r="T13" s="105" t="str">
        <f aca="false">IF(OR($C13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13)&amp;"")</f>
        <v/>
      </c>
      <c r="U13" s="106" t="str">
        <f aca="false">IF(OR($C13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13)&amp;"")</f>
        <v/>
      </c>
      <c r="V13" s="105" t="str">
        <f aca="false">IF(OR($C13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13)&amp;"")</f>
        <v/>
      </c>
      <c r="W13" s="106" t="str">
        <f aca="false">IF(OR($C13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13)&amp;"")</f>
        <v/>
      </c>
      <c r="X13" s="105" t="str">
        <f aca="false">IF(OR($C13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13)&amp;"")</f>
        <v/>
      </c>
      <c r="Y13" s="106" t="str">
        <f aca="false">IF(OR($C13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13)&amp;"")</f>
        <v/>
      </c>
      <c r="Z13" s="105" t="str">
        <f aca="false">IF(OR($C13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13)&amp;"")</f>
        <v/>
      </c>
      <c r="AA13" s="106" t="str">
        <f aca="false">IF(OR($C13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13)&amp;"")</f>
        <v/>
      </c>
      <c r="AB13" s="105" t="str">
        <f aca="false">IF(OR($C13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13)&amp;"")</f>
        <v/>
      </c>
      <c r="AC13" s="106" t="str">
        <f aca="false">IF(OR($C13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13)&amp;"")</f>
        <v/>
      </c>
      <c r="AD13" s="105" t="str">
        <f aca="false">IF(OR($C13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13)&amp;"")</f>
        <v/>
      </c>
      <c r="AE13" s="106" t="str">
        <f aca="false">IF(OR($C13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13)&amp;"")</f>
        <v/>
      </c>
      <c r="AF13" s="105" t="str">
        <f aca="false">IF(OR($C13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13)&amp;"")</f>
        <v/>
      </c>
      <c r="AG13" s="106" t="str">
        <f aca="false">IF(OR($C13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13)&amp;"")</f>
        <v/>
      </c>
      <c r="AH13" s="105" t="str">
        <f aca="false">IF(OR($C13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13)&amp;"")</f>
        <v/>
      </c>
      <c r="AI13" s="106" t="str">
        <f aca="false">IF(OR($C13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13)&amp;"")</f>
        <v/>
      </c>
      <c r="AJ13" s="105" t="str">
        <f aca="false">IF(OR($C13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13)&amp;"")</f>
        <v/>
      </c>
      <c r="AK13" s="106" t="str">
        <f aca="false">IF(OR($C13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13)&amp;"")</f>
        <v/>
      </c>
      <c r="AL13" s="105" t="str">
        <f aca="false">IF(OR($C13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13)&amp;"")</f>
        <v/>
      </c>
      <c r="AM13" s="106" t="str">
        <f aca="false">IF(OR($C13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13)&amp;"")</f>
        <v/>
      </c>
      <c r="AN13" s="105" t="str">
        <f aca="false">IF(OR($C13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13)&amp;"")</f>
        <v/>
      </c>
      <c r="AO13" s="106" t="str">
        <f aca="false">IF(OR($C13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13)&amp;"")</f>
        <v/>
      </c>
      <c r="AP13" s="105" t="str">
        <f aca="false">IF(OR($C13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13)&amp;"")</f>
        <v/>
      </c>
      <c r="AQ13" s="106" t="str">
        <f aca="false">IF(OR($C13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13)&amp;"")</f>
        <v/>
      </c>
      <c r="AR13" s="13"/>
      <c r="AT13" s="41" t="str">
        <f aca="false">IF(AND(設定!$D$24&lt;&gt;"",OR(($E$2&amp;"")="通年",(設定!$C$24&amp;"")=($E$2&amp;""))),8,"")</f>
        <v/>
      </c>
      <c r="AU13" s="107" t="str">
        <f aca="false">IF(AT13="","",COUNT($AT$6:AT13))</f>
        <v/>
      </c>
    </row>
    <row r="14" customFormat="false" ht="36" hidden="false" customHeight="true" outlineLevel="0" collapsed="false">
      <c r="A14" s="91" t="str">
        <f aca="false">IF($C14="","",INDEX(名簿!$C$5:$C$164,$C14))</f>
        <v/>
      </c>
      <c r="B14" s="59" t="str">
        <f aca="false">IF($C14="","",INDEX(名簿!$D$5:$D$164,$C14))</f>
        <v/>
      </c>
      <c r="C14" s="41" t="str">
        <f aca="false">IFERROR(MATCH($B$2&amp;"|"&amp;9,名簿!$G$5:$G$164,0),"")</f>
        <v/>
      </c>
      <c r="D14" s="105" t="str">
        <f aca="false">IF(OR($C14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14)&amp;"")</f>
        <v/>
      </c>
      <c r="E14" s="106" t="str">
        <f aca="false">IF(OR($C14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14)&amp;"")</f>
        <v/>
      </c>
      <c r="F14" s="105" t="str">
        <f aca="false">IF(OR($C14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14)&amp;"")</f>
        <v/>
      </c>
      <c r="G14" s="106" t="str">
        <f aca="false">IF(OR($C14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14)&amp;"")</f>
        <v/>
      </c>
      <c r="H14" s="105" t="str">
        <f aca="false">IF(OR($C14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14)&amp;"")</f>
        <v/>
      </c>
      <c r="I14" s="106" t="str">
        <f aca="false">IF(OR($C14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14)&amp;"")</f>
        <v/>
      </c>
      <c r="J14" s="105" t="str">
        <f aca="false">IF(OR($C14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14)&amp;"")</f>
        <v/>
      </c>
      <c r="K14" s="106" t="str">
        <f aca="false">IF(OR($C14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14)&amp;"")</f>
        <v/>
      </c>
      <c r="L14" s="105" t="str">
        <f aca="false">IF(OR($C14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14)&amp;"")</f>
        <v/>
      </c>
      <c r="M14" s="106" t="str">
        <f aca="false">IF(OR($C14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14)&amp;"")</f>
        <v/>
      </c>
      <c r="N14" s="105" t="str">
        <f aca="false">IF(OR($C14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14)&amp;"")</f>
        <v/>
      </c>
      <c r="O14" s="106" t="str">
        <f aca="false">IF(OR($C14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14)&amp;"")</f>
        <v/>
      </c>
      <c r="P14" s="105" t="str">
        <f aca="false">IF(OR($C14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14)&amp;"")</f>
        <v/>
      </c>
      <c r="Q14" s="106" t="str">
        <f aca="false">IF(OR($C14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14)&amp;"")</f>
        <v/>
      </c>
      <c r="R14" s="105" t="str">
        <f aca="false">IF(OR($C14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14)&amp;"")</f>
        <v/>
      </c>
      <c r="S14" s="106" t="str">
        <f aca="false">IF(OR($C14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14)&amp;"")</f>
        <v/>
      </c>
      <c r="T14" s="105" t="str">
        <f aca="false">IF(OR($C14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14)&amp;"")</f>
        <v/>
      </c>
      <c r="U14" s="106" t="str">
        <f aca="false">IF(OR($C14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14)&amp;"")</f>
        <v/>
      </c>
      <c r="V14" s="105" t="str">
        <f aca="false">IF(OR($C14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14)&amp;"")</f>
        <v/>
      </c>
      <c r="W14" s="106" t="str">
        <f aca="false">IF(OR($C14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14)&amp;"")</f>
        <v/>
      </c>
      <c r="X14" s="105" t="str">
        <f aca="false">IF(OR($C14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14)&amp;"")</f>
        <v/>
      </c>
      <c r="Y14" s="106" t="str">
        <f aca="false">IF(OR($C14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14)&amp;"")</f>
        <v/>
      </c>
      <c r="Z14" s="105" t="str">
        <f aca="false">IF(OR($C14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14)&amp;"")</f>
        <v/>
      </c>
      <c r="AA14" s="106" t="str">
        <f aca="false">IF(OR($C14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14)&amp;"")</f>
        <v/>
      </c>
      <c r="AB14" s="105" t="str">
        <f aca="false">IF(OR($C14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14)&amp;"")</f>
        <v/>
      </c>
      <c r="AC14" s="106" t="str">
        <f aca="false">IF(OR($C14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14)&amp;"")</f>
        <v/>
      </c>
      <c r="AD14" s="105" t="str">
        <f aca="false">IF(OR($C14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14)&amp;"")</f>
        <v/>
      </c>
      <c r="AE14" s="106" t="str">
        <f aca="false">IF(OR($C14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14)&amp;"")</f>
        <v/>
      </c>
      <c r="AF14" s="105" t="str">
        <f aca="false">IF(OR($C14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14)&amp;"")</f>
        <v/>
      </c>
      <c r="AG14" s="106" t="str">
        <f aca="false">IF(OR($C14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14)&amp;"")</f>
        <v/>
      </c>
      <c r="AH14" s="105" t="str">
        <f aca="false">IF(OR($C14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14)&amp;"")</f>
        <v/>
      </c>
      <c r="AI14" s="106" t="str">
        <f aca="false">IF(OR($C14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14)&amp;"")</f>
        <v/>
      </c>
      <c r="AJ14" s="105" t="str">
        <f aca="false">IF(OR($C14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14)&amp;"")</f>
        <v/>
      </c>
      <c r="AK14" s="106" t="str">
        <f aca="false">IF(OR($C14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14)&amp;"")</f>
        <v/>
      </c>
      <c r="AL14" s="105" t="str">
        <f aca="false">IF(OR($C14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14)&amp;"")</f>
        <v/>
      </c>
      <c r="AM14" s="106" t="str">
        <f aca="false">IF(OR($C14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14)&amp;"")</f>
        <v/>
      </c>
      <c r="AN14" s="105" t="str">
        <f aca="false">IF(OR($C14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14)&amp;"")</f>
        <v/>
      </c>
      <c r="AO14" s="106" t="str">
        <f aca="false">IF(OR($C14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14)&amp;"")</f>
        <v/>
      </c>
      <c r="AP14" s="105" t="str">
        <f aca="false">IF(OR($C14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14)&amp;"")</f>
        <v/>
      </c>
      <c r="AQ14" s="106" t="str">
        <f aca="false">IF(OR($C14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14)&amp;"")</f>
        <v/>
      </c>
      <c r="AR14" s="13"/>
      <c r="AT14" s="41" t="str">
        <f aca="false">IF(AND(設定!$D$25&lt;&gt;"",OR(($E$2&amp;"")="通年",(設定!$C$25&amp;"")=($E$2&amp;""))),9,"")</f>
        <v/>
      </c>
      <c r="AU14" s="107" t="str">
        <f aca="false">IF(AT14="","",COUNT($AT$6:AT14))</f>
        <v/>
      </c>
    </row>
    <row r="15" customFormat="false" ht="36" hidden="false" customHeight="true" outlineLevel="0" collapsed="false">
      <c r="A15" s="91" t="str">
        <f aca="false">IF($C15="","",INDEX(名簿!$C$5:$C$164,$C15))</f>
        <v/>
      </c>
      <c r="B15" s="59" t="str">
        <f aca="false">IF($C15="","",INDEX(名簿!$D$5:$D$164,$C15))</f>
        <v/>
      </c>
      <c r="C15" s="41" t="str">
        <f aca="false">IFERROR(MATCH($B$2&amp;"|"&amp;10,名簿!$G$5:$G$164,0),"")</f>
        <v/>
      </c>
      <c r="D15" s="105" t="str">
        <f aca="false">IF(OR($C15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15)&amp;"")</f>
        <v/>
      </c>
      <c r="E15" s="106" t="str">
        <f aca="false">IF(OR($C15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15)&amp;"")</f>
        <v/>
      </c>
      <c r="F15" s="105" t="str">
        <f aca="false">IF(OR($C15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15)&amp;"")</f>
        <v/>
      </c>
      <c r="G15" s="106" t="str">
        <f aca="false">IF(OR($C15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15)&amp;"")</f>
        <v/>
      </c>
      <c r="H15" s="105" t="str">
        <f aca="false">IF(OR($C15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15)&amp;"")</f>
        <v/>
      </c>
      <c r="I15" s="106" t="str">
        <f aca="false">IF(OR($C15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15)&amp;"")</f>
        <v/>
      </c>
      <c r="J15" s="105" t="str">
        <f aca="false">IF(OR($C15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15)&amp;"")</f>
        <v/>
      </c>
      <c r="K15" s="106" t="str">
        <f aca="false">IF(OR($C15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15)&amp;"")</f>
        <v/>
      </c>
      <c r="L15" s="105" t="str">
        <f aca="false">IF(OR($C15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15)&amp;"")</f>
        <v/>
      </c>
      <c r="M15" s="106" t="str">
        <f aca="false">IF(OR($C15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15)&amp;"")</f>
        <v/>
      </c>
      <c r="N15" s="105" t="str">
        <f aca="false">IF(OR($C15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15)&amp;"")</f>
        <v/>
      </c>
      <c r="O15" s="106" t="str">
        <f aca="false">IF(OR($C15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15)&amp;"")</f>
        <v/>
      </c>
      <c r="P15" s="105" t="str">
        <f aca="false">IF(OR($C15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15)&amp;"")</f>
        <v/>
      </c>
      <c r="Q15" s="106" t="str">
        <f aca="false">IF(OR($C15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15)&amp;"")</f>
        <v/>
      </c>
      <c r="R15" s="105" t="str">
        <f aca="false">IF(OR($C15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15)&amp;"")</f>
        <v/>
      </c>
      <c r="S15" s="106" t="str">
        <f aca="false">IF(OR($C15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15)&amp;"")</f>
        <v/>
      </c>
      <c r="T15" s="105" t="str">
        <f aca="false">IF(OR($C15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15)&amp;"")</f>
        <v/>
      </c>
      <c r="U15" s="106" t="str">
        <f aca="false">IF(OR($C15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15)&amp;"")</f>
        <v/>
      </c>
      <c r="V15" s="105" t="str">
        <f aca="false">IF(OR($C15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15)&amp;"")</f>
        <v/>
      </c>
      <c r="W15" s="106" t="str">
        <f aca="false">IF(OR($C15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15)&amp;"")</f>
        <v/>
      </c>
      <c r="X15" s="105" t="str">
        <f aca="false">IF(OR($C15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15)&amp;"")</f>
        <v/>
      </c>
      <c r="Y15" s="106" t="str">
        <f aca="false">IF(OR($C15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15)&amp;"")</f>
        <v/>
      </c>
      <c r="Z15" s="105" t="str">
        <f aca="false">IF(OR($C15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15)&amp;"")</f>
        <v/>
      </c>
      <c r="AA15" s="106" t="str">
        <f aca="false">IF(OR($C15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15)&amp;"")</f>
        <v/>
      </c>
      <c r="AB15" s="105" t="str">
        <f aca="false">IF(OR($C15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15)&amp;"")</f>
        <v/>
      </c>
      <c r="AC15" s="106" t="str">
        <f aca="false">IF(OR($C15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15)&amp;"")</f>
        <v/>
      </c>
      <c r="AD15" s="105" t="str">
        <f aca="false">IF(OR($C15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15)&amp;"")</f>
        <v/>
      </c>
      <c r="AE15" s="106" t="str">
        <f aca="false">IF(OR($C15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15)&amp;"")</f>
        <v/>
      </c>
      <c r="AF15" s="105" t="str">
        <f aca="false">IF(OR($C15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15)&amp;"")</f>
        <v/>
      </c>
      <c r="AG15" s="106" t="str">
        <f aca="false">IF(OR($C15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15)&amp;"")</f>
        <v/>
      </c>
      <c r="AH15" s="105" t="str">
        <f aca="false">IF(OR($C15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15)&amp;"")</f>
        <v/>
      </c>
      <c r="AI15" s="106" t="str">
        <f aca="false">IF(OR($C15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15)&amp;"")</f>
        <v/>
      </c>
      <c r="AJ15" s="105" t="str">
        <f aca="false">IF(OR($C15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15)&amp;"")</f>
        <v/>
      </c>
      <c r="AK15" s="106" t="str">
        <f aca="false">IF(OR($C15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15)&amp;"")</f>
        <v/>
      </c>
      <c r="AL15" s="105" t="str">
        <f aca="false">IF(OR($C15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15)&amp;"")</f>
        <v/>
      </c>
      <c r="AM15" s="106" t="str">
        <f aca="false">IF(OR($C15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15)&amp;"")</f>
        <v/>
      </c>
      <c r="AN15" s="105" t="str">
        <f aca="false">IF(OR($C15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15)&amp;"")</f>
        <v/>
      </c>
      <c r="AO15" s="106" t="str">
        <f aca="false">IF(OR($C15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15)&amp;"")</f>
        <v/>
      </c>
      <c r="AP15" s="105" t="str">
        <f aca="false">IF(OR($C15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15)&amp;"")</f>
        <v/>
      </c>
      <c r="AQ15" s="106" t="str">
        <f aca="false">IF(OR($C15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15)&amp;"")</f>
        <v/>
      </c>
      <c r="AR15" s="13"/>
      <c r="AT15" s="41" t="str">
        <f aca="false">IF(AND(設定!$D$26&lt;&gt;"",OR(($E$2&amp;"")="通年",(設定!$C$26&amp;"")=($E$2&amp;""))),10,"")</f>
        <v/>
      </c>
      <c r="AU15" s="107" t="str">
        <f aca="false">IF(AT15="","",COUNT($AT$6:AT15))</f>
        <v/>
      </c>
    </row>
    <row r="16" customFormat="false" ht="36" hidden="false" customHeight="true" outlineLevel="0" collapsed="false">
      <c r="A16" s="91" t="str">
        <f aca="false">IF($C16="","",INDEX(名簿!$C$5:$C$164,$C16))</f>
        <v/>
      </c>
      <c r="B16" s="59" t="str">
        <f aca="false">IF($C16="","",INDEX(名簿!$D$5:$D$164,$C16))</f>
        <v/>
      </c>
      <c r="C16" s="41" t="str">
        <f aca="false">IFERROR(MATCH($B$2&amp;"|"&amp;11,名簿!$G$5:$G$164,0),"")</f>
        <v/>
      </c>
      <c r="D16" s="105" t="str">
        <f aca="false">IF(OR($C16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16)&amp;"")</f>
        <v/>
      </c>
      <c r="E16" s="106" t="str">
        <f aca="false">IF(OR($C16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16)&amp;"")</f>
        <v/>
      </c>
      <c r="F16" s="105" t="str">
        <f aca="false">IF(OR($C16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16)&amp;"")</f>
        <v/>
      </c>
      <c r="G16" s="106" t="str">
        <f aca="false">IF(OR($C16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16)&amp;"")</f>
        <v/>
      </c>
      <c r="H16" s="105" t="str">
        <f aca="false">IF(OR($C16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16)&amp;"")</f>
        <v/>
      </c>
      <c r="I16" s="106" t="str">
        <f aca="false">IF(OR($C16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16)&amp;"")</f>
        <v/>
      </c>
      <c r="J16" s="105" t="str">
        <f aca="false">IF(OR($C16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16)&amp;"")</f>
        <v/>
      </c>
      <c r="K16" s="106" t="str">
        <f aca="false">IF(OR($C16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16)&amp;"")</f>
        <v/>
      </c>
      <c r="L16" s="105" t="str">
        <f aca="false">IF(OR($C16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16)&amp;"")</f>
        <v/>
      </c>
      <c r="M16" s="106" t="str">
        <f aca="false">IF(OR($C16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16)&amp;"")</f>
        <v/>
      </c>
      <c r="N16" s="105" t="str">
        <f aca="false">IF(OR($C16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16)&amp;"")</f>
        <v/>
      </c>
      <c r="O16" s="106" t="str">
        <f aca="false">IF(OR($C16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16)&amp;"")</f>
        <v/>
      </c>
      <c r="P16" s="105" t="str">
        <f aca="false">IF(OR($C16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16)&amp;"")</f>
        <v/>
      </c>
      <c r="Q16" s="106" t="str">
        <f aca="false">IF(OR($C16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16)&amp;"")</f>
        <v/>
      </c>
      <c r="R16" s="105" t="str">
        <f aca="false">IF(OR($C16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16)&amp;"")</f>
        <v/>
      </c>
      <c r="S16" s="106" t="str">
        <f aca="false">IF(OR($C16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16)&amp;"")</f>
        <v/>
      </c>
      <c r="T16" s="105" t="str">
        <f aca="false">IF(OR($C16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16)&amp;"")</f>
        <v/>
      </c>
      <c r="U16" s="106" t="str">
        <f aca="false">IF(OR($C16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16)&amp;"")</f>
        <v/>
      </c>
      <c r="V16" s="105" t="str">
        <f aca="false">IF(OR($C16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16)&amp;"")</f>
        <v/>
      </c>
      <c r="W16" s="106" t="str">
        <f aca="false">IF(OR($C16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16)&amp;"")</f>
        <v/>
      </c>
      <c r="X16" s="105" t="str">
        <f aca="false">IF(OR($C16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16)&amp;"")</f>
        <v/>
      </c>
      <c r="Y16" s="106" t="str">
        <f aca="false">IF(OR($C16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16)&amp;"")</f>
        <v/>
      </c>
      <c r="Z16" s="105" t="str">
        <f aca="false">IF(OR($C16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16)&amp;"")</f>
        <v/>
      </c>
      <c r="AA16" s="106" t="str">
        <f aca="false">IF(OR($C16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16)&amp;"")</f>
        <v/>
      </c>
      <c r="AB16" s="105" t="str">
        <f aca="false">IF(OR($C16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16)&amp;"")</f>
        <v/>
      </c>
      <c r="AC16" s="106" t="str">
        <f aca="false">IF(OR($C16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16)&amp;"")</f>
        <v/>
      </c>
      <c r="AD16" s="105" t="str">
        <f aca="false">IF(OR($C16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16)&amp;"")</f>
        <v/>
      </c>
      <c r="AE16" s="106" t="str">
        <f aca="false">IF(OR($C16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16)&amp;"")</f>
        <v/>
      </c>
      <c r="AF16" s="105" t="str">
        <f aca="false">IF(OR($C16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16)&amp;"")</f>
        <v/>
      </c>
      <c r="AG16" s="106" t="str">
        <f aca="false">IF(OR($C16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16)&amp;"")</f>
        <v/>
      </c>
      <c r="AH16" s="105" t="str">
        <f aca="false">IF(OR($C16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16)&amp;"")</f>
        <v/>
      </c>
      <c r="AI16" s="106" t="str">
        <f aca="false">IF(OR($C16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16)&amp;"")</f>
        <v/>
      </c>
      <c r="AJ16" s="105" t="str">
        <f aca="false">IF(OR($C16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16)&amp;"")</f>
        <v/>
      </c>
      <c r="AK16" s="106" t="str">
        <f aca="false">IF(OR($C16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16)&amp;"")</f>
        <v/>
      </c>
      <c r="AL16" s="105" t="str">
        <f aca="false">IF(OR($C16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16)&amp;"")</f>
        <v/>
      </c>
      <c r="AM16" s="106" t="str">
        <f aca="false">IF(OR($C16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16)&amp;"")</f>
        <v/>
      </c>
      <c r="AN16" s="105" t="str">
        <f aca="false">IF(OR($C16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16)&amp;"")</f>
        <v/>
      </c>
      <c r="AO16" s="106" t="str">
        <f aca="false">IF(OR($C16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16)&amp;"")</f>
        <v/>
      </c>
      <c r="AP16" s="105" t="str">
        <f aca="false">IF(OR($C16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16)&amp;"")</f>
        <v/>
      </c>
      <c r="AQ16" s="106" t="str">
        <f aca="false">IF(OR($C16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16)&amp;"")</f>
        <v/>
      </c>
      <c r="AR16" s="13"/>
      <c r="AT16" s="41" t="str">
        <f aca="false">IF(AND(設定!$D$27&lt;&gt;"",OR(($E$2&amp;"")="通年",(設定!$C$27&amp;"")=($E$2&amp;""))),11,"")</f>
        <v/>
      </c>
      <c r="AU16" s="107" t="str">
        <f aca="false">IF(AT16="","",COUNT($AT$6:AT16))</f>
        <v/>
      </c>
    </row>
    <row r="17" customFormat="false" ht="36" hidden="false" customHeight="true" outlineLevel="0" collapsed="false">
      <c r="A17" s="91" t="str">
        <f aca="false">IF($C17="","",INDEX(名簿!$C$5:$C$164,$C17))</f>
        <v/>
      </c>
      <c r="B17" s="59" t="str">
        <f aca="false">IF($C17="","",INDEX(名簿!$D$5:$D$164,$C17))</f>
        <v/>
      </c>
      <c r="C17" s="41" t="str">
        <f aca="false">IFERROR(MATCH($B$2&amp;"|"&amp;12,名簿!$G$5:$G$164,0),"")</f>
        <v/>
      </c>
      <c r="D17" s="105" t="str">
        <f aca="false">IF(OR($C17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17)&amp;"")</f>
        <v/>
      </c>
      <c r="E17" s="106" t="str">
        <f aca="false">IF(OR($C17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17)&amp;"")</f>
        <v/>
      </c>
      <c r="F17" s="105" t="str">
        <f aca="false">IF(OR($C17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17)&amp;"")</f>
        <v/>
      </c>
      <c r="G17" s="106" t="str">
        <f aca="false">IF(OR($C17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17)&amp;"")</f>
        <v/>
      </c>
      <c r="H17" s="105" t="str">
        <f aca="false">IF(OR($C17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17)&amp;"")</f>
        <v/>
      </c>
      <c r="I17" s="106" t="str">
        <f aca="false">IF(OR($C17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17)&amp;"")</f>
        <v/>
      </c>
      <c r="J17" s="105" t="str">
        <f aca="false">IF(OR($C17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17)&amp;"")</f>
        <v/>
      </c>
      <c r="K17" s="106" t="str">
        <f aca="false">IF(OR($C17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17)&amp;"")</f>
        <v/>
      </c>
      <c r="L17" s="105" t="str">
        <f aca="false">IF(OR($C17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17)&amp;"")</f>
        <v/>
      </c>
      <c r="M17" s="106" t="str">
        <f aca="false">IF(OR($C17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17)&amp;"")</f>
        <v/>
      </c>
      <c r="N17" s="105" t="str">
        <f aca="false">IF(OR($C17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17)&amp;"")</f>
        <v/>
      </c>
      <c r="O17" s="106" t="str">
        <f aca="false">IF(OR($C17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17)&amp;"")</f>
        <v/>
      </c>
      <c r="P17" s="105" t="str">
        <f aca="false">IF(OR($C17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17)&amp;"")</f>
        <v/>
      </c>
      <c r="Q17" s="106" t="str">
        <f aca="false">IF(OR($C17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17)&amp;"")</f>
        <v/>
      </c>
      <c r="R17" s="105" t="str">
        <f aca="false">IF(OR($C17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17)&amp;"")</f>
        <v/>
      </c>
      <c r="S17" s="106" t="str">
        <f aca="false">IF(OR($C17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17)&amp;"")</f>
        <v/>
      </c>
      <c r="T17" s="105" t="str">
        <f aca="false">IF(OR($C17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17)&amp;"")</f>
        <v/>
      </c>
      <c r="U17" s="106" t="str">
        <f aca="false">IF(OR($C17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17)&amp;"")</f>
        <v/>
      </c>
      <c r="V17" s="105" t="str">
        <f aca="false">IF(OR($C17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17)&amp;"")</f>
        <v/>
      </c>
      <c r="W17" s="106" t="str">
        <f aca="false">IF(OR($C17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17)&amp;"")</f>
        <v/>
      </c>
      <c r="X17" s="105" t="str">
        <f aca="false">IF(OR($C17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17)&amp;"")</f>
        <v/>
      </c>
      <c r="Y17" s="106" t="str">
        <f aca="false">IF(OR($C17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17)&amp;"")</f>
        <v/>
      </c>
      <c r="Z17" s="105" t="str">
        <f aca="false">IF(OR($C17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17)&amp;"")</f>
        <v/>
      </c>
      <c r="AA17" s="106" t="str">
        <f aca="false">IF(OR($C17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17)&amp;"")</f>
        <v/>
      </c>
      <c r="AB17" s="105" t="str">
        <f aca="false">IF(OR($C17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17)&amp;"")</f>
        <v/>
      </c>
      <c r="AC17" s="106" t="str">
        <f aca="false">IF(OR($C17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17)&amp;"")</f>
        <v/>
      </c>
      <c r="AD17" s="105" t="str">
        <f aca="false">IF(OR($C17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17)&amp;"")</f>
        <v/>
      </c>
      <c r="AE17" s="106" t="str">
        <f aca="false">IF(OR($C17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17)&amp;"")</f>
        <v/>
      </c>
      <c r="AF17" s="105" t="str">
        <f aca="false">IF(OR($C17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17)&amp;"")</f>
        <v/>
      </c>
      <c r="AG17" s="106" t="str">
        <f aca="false">IF(OR($C17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17)&amp;"")</f>
        <v/>
      </c>
      <c r="AH17" s="105" t="str">
        <f aca="false">IF(OR($C17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17)&amp;"")</f>
        <v/>
      </c>
      <c r="AI17" s="106" t="str">
        <f aca="false">IF(OR($C17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17)&amp;"")</f>
        <v/>
      </c>
      <c r="AJ17" s="105" t="str">
        <f aca="false">IF(OR($C17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17)&amp;"")</f>
        <v/>
      </c>
      <c r="AK17" s="106" t="str">
        <f aca="false">IF(OR($C17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17)&amp;"")</f>
        <v/>
      </c>
      <c r="AL17" s="105" t="str">
        <f aca="false">IF(OR($C17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17)&amp;"")</f>
        <v/>
      </c>
      <c r="AM17" s="106" t="str">
        <f aca="false">IF(OR($C17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17)&amp;"")</f>
        <v/>
      </c>
      <c r="AN17" s="105" t="str">
        <f aca="false">IF(OR($C17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17)&amp;"")</f>
        <v/>
      </c>
      <c r="AO17" s="106" t="str">
        <f aca="false">IF(OR($C17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17)&amp;"")</f>
        <v/>
      </c>
      <c r="AP17" s="105" t="str">
        <f aca="false">IF(OR($C17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17)&amp;"")</f>
        <v/>
      </c>
      <c r="AQ17" s="106" t="str">
        <f aca="false">IF(OR($C17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17)&amp;"")</f>
        <v/>
      </c>
      <c r="AR17" s="13"/>
      <c r="AT17" s="41" t="str">
        <f aca="false">IF(AND(設定!$D$28&lt;&gt;"",OR(($E$2&amp;"")="通年",(設定!$C$28&amp;"")=($E$2&amp;""))),12,"")</f>
        <v/>
      </c>
      <c r="AU17" s="107" t="str">
        <f aca="false">IF(AT17="","",COUNT($AT$6:AT17))</f>
        <v/>
      </c>
    </row>
    <row r="18" customFormat="false" ht="36" hidden="false" customHeight="true" outlineLevel="0" collapsed="false">
      <c r="A18" s="91" t="str">
        <f aca="false">IF($C18="","",INDEX(名簿!$C$5:$C$164,$C18))</f>
        <v/>
      </c>
      <c r="B18" s="59" t="str">
        <f aca="false">IF($C18="","",INDEX(名簿!$D$5:$D$164,$C18))</f>
        <v/>
      </c>
      <c r="C18" s="41" t="str">
        <f aca="false">IFERROR(MATCH($B$2&amp;"|"&amp;13,名簿!$G$5:$G$164,0),"")</f>
        <v/>
      </c>
      <c r="D18" s="105" t="str">
        <f aca="false">IF(OR($C18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18)&amp;"")</f>
        <v/>
      </c>
      <c r="E18" s="106" t="str">
        <f aca="false">IF(OR($C18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18)&amp;"")</f>
        <v/>
      </c>
      <c r="F18" s="105" t="str">
        <f aca="false">IF(OR($C18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18)&amp;"")</f>
        <v/>
      </c>
      <c r="G18" s="106" t="str">
        <f aca="false">IF(OR($C18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18)&amp;"")</f>
        <v/>
      </c>
      <c r="H18" s="105" t="str">
        <f aca="false">IF(OR($C18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18)&amp;"")</f>
        <v/>
      </c>
      <c r="I18" s="106" t="str">
        <f aca="false">IF(OR($C18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18)&amp;"")</f>
        <v/>
      </c>
      <c r="J18" s="105" t="str">
        <f aca="false">IF(OR($C18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18)&amp;"")</f>
        <v/>
      </c>
      <c r="K18" s="106" t="str">
        <f aca="false">IF(OR($C18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18)&amp;"")</f>
        <v/>
      </c>
      <c r="L18" s="105" t="str">
        <f aca="false">IF(OR($C18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18)&amp;"")</f>
        <v/>
      </c>
      <c r="M18" s="106" t="str">
        <f aca="false">IF(OR($C18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18)&amp;"")</f>
        <v/>
      </c>
      <c r="N18" s="105" t="str">
        <f aca="false">IF(OR($C18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18)&amp;"")</f>
        <v/>
      </c>
      <c r="O18" s="106" t="str">
        <f aca="false">IF(OR($C18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18)&amp;"")</f>
        <v/>
      </c>
      <c r="P18" s="105" t="str">
        <f aca="false">IF(OR($C18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18)&amp;"")</f>
        <v/>
      </c>
      <c r="Q18" s="106" t="str">
        <f aca="false">IF(OR($C18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18)&amp;"")</f>
        <v/>
      </c>
      <c r="R18" s="105" t="str">
        <f aca="false">IF(OR($C18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18)&amp;"")</f>
        <v/>
      </c>
      <c r="S18" s="106" t="str">
        <f aca="false">IF(OR($C18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18)&amp;"")</f>
        <v/>
      </c>
      <c r="T18" s="105" t="str">
        <f aca="false">IF(OR($C18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18)&amp;"")</f>
        <v/>
      </c>
      <c r="U18" s="106" t="str">
        <f aca="false">IF(OR($C18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18)&amp;"")</f>
        <v/>
      </c>
      <c r="V18" s="105" t="str">
        <f aca="false">IF(OR($C18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18)&amp;"")</f>
        <v/>
      </c>
      <c r="W18" s="106" t="str">
        <f aca="false">IF(OR($C18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18)&amp;"")</f>
        <v/>
      </c>
      <c r="X18" s="105" t="str">
        <f aca="false">IF(OR($C18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18)&amp;"")</f>
        <v/>
      </c>
      <c r="Y18" s="106" t="str">
        <f aca="false">IF(OR($C18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18)&amp;"")</f>
        <v/>
      </c>
      <c r="Z18" s="105" t="str">
        <f aca="false">IF(OR($C18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18)&amp;"")</f>
        <v/>
      </c>
      <c r="AA18" s="106" t="str">
        <f aca="false">IF(OR($C18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18)&amp;"")</f>
        <v/>
      </c>
      <c r="AB18" s="105" t="str">
        <f aca="false">IF(OR($C18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18)&amp;"")</f>
        <v/>
      </c>
      <c r="AC18" s="106" t="str">
        <f aca="false">IF(OR($C18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18)&amp;"")</f>
        <v/>
      </c>
      <c r="AD18" s="105" t="str">
        <f aca="false">IF(OR($C18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18)&amp;"")</f>
        <v/>
      </c>
      <c r="AE18" s="106" t="str">
        <f aca="false">IF(OR($C18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18)&amp;"")</f>
        <v/>
      </c>
      <c r="AF18" s="105" t="str">
        <f aca="false">IF(OR($C18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18)&amp;"")</f>
        <v/>
      </c>
      <c r="AG18" s="106" t="str">
        <f aca="false">IF(OR($C18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18)&amp;"")</f>
        <v/>
      </c>
      <c r="AH18" s="105" t="str">
        <f aca="false">IF(OR($C18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18)&amp;"")</f>
        <v/>
      </c>
      <c r="AI18" s="106" t="str">
        <f aca="false">IF(OR($C18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18)&amp;"")</f>
        <v/>
      </c>
      <c r="AJ18" s="105" t="str">
        <f aca="false">IF(OR($C18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18)&amp;"")</f>
        <v/>
      </c>
      <c r="AK18" s="106" t="str">
        <f aca="false">IF(OR($C18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18)&amp;"")</f>
        <v/>
      </c>
      <c r="AL18" s="105" t="str">
        <f aca="false">IF(OR($C18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18)&amp;"")</f>
        <v/>
      </c>
      <c r="AM18" s="106" t="str">
        <f aca="false">IF(OR($C18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18)&amp;"")</f>
        <v/>
      </c>
      <c r="AN18" s="105" t="str">
        <f aca="false">IF(OR($C18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18)&amp;"")</f>
        <v/>
      </c>
      <c r="AO18" s="106" t="str">
        <f aca="false">IF(OR($C18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18)&amp;"")</f>
        <v/>
      </c>
      <c r="AP18" s="105" t="str">
        <f aca="false">IF(OR($C18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18)&amp;"")</f>
        <v/>
      </c>
      <c r="AQ18" s="106" t="str">
        <f aca="false">IF(OR($C18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18)&amp;"")</f>
        <v/>
      </c>
      <c r="AR18" s="13"/>
      <c r="AT18" s="41" t="str">
        <f aca="false">IF(AND(設定!$D$29&lt;&gt;"",OR(($E$2&amp;"")="通年",(設定!$C$29&amp;"")=($E$2&amp;""))),13,"")</f>
        <v/>
      </c>
      <c r="AU18" s="107" t="str">
        <f aca="false">IF(AT18="","",COUNT($AT$6:AT18))</f>
        <v/>
      </c>
    </row>
    <row r="19" customFormat="false" ht="36" hidden="false" customHeight="true" outlineLevel="0" collapsed="false">
      <c r="A19" s="91" t="str">
        <f aca="false">IF($C19="","",INDEX(名簿!$C$5:$C$164,$C19))</f>
        <v/>
      </c>
      <c r="B19" s="59" t="str">
        <f aca="false">IF($C19="","",INDEX(名簿!$D$5:$D$164,$C19))</f>
        <v/>
      </c>
      <c r="C19" s="41" t="str">
        <f aca="false">IFERROR(MATCH($B$2&amp;"|"&amp;14,名簿!$G$5:$G$164,0),"")</f>
        <v/>
      </c>
      <c r="D19" s="105" t="str">
        <f aca="false">IF(OR($C19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19)&amp;"")</f>
        <v/>
      </c>
      <c r="E19" s="106" t="str">
        <f aca="false">IF(OR($C19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19)&amp;"")</f>
        <v/>
      </c>
      <c r="F19" s="105" t="str">
        <f aca="false">IF(OR($C19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19)&amp;"")</f>
        <v/>
      </c>
      <c r="G19" s="106" t="str">
        <f aca="false">IF(OR($C19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19)&amp;"")</f>
        <v/>
      </c>
      <c r="H19" s="105" t="str">
        <f aca="false">IF(OR($C19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19)&amp;"")</f>
        <v/>
      </c>
      <c r="I19" s="106" t="str">
        <f aca="false">IF(OR($C19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19)&amp;"")</f>
        <v/>
      </c>
      <c r="J19" s="105" t="str">
        <f aca="false">IF(OR($C19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19)&amp;"")</f>
        <v/>
      </c>
      <c r="K19" s="106" t="str">
        <f aca="false">IF(OR($C19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19)&amp;"")</f>
        <v/>
      </c>
      <c r="L19" s="105" t="str">
        <f aca="false">IF(OR($C19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19)&amp;"")</f>
        <v/>
      </c>
      <c r="M19" s="106" t="str">
        <f aca="false">IF(OR($C19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19)&amp;"")</f>
        <v/>
      </c>
      <c r="N19" s="105" t="str">
        <f aca="false">IF(OR($C19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19)&amp;"")</f>
        <v/>
      </c>
      <c r="O19" s="106" t="str">
        <f aca="false">IF(OR($C19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19)&amp;"")</f>
        <v/>
      </c>
      <c r="P19" s="105" t="str">
        <f aca="false">IF(OR($C19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19)&amp;"")</f>
        <v/>
      </c>
      <c r="Q19" s="106" t="str">
        <f aca="false">IF(OR($C19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19)&amp;"")</f>
        <v/>
      </c>
      <c r="R19" s="105" t="str">
        <f aca="false">IF(OR($C19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19)&amp;"")</f>
        <v/>
      </c>
      <c r="S19" s="106" t="str">
        <f aca="false">IF(OR($C19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19)&amp;"")</f>
        <v/>
      </c>
      <c r="T19" s="105" t="str">
        <f aca="false">IF(OR($C19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19)&amp;"")</f>
        <v/>
      </c>
      <c r="U19" s="106" t="str">
        <f aca="false">IF(OR($C19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19)&amp;"")</f>
        <v/>
      </c>
      <c r="V19" s="105" t="str">
        <f aca="false">IF(OR($C19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19)&amp;"")</f>
        <v/>
      </c>
      <c r="W19" s="106" t="str">
        <f aca="false">IF(OR($C19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19)&amp;"")</f>
        <v/>
      </c>
      <c r="X19" s="105" t="str">
        <f aca="false">IF(OR($C19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19)&amp;"")</f>
        <v/>
      </c>
      <c r="Y19" s="106" t="str">
        <f aca="false">IF(OR($C19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19)&amp;"")</f>
        <v/>
      </c>
      <c r="Z19" s="105" t="str">
        <f aca="false">IF(OR($C19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19)&amp;"")</f>
        <v/>
      </c>
      <c r="AA19" s="106" t="str">
        <f aca="false">IF(OR($C19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19)&amp;"")</f>
        <v/>
      </c>
      <c r="AB19" s="105" t="str">
        <f aca="false">IF(OR($C19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19)&amp;"")</f>
        <v/>
      </c>
      <c r="AC19" s="106" t="str">
        <f aca="false">IF(OR($C19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19)&amp;"")</f>
        <v/>
      </c>
      <c r="AD19" s="105" t="str">
        <f aca="false">IF(OR($C19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19)&amp;"")</f>
        <v/>
      </c>
      <c r="AE19" s="106" t="str">
        <f aca="false">IF(OR($C19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19)&amp;"")</f>
        <v/>
      </c>
      <c r="AF19" s="105" t="str">
        <f aca="false">IF(OR($C19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19)&amp;"")</f>
        <v/>
      </c>
      <c r="AG19" s="106" t="str">
        <f aca="false">IF(OR($C19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19)&amp;"")</f>
        <v/>
      </c>
      <c r="AH19" s="105" t="str">
        <f aca="false">IF(OR($C19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19)&amp;"")</f>
        <v/>
      </c>
      <c r="AI19" s="106" t="str">
        <f aca="false">IF(OR($C19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19)&amp;"")</f>
        <v/>
      </c>
      <c r="AJ19" s="105" t="str">
        <f aca="false">IF(OR($C19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19)&amp;"")</f>
        <v/>
      </c>
      <c r="AK19" s="106" t="str">
        <f aca="false">IF(OR($C19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19)&amp;"")</f>
        <v/>
      </c>
      <c r="AL19" s="105" t="str">
        <f aca="false">IF(OR($C19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19)&amp;"")</f>
        <v/>
      </c>
      <c r="AM19" s="106" t="str">
        <f aca="false">IF(OR($C19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19)&amp;"")</f>
        <v/>
      </c>
      <c r="AN19" s="105" t="str">
        <f aca="false">IF(OR($C19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19)&amp;"")</f>
        <v/>
      </c>
      <c r="AO19" s="106" t="str">
        <f aca="false">IF(OR($C19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19)&amp;"")</f>
        <v/>
      </c>
      <c r="AP19" s="105" t="str">
        <f aca="false">IF(OR($C19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19)&amp;"")</f>
        <v/>
      </c>
      <c r="AQ19" s="106" t="str">
        <f aca="false">IF(OR($C19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19)&amp;"")</f>
        <v/>
      </c>
      <c r="AR19" s="13"/>
      <c r="AT19" s="41" t="str">
        <f aca="false">IF(AND(設定!$D$30&lt;&gt;"",OR(($E$2&amp;"")="通年",(設定!$C$30&amp;"")=($E$2&amp;""))),14,"")</f>
        <v/>
      </c>
      <c r="AU19" s="107" t="str">
        <f aca="false">IF(AT19="","",COUNT($AT$6:AT19))</f>
        <v/>
      </c>
    </row>
    <row r="20" customFormat="false" ht="36" hidden="false" customHeight="true" outlineLevel="0" collapsed="false">
      <c r="A20" s="91" t="str">
        <f aca="false">IF($C20="","",INDEX(名簿!$C$5:$C$164,$C20))</f>
        <v/>
      </c>
      <c r="B20" s="59" t="str">
        <f aca="false">IF($C20="","",INDEX(名簿!$D$5:$D$164,$C20))</f>
        <v/>
      </c>
      <c r="C20" s="41" t="str">
        <f aca="false">IFERROR(MATCH($B$2&amp;"|"&amp;15,名簿!$G$5:$G$164,0),"")</f>
        <v/>
      </c>
      <c r="D20" s="105" t="str">
        <f aca="false">IF(OR($C20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20)&amp;"")</f>
        <v/>
      </c>
      <c r="E20" s="106" t="str">
        <f aca="false">IF(OR($C20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20)&amp;"")</f>
        <v/>
      </c>
      <c r="F20" s="105" t="str">
        <f aca="false">IF(OR($C20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20)&amp;"")</f>
        <v/>
      </c>
      <c r="G20" s="106" t="str">
        <f aca="false">IF(OR($C20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20)&amp;"")</f>
        <v/>
      </c>
      <c r="H20" s="105" t="str">
        <f aca="false">IF(OR($C20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20)&amp;"")</f>
        <v/>
      </c>
      <c r="I20" s="106" t="str">
        <f aca="false">IF(OR($C20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20)&amp;"")</f>
        <v/>
      </c>
      <c r="J20" s="105" t="str">
        <f aca="false">IF(OR($C20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20)&amp;"")</f>
        <v/>
      </c>
      <c r="K20" s="106" t="str">
        <f aca="false">IF(OR($C20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20)&amp;"")</f>
        <v/>
      </c>
      <c r="L20" s="105" t="str">
        <f aca="false">IF(OR($C20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20)&amp;"")</f>
        <v/>
      </c>
      <c r="M20" s="106" t="str">
        <f aca="false">IF(OR($C20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20)&amp;"")</f>
        <v/>
      </c>
      <c r="N20" s="105" t="str">
        <f aca="false">IF(OR($C20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20)&amp;"")</f>
        <v/>
      </c>
      <c r="O20" s="106" t="str">
        <f aca="false">IF(OR($C20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20)&amp;"")</f>
        <v/>
      </c>
      <c r="P20" s="105" t="str">
        <f aca="false">IF(OR($C20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20)&amp;"")</f>
        <v/>
      </c>
      <c r="Q20" s="106" t="str">
        <f aca="false">IF(OR($C20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20)&amp;"")</f>
        <v/>
      </c>
      <c r="R20" s="105" t="str">
        <f aca="false">IF(OR($C20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20)&amp;"")</f>
        <v/>
      </c>
      <c r="S20" s="106" t="str">
        <f aca="false">IF(OR($C20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20)&amp;"")</f>
        <v/>
      </c>
      <c r="T20" s="105" t="str">
        <f aca="false">IF(OR($C20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20)&amp;"")</f>
        <v/>
      </c>
      <c r="U20" s="106" t="str">
        <f aca="false">IF(OR($C20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20)&amp;"")</f>
        <v/>
      </c>
      <c r="V20" s="105" t="str">
        <f aca="false">IF(OR($C20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20)&amp;"")</f>
        <v/>
      </c>
      <c r="W20" s="106" t="str">
        <f aca="false">IF(OR($C20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20)&amp;"")</f>
        <v/>
      </c>
      <c r="X20" s="105" t="str">
        <f aca="false">IF(OR($C20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20)&amp;"")</f>
        <v/>
      </c>
      <c r="Y20" s="106" t="str">
        <f aca="false">IF(OR($C20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20)&amp;"")</f>
        <v/>
      </c>
      <c r="Z20" s="105" t="str">
        <f aca="false">IF(OR($C20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20)&amp;"")</f>
        <v/>
      </c>
      <c r="AA20" s="106" t="str">
        <f aca="false">IF(OR($C20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20)&amp;"")</f>
        <v/>
      </c>
      <c r="AB20" s="105" t="str">
        <f aca="false">IF(OR($C20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20)&amp;"")</f>
        <v/>
      </c>
      <c r="AC20" s="106" t="str">
        <f aca="false">IF(OR($C20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20)&amp;"")</f>
        <v/>
      </c>
      <c r="AD20" s="105" t="str">
        <f aca="false">IF(OR($C20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20)&amp;"")</f>
        <v/>
      </c>
      <c r="AE20" s="106" t="str">
        <f aca="false">IF(OR($C20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20)&amp;"")</f>
        <v/>
      </c>
      <c r="AF20" s="105" t="str">
        <f aca="false">IF(OR($C20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20)&amp;"")</f>
        <v/>
      </c>
      <c r="AG20" s="106" t="str">
        <f aca="false">IF(OR($C20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20)&amp;"")</f>
        <v/>
      </c>
      <c r="AH20" s="105" t="str">
        <f aca="false">IF(OR($C20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20)&amp;"")</f>
        <v/>
      </c>
      <c r="AI20" s="106" t="str">
        <f aca="false">IF(OR($C20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20)&amp;"")</f>
        <v/>
      </c>
      <c r="AJ20" s="105" t="str">
        <f aca="false">IF(OR($C20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20)&amp;"")</f>
        <v/>
      </c>
      <c r="AK20" s="106" t="str">
        <f aca="false">IF(OR($C20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20)&amp;"")</f>
        <v/>
      </c>
      <c r="AL20" s="105" t="str">
        <f aca="false">IF(OR($C20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20)&amp;"")</f>
        <v/>
      </c>
      <c r="AM20" s="106" t="str">
        <f aca="false">IF(OR($C20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20)&amp;"")</f>
        <v/>
      </c>
      <c r="AN20" s="105" t="str">
        <f aca="false">IF(OR($C20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20)&amp;"")</f>
        <v/>
      </c>
      <c r="AO20" s="106" t="str">
        <f aca="false">IF(OR($C20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20)&amp;"")</f>
        <v/>
      </c>
      <c r="AP20" s="105" t="str">
        <f aca="false">IF(OR($C20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20)&amp;"")</f>
        <v/>
      </c>
      <c r="AQ20" s="106" t="str">
        <f aca="false">IF(OR($C20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20)&amp;"")</f>
        <v/>
      </c>
      <c r="AR20" s="13"/>
      <c r="AT20" s="41" t="str">
        <f aca="false">IF(AND(設定!$D$31&lt;&gt;"",OR(($E$2&amp;"")="通年",(設定!$C$31&amp;"")=($E$2&amp;""))),15,"")</f>
        <v/>
      </c>
      <c r="AU20" s="107" t="str">
        <f aca="false">IF(AT20="","",COUNT($AT$6:AT20))</f>
        <v/>
      </c>
    </row>
    <row r="21" customFormat="false" ht="36" hidden="false" customHeight="true" outlineLevel="0" collapsed="false">
      <c r="A21" s="91" t="str">
        <f aca="false">IF($C21="","",INDEX(名簿!$C$5:$C$164,$C21))</f>
        <v/>
      </c>
      <c r="B21" s="59" t="str">
        <f aca="false">IF($C21="","",INDEX(名簿!$D$5:$D$164,$C21))</f>
        <v/>
      </c>
      <c r="C21" s="41" t="str">
        <f aca="false">IFERROR(MATCH($B$2&amp;"|"&amp;16,名簿!$G$5:$G$164,0),"")</f>
        <v/>
      </c>
      <c r="D21" s="105" t="str">
        <f aca="false">IF(OR($C21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21)&amp;"")</f>
        <v/>
      </c>
      <c r="E21" s="106" t="str">
        <f aca="false">IF(OR($C21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21)&amp;"")</f>
        <v/>
      </c>
      <c r="F21" s="105" t="str">
        <f aca="false">IF(OR($C21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21)&amp;"")</f>
        <v/>
      </c>
      <c r="G21" s="106" t="str">
        <f aca="false">IF(OR($C21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21)&amp;"")</f>
        <v/>
      </c>
      <c r="H21" s="105" t="str">
        <f aca="false">IF(OR($C21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21)&amp;"")</f>
        <v/>
      </c>
      <c r="I21" s="106" t="str">
        <f aca="false">IF(OR($C21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21)&amp;"")</f>
        <v/>
      </c>
      <c r="J21" s="105" t="str">
        <f aca="false">IF(OR($C21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21)&amp;"")</f>
        <v/>
      </c>
      <c r="K21" s="106" t="str">
        <f aca="false">IF(OR($C21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21)&amp;"")</f>
        <v/>
      </c>
      <c r="L21" s="105" t="str">
        <f aca="false">IF(OR($C21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21)&amp;"")</f>
        <v/>
      </c>
      <c r="M21" s="106" t="str">
        <f aca="false">IF(OR($C21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21)&amp;"")</f>
        <v/>
      </c>
      <c r="N21" s="105" t="str">
        <f aca="false">IF(OR($C21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21)&amp;"")</f>
        <v/>
      </c>
      <c r="O21" s="106" t="str">
        <f aca="false">IF(OR($C21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21)&amp;"")</f>
        <v/>
      </c>
      <c r="P21" s="105" t="str">
        <f aca="false">IF(OR($C21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21)&amp;"")</f>
        <v/>
      </c>
      <c r="Q21" s="106" t="str">
        <f aca="false">IF(OR($C21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21)&amp;"")</f>
        <v/>
      </c>
      <c r="R21" s="105" t="str">
        <f aca="false">IF(OR($C21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21)&amp;"")</f>
        <v/>
      </c>
      <c r="S21" s="106" t="str">
        <f aca="false">IF(OR($C21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21)&amp;"")</f>
        <v/>
      </c>
      <c r="T21" s="105" t="str">
        <f aca="false">IF(OR($C21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21)&amp;"")</f>
        <v/>
      </c>
      <c r="U21" s="106" t="str">
        <f aca="false">IF(OR($C21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21)&amp;"")</f>
        <v/>
      </c>
      <c r="V21" s="105" t="str">
        <f aca="false">IF(OR($C21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21)&amp;"")</f>
        <v/>
      </c>
      <c r="W21" s="106" t="str">
        <f aca="false">IF(OR($C21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21)&amp;"")</f>
        <v/>
      </c>
      <c r="X21" s="105" t="str">
        <f aca="false">IF(OR($C21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21)&amp;"")</f>
        <v/>
      </c>
      <c r="Y21" s="106" t="str">
        <f aca="false">IF(OR($C21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21)&amp;"")</f>
        <v/>
      </c>
      <c r="Z21" s="105" t="str">
        <f aca="false">IF(OR($C21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21)&amp;"")</f>
        <v/>
      </c>
      <c r="AA21" s="106" t="str">
        <f aca="false">IF(OR($C21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21)&amp;"")</f>
        <v/>
      </c>
      <c r="AB21" s="105" t="str">
        <f aca="false">IF(OR($C21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21)&amp;"")</f>
        <v/>
      </c>
      <c r="AC21" s="106" t="str">
        <f aca="false">IF(OR($C21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21)&amp;"")</f>
        <v/>
      </c>
      <c r="AD21" s="105" t="str">
        <f aca="false">IF(OR($C21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21)&amp;"")</f>
        <v/>
      </c>
      <c r="AE21" s="106" t="str">
        <f aca="false">IF(OR($C21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21)&amp;"")</f>
        <v/>
      </c>
      <c r="AF21" s="105" t="str">
        <f aca="false">IF(OR($C21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21)&amp;"")</f>
        <v/>
      </c>
      <c r="AG21" s="106" t="str">
        <f aca="false">IF(OR($C21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21)&amp;"")</f>
        <v/>
      </c>
      <c r="AH21" s="105" t="str">
        <f aca="false">IF(OR($C21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21)&amp;"")</f>
        <v/>
      </c>
      <c r="AI21" s="106" t="str">
        <f aca="false">IF(OR($C21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21)&amp;"")</f>
        <v/>
      </c>
      <c r="AJ21" s="105" t="str">
        <f aca="false">IF(OR($C21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21)&amp;"")</f>
        <v/>
      </c>
      <c r="AK21" s="106" t="str">
        <f aca="false">IF(OR($C21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21)&amp;"")</f>
        <v/>
      </c>
      <c r="AL21" s="105" t="str">
        <f aca="false">IF(OR($C21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21)&amp;"")</f>
        <v/>
      </c>
      <c r="AM21" s="106" t="str">
        <f aca="false">IF(OR($C21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21)&amp;"")</f>
        <v/>
      </c>
      <c r="AN21" s="105" t="str">
        <f aca="false">IF(OR($C21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21)&amp;"")</f>
        <v/>
      </c>
      <c r="AO21" s="106" t="str">
        <f aca="false">IF(OR($C21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21)&amp;"")</f>
        <v/>
      </c>
      <c r="AP21" s="105" t="str">
        <f aca="false">IF(OR($C21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21)&amp;"")</f>
        <v/>
      </c>
      <c r="AQ21" s="106" t="str">
        <f aca="false">IF(OR($C21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21)&amp;"")</f>
        <v/>
      </c>
      <c r="AR21" s="13"/>
      <c r="AT21" s="41" t="str">
        <f aca="false">IF(AND(設定!$D$32&lt;&gt;"",OR(($E$2&amp;"")="通年",(設定!$C$32&amp;"")=($E$2&amp;""))),16,"")</f>
        <v/>
      </c>
      <c r="AU21" s="107" t="str">
        <f aca="false">IF(AT21="","",COUNT($AT$6:AT21))</f>
        <v/>
      </c>
    </row>
    <row r="22" customFormat="false" ht="36" hidden="false" customHeight="true" outlineLevel="0" collapsed="false">
      <c r="A22" s="91" t="str">
        <f aca="false">IF($C22="","",INDEX(名簿!$C$5:$C$164,$C22))</f>
        <v/>
      </c>
      <c r="B22" s="59" t="str">
        <f aca="false">IF($C22="","",INDEX(名簿!$D$5:$D$164,$C22))</f>
        <v/>
      </c>
      <c r="C22" s="41" t="str">
        <f aca="false">IFERROR(MATCH($B$2&amp;"|"&amp;17,名簿!$G$5:$G$164,0),"")</f>
        <v/>
      </c>
      <c r="D22" s="105" t="str">
        <f aca="false">IF(OR($C22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22)&amp;"")</f>
        <v/>
      </c>
      <c r="E22" s="106" t="str">
        <f aca="false">IF(OR($C22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22)&amp;"")</f>
        <v/>
      </c>
      <c r="F22" s="105" t="str">
        <f aca="false">IF(OR($C22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22)&amp;"")</f>
        <v/>
      </c>
      <c r="G22" s="106" t="str">
        <f aca="false">IF(OR($C22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22)&amp;"")</f>
        <v/>
      </c>
      <c r="H22" s="105" t="str">
        <f aca="false">IF(OR($C22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22)&amp;"")</f>
        <v/>
      </c>
      <c r="I22" s="106" t="str">
        <f aca="false">IF(OR($C22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22)&amp;"")</f>
        <v/>
      </c>
      <c r="J22" s="105" t="str">
        <f aca="false">IF(OR($C22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22)&amp;"")</f>
        <v/>
      </c>
      <c r="K22" s="106" t="str">
        <f aca="false">IF(OR($C22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22)&amp;"")</f>
        <v/>
      </c>
      <c r="L22" s="105" t="str">
        <f aca="false">IF(OR($C22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22)&amp;"")</f>
        <v/>
      </c>
      <c r="M22" s="106" t="str">
        <f aca="false">IF(OR($C22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22)&amp;"")</f>
        <v/>
      </c>
      <c r="N22" s="105" t="str">
        <f aca="false">IF(OR($C22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22)&amp;"")</f>
        <v/>
      </c>
      <c r="O22" s="106" t="str">
        <f aca="false">IF(OR($C22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22)&amp;"")</f>
        <v/>
      </c>
      <c r="P22" s="105" t="str">
        <f aca="false">IF(OR($C22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22)&amp;"")</f>
        <v/>
      </c>
      <c r="Q22" s="106" t="str">
        <f aca="false">IF(OR($C22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22)&amp;"")</f>
        <v/>
      </c>
      <c r="R22" s="105" t="str">
        <f aca="false">IF(OR($C22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22)&amp;"")</f>
        <v/>
      </c>
      <c r="S22" s="106" t="str">
        <f aca="false">IF(OR($C22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22)&amp;"")</f>
        <v/>
      </c>
      <c r="T22" s="105" t="str">
        <f aca="false">IF(OR($C22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22)&amp;"")</f>
        <v/>
      </c>
      <c r="U22" s="106" t="str">
        <f aca="false">IF(OR($C22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22)&amp;"")</f>
        <v/>
      </c>
      <c r="V22" s="105" t="str">
        <f aca="false">IF(OR($C22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22)&amp;"")</f>
        <v/>
      </c>
      <c r="W22" s="106" t="str">
        <f aca="false">IF(OR($C22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22)&amp;"")</f>
        <v/>
      </c>
      <c r="X22" s="105" t="str">
        <f aca="false">IF(OR($C22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22)&amp;"")</f>
        <v/>
      </c>
      <c r="Y22" s="106" t="str">
        <f aca="false">IF(OR($C22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22)&amp;"")</f>
        <v/>
      </c>
      <c r="Z22" s="105" t="str">
        <f aca="false">IF(OR($C22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22)&amp;"")</f>
        <v/>
      </c>
      <c r="AA22" s="106" t="str">
        <f aca="false">IF(OR($C22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22)&amp;"")</f>
        <v/>
      </c>
      <c r="AB22" s="105" t="str">
        <f aca="false">IF(OR($C22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22)&amp;"")</f>
        <v/>
      </c>
      <c r="AC22" s="106" t="str">
        <f aca="false">IF(OR($C22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22)&amp;"")</f>
        <v/>
      </c>
      <c r="AD22" s="105" t="str">
        <f aca="false">IF(OR($C22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22)&amp;"")</f>
        <v/>
      </c>
      <c r="AE22" s="106" t="str">
        <f aca="false">IF(OR($C22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22)&amp;"")</f>
        <v/>
      </c>
      <c r="AF22" s="105" t="str">
        <f aca="false">IF(OR($C22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22)&amp;"")</f>
        <v/>
      </c>
      <c r="AG22" s="106" t="str">
        <f aca="false">IF(OR($C22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22)&amp;"")</f>
        <v/>
      </c>
      <c r="AH22" s="105" t="str">
        <f aca="false">IF(OR($C22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22)&amp;"")</f>
        <v/>
      </c>
      <c r="AI22" s="106" t="str">
        <f aca="false">IF(OR($C22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22)&amp;"")</f>
        <v/>
      </c>
      <c r="AJ22" s="105" t="str">
        <f aca="false">IF(OR($C22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22)&amp;"")</f>
        <v/>
      </c>
      <c r="AK22" s="106" t="str">
        <f aca="false">IF(OR($C22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22)&amp;"")</f>
        <v/>
      </c>
      <c r="AL22" s="105" t="str">
        <f aca="false">IF(OR($C22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22)&amp;"")</f>
        <v/>
      </c>
      <c r="AM22" s="106" t="str">
        <f aca="false">IF(OR($C22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22)&amp;"")</f>
        <v/>
      </c>
      <c r="AN22" s="105" t="str">
        <f aca="false">IF(OR($C22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22)&amp;"")</f>
        <v/>
      </c>
      <c r="AO22" s="106" t="str">
        <f aca="false">IF(OR($C22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22)&amp;"")</f>
        <v/>
      </c>
      <c r="AP22" s="105" t="str">
        <f aca="false">IF(OR($C22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22)&amp;"")</f>
        <v/>
      </c>
      <c r="AQ22" s="106" t="str">
        <f aca="false">IF(OR($C22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22)&amp;"")</f>
        <v/>
      </c>
      <c r="AR22" s="13"/>
      <c r="AT22" s="41" t="str">
        <f aca="false">IF(AND(設定!$D$33&lt;&gt;"",OR(($E$2&amp;"")="通年",(設定!$C$33&amp;"")=($E$2&amp;""))),17,"")</f>
        <v/>
      </c>
      <c r="AU22" s="107" t="str">
        <f aca="false">IF(AT22="","",COUNT($AT$6:AT22))</f>
        <v/>
      </c>
    </row>
    <row r="23" customFormat="false" ht="36" hidden="false" customHeight="true" outlineLevel="0" collapsed="false">
      <c r="A23" s="91" t="str">
        <f aca="false">IF($C23="","",INDEX(名簿!$C$5:$C$164,$C23))</f>
        <v/>
      </c>
      <c r="B23" s="59" t="str">
        <f aca="false">IF($C23="","",INDEX(名簿!$D$5:$D$164,$C23))</f>
        <v/>
      </c>
      <c r="C23" s="41" t="str">
        <f aca="false">IFERROR(MATCH($B$2&amp;"|"&amp;18,名簿!$G$5:$G$164,0),"")</f>
        <v/>
      </c>
      <c r="D23" s="105" t="str">
        <f aca="false">IF(OR($C23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23)&amp;"")</f>
        <v/>
      </c>
      <c r="E23" s="106" t="str">
        <f aca="false">IF(OR($C23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23)&amp;"")</f>
        <v/>
      </c>
      <c r="F23" s="105" t="str">
        <f aca="false">IF(OR($C23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23)&amp;"")</f>
        <v/>
      </c>
      <c r="G23" s="106" t="str">
        <f aca="false">IF(OR($C23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23)&amp;"")</f>
        <v/>
      </c>
      <c r="H23" s="105" t="str">
        <f aca="false">IF(OR($C23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23)&amp;"")</f>
        <v/>
      </c>
      <c r="I23" s="106" t="str">
        <f aca="false">IF(OR($C23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23)&amp;"")</f>
        <v/>
      </c>
      <c r="J23" s="105" t="str">
        <f aca="false">IF(OR($C23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23)&amp;"")</f>
        <v/>
      </c>
      <c r="K23" s="106" t="str">
        <f aca="false">IF(OR($C23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23)&amp;"")</f>
        <v/>
      </c>
      <c r="L23" s="105" t="str">
        <f aca="false">IF(OR($C23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23)&amp;"")</f>
        <v/>
      </c>
      <c r="M23" s="106" t="str">
        <f aca="false">IF(OR($C23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23)&amp;"")</f>
        <v/>
      </c>
      <c r="N23" s="105" t="str">
        <f aca="false">IF(OR($C23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23)&amp;"")</f>
        <v/>
      </c>
      <c r="O23" s="106" t="str">
        <f aca="false">IF(OR($C23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23)&amp;"")</f>
        <v/>
      </c>
      <c r="P23" s="105" t="str">
        <f aca="false">IF(OR($C23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23)&amp;"")</f>
        <v/>
      </c>
      <c r="Q23" s="106" t="str">
        <f aca="false">IF(OR($C23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23)&amp;"")</f>
        <v/>
      </c>
      <c r="R23" s="105" t="str">
        <f aca="false">IF(OR($C23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23)&amp;"")</f>
        <v/>
      </c>
      <c r="S23" s="106" t="str">
        <f aca="false">IF(OR($C23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23)&amp;"")</f>
        <v/>
      </c>
      <c r="T23" s="105" t="str">
        <f aca="false">IF(OR($C23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23)&amp;"")</f>
        <v/>
      </c>
      <c r="U23" s="106" t="str">
        <f aca="false">IF(OR($C23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23)&amp;"")</f>
        <v/>
      </c>
      <c r="V23" s="105" t="str">
        <f aca="false">IF(OR($C23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23)&amp;"")</f>
        <v/>
      </c>
      <c r="W23" s="106" t="str">
        <f aca="false">IF(OR($C23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23)&amp;"")</f>
        <v/>
      </c>
      <c r="X23" s="105" t="str">
        <f aca="false">IF(OR($C23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23)&amp;"")</f>
        <v/>
      </c>
      <c r="Y23" s="106" t="str">
        <f aca="false">IF(OR($C23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23)&amp;"")</f>
        <v/>
      </c>
      <c r="Z23" s="105" t="str">
        <f aca="false">IF(OR($C23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23)&amp;"")</f>
        <v/>
      </c>
      <c r="AA23" s="106" t="str">
        <f aca="false">IF(OR($C23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23)&amp;"")</f>
        <v/>
      </c>
      <c r="AB23" s="105" t="str">
        <f aca="false">IF(OR($C23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23)&amp;"")</f>
        <v/>
      </c>
      <c r="AC23" s="106" t="str">
        <f aca="false">IF(OR($C23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23)&amp;"")</f>
        <v/>
      </c>
      <c r="AD23" s="105" t="str">
        <f aca="false">IF(OR($C23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23)&amp;"")</f>
        <v/>
      </c>
      <c r="AE23" s="106" t="str">
        <f aca="false">IF(OR($C23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23)&amp;"")</f>
        <v/>
      </c>
      <c r="AF23" s="105" t="str">
        <f aca="false">IF(OR($C23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23)&amp;"")</f>
        <v/>
      </c>
      <c r="AG23" s="106" t="str">
        <f aca="false">IF(OR($C23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23)&amp;"")</f>
        <v/>
      </c>
      <c r="AH23" s="105" t="str">
        <f aca="false">IF(OR($C23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23)&amp;"")</f>
        <v/>
      </c>
      <c r="AI23" s="106" t="str">
        <f aca="false">IF(OR($C23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23)&amp;"")</f>
        <v/>
      </c>
      <c r="AJ23" s="105" t="str">
        <f aca="false">IF(OR($C23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23)&amp;"")</f>
        <v/>
      </c>
      <c r="AK23" s="106" t="str">
        <f aca="false">IF(OR($C23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23)&amp;"")</f>
        <v/>
      </c>
      <c r="AL23" s="105" t="str">
        <f aca="false">IF(OR($C23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23)&amp;"")</f>
        <v/>
      </c>
      <c r="AM23" s="106" t="str">
        <f aca="false">IF(OR($C23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23)&amp;"")</f>
        <v/>
      </c>
      <c r="AN23" s="105" t="str">
        <f aca="false">IF(OR($C23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23)&amp;"")</f>
        <v/>
      </c>
      <c r="AO23" s="106" t="str">
        <f aca="false">IF(OR($C23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23)&amp;"")</f>
        <v/>
      </c>
      <c r="AP23" s="105" t="str">
        <f aca="false">IF(OR($C23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23)&amp;"")</f>
        <v/>
      </c>
      <c r="AQ23" s="106" t="str">
        <f aca="false">IF(OR($C23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23)&amp;"")</f>
        <v/>
      </c>
      <c r="AR23" s="13"/>
      <c r="AT23" s="41" t="str">
        <f aca="false">IF(AND(設定!$D$34&lt;&gt;"",OR(($E$2&amp;"")="通年",(設定!$C$34&amp;"")=($E$2&amp;""))),18,"")</f>
        <v/>
      </c>
      <c r="AU23" s="107" t="str">
        <f aca="false">IF(AT23="","",COUNT($AT$6:AT23))</f>
        <v/>
      </c>
    </row>
    <row r="24" customFormat="false" ht="36" hidden="false" customHeight="true" outlineLevel="0" collapsed="false">
      <c r="A24" s="91" t="str">
        <f aca="false">IF($C24="","",INDEX(名簿!$C$5:$C$164,$C24))</f>
        <v/>
      </c>
      <c r="B24" s="59" t="str">
        <f aca="false">IF($C24="","",INDEX(名簿!$D$5:$D$164,$C24))</f>
        <v/>
      </c>
      <c r="C24" s="41" t="str">
        <f aca="false">IFERROR(MATCH($B$2&amp;"|"&amp;19,名簿!$G$5:$G$164,0),"")</f>
        <v/>
      </c>
      <c r="D24" s="105" t="str">
        <f aca="false">IF(OR($C24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24)&amp;"")</f>
        <v/>
      </c>
      <c r="E24" s="106" t="str">
        <f aca="false">IF(OR($C24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24)&amp;"")</f>
        <v/>
      </c>
      <c r="F24" s="105" t="str">
        <f aca="false">IF(OR($C24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24)&amp;"")</f>
        <v/>
      </c>
      <c r="G24" s="106" t="str">
        <f aca="false">IF(OR($C24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24)&amp;"")</f>
        <v/>
      </c>
      <c r="H24" s="105" t="str">
        <f aca="false">IF(OR($C24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24)&amp;"")</f>
        <v/>
      </c>
      <c r="I24" s="106" t="str">
        <f aca="false">IF(OR($C24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24)&amp;"")</f>
        <v/>
      </c>
      <c r="J24" s="105" t="str">
        <f aca="false">IF(OR($C24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24)&amp;"")</f>
        <v/>
      </c>
      <c r="K24" s="106" t="str">
        <f aca="false">IF(OR($C24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24)&amp;"")</f>
        <v/>
      </c>
      <c r="L24" s="105" t="str">
        <f aca="false">IF(OR($C24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24)&amp;"")</f>
        <v/>
      </c>
      <c r="M24" s="106" t="str">
        <f aca="false">IF(OR($C24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24)&amp;"")</f>
        <v/>
      </c>
      <c r="N24" s="105" t="str">
        <f aca="false">IF(OR($C24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24)&amp;"")</f>
        <v/>
      </c>
      <c r="O24" s="106" t="str">
        <f aca="false">IF(OR($C24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24)&amp;"")</f>
        <v/>
      </c>
      <c r="P24" s="105" t="str">
        <f aca="false">IF(OR($C24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24)&amp;"")</f>
        <v/>
      </c>
      <c r="Q24" s="106" t="str">
        <f aca="false">IF(OR($C24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24)&amp;"")</f>
        <v/>
      </c>
      <c r="R24" s="105" t="str">
        <f aca="false">IF(OR($C24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24)&amp;"")</f>
        <v/>
      </c>
      <c r="S24" s="106" t="str">
        <f aca="false">IF(OR($C24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24)&amp;"")</f>
        <v/>
      </c>
      <c r="T24" s="105" t="str">
        <f aca="false">IF(OR($C24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24)&amp;"")</f>
        <v/>
      </c>
      <c r="U24" s="106" t="str">
        <f aca="false">IF(OR($C24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24)&amp;"")</f>
        <v/>
      </c>
      <c r="V24" s="105" t="str">
        <f aca="false">IF(OR($C24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24)&amp;"")</f>
        <v/>
      </c>
      <c r="W24" s="106" t="str">
        <f aca="false">IF(OR($C24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24)&amp;"")</f>
        <v/>
      </c>
      <c r="X24" s="105" t="str">
        <f aca="false">IF(OR($C24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24)&amp;"")</f>
        <v/>
      </c>
      <c r="Y24" s="106" t="str">
        <f aca="false">IF(OR($C24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24)&amp;"")</f>
        <v/>
      </c>
      <c r="Z24" s="105" t="str">
        <f aca="false">IF(OR($C24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24)&amp;"")</f>
        <v/>
      </c>
      <c r="AA24" s="106" t="str">
        <f aca="false">IF(OR($C24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24)&amp;"")</f>
        <v/>
      </c>
      <c r="AB24" s="105" t="str">
        <f aca="false">IF(OR($C24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24)&amp;"")</f>
        <v/>
      </c>
      <c r="AC24" s="106" t="str">
        <f aca="false">IF(OR($C24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24)&amp;"")</f>
        <v/>
      </c>
      <c r="AD24" s="105" t="str">
        <f aca="false">IF(OR($C24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24)&amp;"")</f>
        <v/>
      </c>
      <c r="AE24" s="106" t="str">
        <f aca="false">IF(OR($C24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24)&amp;"")</f>
        <v/>
      </c>
      <c r="AF24" s="105" t="str">
        <f aca="false">IF(OR($C24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24)&amp;"")</f>
        <v/>
      </c>
      <c r="AG24" s="106" t="str">
        <f aca="false">IF(OR($C24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24)&amp;"")</f>
        <v/>
      </c>
      <c r="AH24" s="105" t="str">
        <f aca="false">IF(OR($C24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24)&amp;"")</f>
        <v/>
      </c>
      <c r="AI24" s="106" t="str">
        <f aca="false">IF(OR($C24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24)&amp;"")</f>
        <v/>
      </c>
      <c r="AJ24" s="105" t="str">
        <f aca="false">IF(OR($C24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24)&amp;"")</f>
        <v/>
      </c>
      <c r="AK24" s="106" t="str">
        <f aca="false">IF(OR($C24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24)&amp;"")</f>
        <v/>
      </c>
      <c r="AL24" s="105" t="str">
        <f aca="false">IF(OR($C24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24)&amp;"")</f>
        <v/>
      </c>
      <c r="AM24" s="106" t="str">
        <f aca="false">IF(OR($C24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24)&amp;"")</f>
        <v/>
      </c>
      <c r="AN24" s="105" t="str">
        <f aca="false">IF(OR($C24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24)&amp;"")</f>
        <v/>
      </c>
      <c r="AO24" s="106" t="str">
        <f aca="false">IF(OR($C24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24)&amp;"")</f>
        <v/>
      </c>
      <c r="AP24" s="105" t="str">
        <f aca="false">IF(OR($C24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24)&amp;"")</f>
        <v/>
      </c>
      <c r="AQ24" s="106" t="str">
        <f aca="false">IF(OR($C24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24)&amp;"")</f>
        <v/>
      </c>
      <c r="AR24" s="13"/>
      <c r="AT24" s="41" t="str">
        <f aca="false">IF(AND(設定!$D$35&lt;&gt;"",OR(($E$2&amp;"")="通年",(設定!$C$35&amp;"")=($E$2&amp;""))),19,"")</f>
        <v/>
      </c>
      <c r="AU24" s="107" t="str">
        <f aca="false">IF(AT24="","",COUNT($AT$6:AT24))</f>
        <v/>
      </c>
    </row>
    <row r="25" customFormat="false" ht="36" hidden="false" customHeight="true" outlineLevel="0" collapsed="false">
      <c r="A25" s="91" t="str">
        <f aca="false">IF($C25="","",INDEX(名簿!$C$5:$C$164,$C25))</f>
        <v/>
      </c>
      <c r="B25" s="59" t="str">
        <f aca="false">IF($C25="","",INDEX(名簿!$D$5:$D$164,$C25))</f>
        <v/>
      </c>
      <c r="C25" s="41" t="str">
        <f aca="false">IFERROR(MATCH($B$2&amp;"|"&amp;20,名簿!$G$5:$G$164,0),"")</f>
        <v/>
      </c>
      <c r="D25" s="105" t="str">
        <f aca="false">IF(OR($C25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25)&amp;"")</f>
        <v/>
      </c>
      <c r="E25" s="106" t="str">
        <f aca="false">IF(OR($C25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25)&amp;"")</f>
        <v/>
      </c>
      <c r="F25" s="105" t="str">
        <f aca="false">IF(OR($C25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25)&amp;"")</f>
        <v/>
      </c>
      <c r="G25" s="106" t="str">
        <f aca="false">IF(OR($C25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25)&amp;"")</f>
        <v/>
      </c>
      <c r="H25" s="105" t="str">
        <f aca="false">IF(OR($C25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25)&amp;"")</f>
        <v/>
      </c>
      <c r="I25" s="106" t="str">
        <f aca="false">IF(OR($C25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25)&amp;"")</f>
        <v/>
      </c>
      <c r="J25" s="105" t="str">
        <f aca="false">IF(OR($C25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25)&amp;"")</f>
        <v/>
      </c>
      <c r="K25" s="106" t="str">
        <f aca="false">IF(OR($C25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25)&amp;"")</f>
        <v/>
      </c>
      <c r="L25" s="105" t="str">
        <f aca="false">IF(OR($C25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25)&amp;"")</f>
        <v/>
      </c>
      <c r="M25" s="106" t="str">
        <f aca="false">IF(OR($C25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25)&amp;"")</f>
        <v/>
      </c>
      <c r="N25" s="105" t="str">
        <f aca="false">IF(OR($C25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25)&amp;"")</f>
        <v/>
      </c>
      <c r="O25" s="106" t="str">
        <f aca="false">IF(OR($C25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25)&amp;"")</f>
        <v/>
      </c>
      <c r="P25" s="105" t="str">
        <f aca="false">IF(OR($C25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25)&amp;"")</f>
        <v/>
      </c>
      <c r="Q25" s="106" t="str">
        <f aca="false">IF(OR($C25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25)&amp;"")</f>
        <v/>
      </c>
      <c r="R25" s="105" t="str">
        <f aca="false">IF(OR($C25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25)&amp;"")</f>
        <v/>
      </c>
      <c r="S25" s="106" t="str">
        <f aca="false">IF(OR($C25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25)&amp;"")</f>
        <v/>
      </c>
      <c r="T25" s="105" t="str">
        <f aca="false">IF(OR($C25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25)&amp;"")</f>
        <v/>
      </c>
      <c r="U25" s="106" t="str">
        <f aca="false">IF(OR($C25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25)&amp;"")</f>
        <v/>
      </c>
      <c r="V25" s="105" t="str">
        <f aca="false">IF(OR($C25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25)&amp;"")</f>
        <v/>
      </c>
      <c r="W25" s="106" t="str">
        <f aca="false">IF(OR($C25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25)&amp;"")</f>
        <v/>
      </c>
      <c r="X25" s="105" t="str">
        <f aca="false">IF(OR($C25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25)&amp;"")</f>
        <v/>
      </c>
      <c r="Y25" s="106" t="str">
        <f aca="false">IF(OR($C25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25)&amp;"")</f>
        <v/>
      </c>
      <c r="Z25" s="105" t="str">
        <f aca="false">IF(OR($C25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25)&amp;"")</f>
        <v/>
      </c>
      <c r="AA25" s="106" t="str">
        <f aca="false">IF(OR($C25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25)&amp;"")</f>
        <v/>
      </c>
      <c r="AB25" s="105" t="str">
        <f aca="false">IF(OR($C25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25)&amp;"")</f>
        <v/>
      </c>
      <c r="AC25" s="106" t="str">
        <f aca="false">IF(OR($C25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25)&amp;"")</f>
        <v/>
      </c>
      <c r="AD25" s="105" t="str">
        <f aca="false">IF(OR($C25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25)&amp;"")</f>
        <v/>
      </c>
      <c r="AE25" s="106" t="str">
        <f aca="false">IF(OR($C25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25)&amp;"")</f>
        <v/>
      </c>
      <c r="AF25" s="105" t="str">
        <f aca="false">IF(OR($C25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25)&amp;"")</f>
        <v/>
      </c>
      <c r="AG25" s="106" t="str">
        <f aca="false">IF(OR($C25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25)&amp;"")</f>
        <v/>
      </c>
      <c r="AH25" s="105" t="str">
        <f aca="false">IF(OR($C25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25)&amp;"")</f>
        <v/>
      </c>
      <c r="AI25" s="106" t="str">
        <f aca="false">IF(OR($C25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25)&amp;"")</f>
        <v/>
      </c>
      <c r="AJ25" s="105" t="str">
        <f aca="false">IF(OR($C25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25)&amp;"")</f>
        <v/>
      </c>
      <c r="AK25" s="106" t="str">
        <f aca="false">IF(OR($C25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25)&amp;"")</f>
        <v/>
      </c>
      <c r="AL25" s="105" t="str">
        <f aca="false">IF(OR($C25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25)&amp;"")</f>
        <v/>
      </c>
      <c r="AM25" s="106" t="str">
        <f aca="false">IF(OR($C25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25)&amp;"")</f>
        <v/>
      </c>
      <c r="AN25" s="105" t="str">
        <f aca="false">IF(OR($C25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25)&amp;"")</f>
        <v/>
      </c>
      <c r="AO25" s="106" t="str">
        <f aca="false">IF(OR($C25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25)&amp;"")</f>
        <v/>
      </c>
      <c r="AP25" s="105" t="str">
        <f aca="false">IF(OR($C25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25)&amp;"")</f>
        <v/>
      </c>
      <c r="AQ25" s="106" t="str">
        <f aca="false">IF(OR($C25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25)&amp;"")</f>
        <v/>
      </c>
      <c r="AR25" s="13"/>
      <c r="AT25" s="41" t="str">
        <f aca="false">IF(AND(設定!$D$36&lt;&gt;"",OR(($E$2&amp;"")="通年",(設定!$C$36&amp;"")=($E$2&amp;""))),20,"")</f>
        <v/>
      </c>
      <c r="AU25" s="107" t="str">
        <f aca="false">IF(AT25="","",COUNT($AT$6:AT25))</f>
        <v/>
      </c>
    </row>
    <row r="26" customFormat="false" ht="36" hidden="false" customHeight="true" outlineLevel="0" collapsed="false">
      <c r="A26" s="91" t="str">
        <f aca="false">IF($C26="","",INDEX(名簿!$C$5:$C$164,$C26))</f>
        <v/>
      </c>
      <c r="B26" s="59" t="str">
        <f aca="false">IF($C26="","",INDEX(名簿!$D$5:$D$164,$C26))</f>
        <v/>
      </c>
      <c r="C26" s="41" t="str">
        <f aca="false">IFERROR(MATCH($B$2&amp;"|"&amp;21,名簿!$G$5:$G$164,0),"")</f>
        <v/>
      </c>
      <c r="D26" s="105" t="str">
        <f aca="false">IF(OR($C26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26)&amp;"")</f>
        <v/>
      </c>
      <c r="E26" s="106" t="str">
        <f aca="false">IF(OR($C26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26)&amp;"")</f>
        <v/>
      </c>
      <c r="F26" s="105" t="str">
        <f aca="false">IF(OR($C26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26)&amp;"")</f>
        <v/>
      </c>
      <c r="G26" s="106" t="str">
        <f aca="false">IF(OR($C26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26)&amp;"")</f>
        <v/>
      </c>
      <c r="H26" s="105" t="str">
        <f aca="false">IF(OR($C26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26)&amp;"")</f>
        <v/>
      </c>
      <c r="I26" s="106" t="str">
        <f aca="false">IF(OR($C26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26)&amp;"")</f>
        <v/>
      </c>
      <c r="J26" s="105" t="str">
        <f aca="false">IF(OR($C26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26)&amp;"")</f>
        <v/>
      </c>
      <c r="K26" s="106" t="str">
        <f aca="false">IF(OR($C26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26)&amp;"")</f>
        <v/>
      </c>
      <c r="L26" s="105" t="str">
        <f aca="false">IF(OR($C26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26)&amp;"")</f>
        <v/>
      </c>
      <c r="M26" s="106" t="str">
        <f aca="false">IF(OR($C26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26)&amp;"")</f>
        <v/>
      </c>
      <c r="N26" s="105" t="str">
        <f aca="false">IF(OR($C26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26)&amp;"")</f>
        <v/>
      </c>
      <c r="O26" s="106" t="str">
        <f aca="false">IF(OR($C26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26)&amp;"")</f>
        <v/>
      </c>
      <c r="P26" s="105" t="str">
        <f aca="false">IF(OR($C26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26)&amp;"")</f>
        <v/>
      </c>
      <c r="Q26" s="106" t="str">
        <f aca="false">IF(OR($C26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26)&amp;"")</f>
        <v/>
      </c>
      <c r="R26" s="105" t="str">
        <f aca="false">IF(OR($C26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26)&amp;"")</f>
        <v/>
      </c>
      <c r="S26" s="106" t="str">
        <f aca="false">IF(OR($C26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26)&amp;"")</f>
        <v/>
      </c>
      <c r="T26" s="105" t="str">
        <f aca="false">IF(OR($C26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26)&amp;"")</f>
        <v/>
      </c>
      <c r="U26" s="106" t="str">
        <f aca="false">IF(OR($C26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26)&amp;"")</f>
        <v/>
      </c>
      <c r="V26" s="105" t="str">
        <f aca="false">IF(OR($C26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26)&amp;"")</f>
        <v/>
      </c>
      <c r="W26" s="106" t="str">
        <f aca="false">IF(OR($C26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26)&amp;"")</f>
        <v/>
      </c>
      <c r="X26" s="105" t="str">
        <f aca="false">IF(OR($C26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26)&amp;"")</f>
        <v/>
      </c>
      <c r="Y26" s="106" t="str">
        <f aca="false">IF(OR($C26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26)&amp;"")</f>
        <v/>
      </c>
      <c r="Z26" s="105" t="str">
        <f aca="false">IF(OR($C26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26)&amp;"")</f>
        <v/>
      </c>
      <c r="AA26" s="106" t="str">
        <f aca="false">IF(OR($C26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26)&amp;"")</f>
        <v/>
      </c>
      <c r="AB26" s="105" t="str">
        <f aca="false">IF(OR($C26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26)&amp;"")</f>
        <v/>
      </c>
      <c r="AC26" s="106" t="str">
        <f aca="false">IF(OR($C26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26)&amp;"")</f>
        <v/>
      </c>
      <c r="AD26" s="105" t="str">
        <f aca="false">IF(OR($C26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26)&amp;"")</f>
        <v/>
      </c>
      <c r="AE26" s="106" t="str">
        <f aca="false">IF(OR($C26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26)&amp;"")</f>
        <v/>
      </c>
      <c r="AF26" s="105" t="str">
        <f aca="false">IF(OR($C26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26)&amp;"")</f>
        <v/>
      </c>
      <c r="AG26" s="106" t="str">
        <f aca="false">IF(OR($C26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26)&amp;"")</f>
        <v/>
      </c>
      <c r="AH26" s="105" t="str">
        <f aca="false">IF(OR($C26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26)&amp;"")</f>
        <v/>
      </c>
      <c r="AI26" s="106" t="str">
        <f aca="false">IF(OR($C26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26)&amp;"")</f>
        <v/>
      </c>
      <c r="AJ26" s="105" t="str">
        <f aca="false">IF(OR($C26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26)&amp;"")</f>
        <v/>
      </c>
      <c r="AK26" s="106" t="str">
        <f aca="false">IF(OR($C26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26)&amp;"")</f>
        <v/>
      </c>
      <c r="AL26" s="105" t="str">
        <f aca="false">IF(OR($C26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26)&amp;"")</f>
        <v/>
      </c>
      <c r="AM26" s="106" t="str">
        <f aca="false">IF(OR($C26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26)&amp;"")</f>
        <v/>
      </c>
      <c r="AN26" s="105" t="str">
        <f aca="false">IF(OR($C26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26)&amp;"")</f>
        <v/>
      </c>
      <c r="AO26" s="106" t="str">
        <f aca="false">IF(OR($C26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26)&amp;"")</f>
        <v/>
      </c>
      <c r="AP26" s="105" t="str">
        <f aca="false">IF(OR($C26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26)&amp;"")</f>
        <v/>
      </c>
      <c r="AQ26" s="106" t="str">
        <f aca="false">IF(OR($C26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26)&amp;"")</f>
        <v/>
      </c>
      <c r="AR26" s="13"/>
      <c r="AT26" s="13"/>
    </row>
    <row r="27" customFormat="false" ht="36" hidden="false" customHeight="true" outlineLevel="0" collapsed="false">
      <c r="A27" s="91" t="str">
        <f aca="false">IF($C27="","",INDEX(名簿!$C$5:$C$164,$C27))</f>
        <v/>
      </c>
      <c r="B27" s="59" t="str">
        <f aca="false">IF($C27="","",INDEX(名簿!$D$5:$D$164,$C27))</f>
        <v/>
      </c>
      <c r="C27" s="41" t="str">
        <f aca="false">IFERROR(MATCH($B$2&amp;"|"&amp;22,名簿!$G$5:$G$164,0),"")</f>
        <v/>
      </c>
      <c r="D27" s="105" t="str">
        <f aca="false">IF(OR($C27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27)&amp;"")</f>
        <v/>
      </c>
      <c r="E27" s="106" t="str">
        <f aca="false">IF(OR($C27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27)&amp;"")</f>
        <v/>
      </c>
      <c r="F27" s="105" t="str">
        <f aca="false">IF(OR($C27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27)&amp;"")</f>
        <v/>
      </c>
      <c r="G27" s="106" t="str">
        <f aca="false">IF(OR($C27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27)&amp;"")</f>
        <v/>
      </c>
      <c r="H27" s="105" t="str">
        <f aca="false">IF(OR($C27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27)&amp;"")</f>
        <v/>
      </c>
      <c r="I27" s="106" t="str">
        <f aca="false">IF(OR($C27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27)&amp;"")</f>
        <v/>
      </c>
      <c r="J27" s="105" t="str">
        <f aca="false">IF(OR($C27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27)&amp;"")</f>
        <v/>
      </c>
      <c r="K27" s="106" t="str">
        <f aca="false">IF(OR($C27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27)&amp;"")</f>
        <v/>
      </c>
      <c r="L27" s="105" t="str">
        <f aca="false">IF(OR($C27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27)&amp;"")</f>
        <v/>
      </c>
      <c r="M27" s="106" t="str">
        <f aca="false">IF(OR($C27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27)&amp;"")</f>
        <v/>
      </c>
      <c r="N27" s="105" t="str">
        <f aca="false">IF(OR($C27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27)&amp;"")</f>
        <v/>
      </c>
      <c r="O27" s="106" t="str">
        <f aca="false">IF(OR($C27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27)&amp;"")</f>
        <v/>
      </c>
      <c r="P27" s="105" t="str">
        <f aca="false">IF(OR($C27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27)&amp;"")</f>
        <v/>
      </c>
      <c r="Q27" s="106" t="str">
        <f aca="false">IF(OR($C27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27)&amp;"")</f>
        <v/>
      </c>
      <c r="R27" s="105" t="str">
        <f aca="false">IF(OR($C27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27)&amp;"")</f>
        <v/>
      </c>
      <c r="S27" s="106" t="str">
        <f aca="false">IF(OR($C27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27)&amp;"")</f>
        <v/>
      </c>
      <c r="T27" s="105" t="str">
        <f aca="false">IF(OR($C27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27)&amp;"")</f>
        <v/>
      </c>
      <c r="U27" s="106" t="str">
        <f aca="false">IF(OR($C27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27)&amp;"")</f>
        <v/>
      </c>
      <c r="V27" s="105" t="str">
        <f aca="false">IF(OR($C27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27)&amp;"")</f>
        <v/>
      </c>
      <c r="W27" s="106" t="str">
        <f aca="false">IF(OR($C27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27)&amp;"")</f>
        <v/>
      </c>
      <c r="X27" s="105" t="str">
        <f aca="false">IF(OR($C27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27)&amp;"")</f>
        <v/>
      </c>
      <c r="Y27" s="106" t="str">
        <f aca="false">IF(OR($C27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27)&amp;"")</f>
        <v/>
      </c>
      <c r="Z27" s="105" t="str">
        <f aca="false">IF(OR($C27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27)&amp;"")</f>
        <v/>
      </c>
      <c r="AA27" s="106" t="str">
        <f aca="false">IF(OR($C27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27)&amp;"")</f>
        <v/>
      </c>
      <c r="AB27" s="105" t="str">
        <f aca="false">IF(OR($C27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27)&amp;"")</f>
        <v/>
      </c>
      <c r="AC27" s="106" t="str">
        <f aca="false">IF(OR($C27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27)&amp;"")</f>
        <v/>
      </c>
      <c r="AD27" s="105" t="str">
        <f aca="false">IF(OR($C27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27)&amp;"")</f>
        <v/>
      </c>
      <c r="AE27" s="106" t="str">
        <f aca="false">IF(OR($C27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27)&amp;"")</f>
        <v/>
      </c>
      <c r="AF27" s="105" t="str">
        <f aca="false">IF(OR($C27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27)&amp;"")</f>
        <v/>
      </c>
      <c r="AG27" s="106" t="str">
        <f aca="false">IF(OR($C27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27)&amp;"")</f>
        <v/>
      </c>
      <c r="AH27" s="105" t="str">
        <f aca="false">IF(OR($C27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27)&amp;"")</f>
        <v/>
      </c>
      <c r="AI27" s="106" t="str">
        <f aca="false">IF(OR($C27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27)&amp;"")</f>
        <v/>
      </c>
      <c r="AJ27" s="105" t="str">
        <f aca="false">IF(OR($C27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27)&amp;"")</f>
        <v/>
      </c>
      <c r="AK27" s="106" t="str">
        <f aca="false">IF(OR($C27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27)&amp;"")</f>
        <v/>
      </c>
      <c r="AL27" s="105" t="str">
        <f aca="false">IF(OR($C27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27)&amp;"")</f>
        <v/>
      </c>
      <c r="AM27" s="106" t="str">
        <f aca="false">IF(OR($C27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27)&amp;"")</f>
        <v/>
      </c>
      <c r="AN27" s="105" t="str">
        <f aca="false">IF(OR($C27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27)&amp;"")</f>
        <v/>
      </c>
      <c r="AO27" s="106" t="str">
        <f aca="false">IF(OR($C27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27)&amp;"")</f>
        <v/>
      </c>
      <c r="AP27" s="105" t="str">
        <f aca="false">IF(OR($C27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27)&amp;"")</f>
        <v/>
      </c>
      <c r="AQ27" s="106" t="str">
        <f aca="false">IF(OR($C27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27)&amp;"")</f>
        <v/>
      </c>
      <c r="AR27" s="13"/>
      <c r="AT27" s="13"/>
    </row>
    <row r="28" customFormat="false" ht="36" hidden="false" customHeight="true" outlineLevel="0" collapsed="false">
      <c r="A28" s="91" t="str">
        <f aca="false">IF($C28="","",INDEX(名簿!$C$5:$C$164,$C28))</f>
        <v/>
      </c>
      <c r="B28" s="59" t="str">
        <f aca="false">IF($C28="","",INDEX(名簿!$D$5:$D$164,$C28))</f>
        <v/>
      </c>
      <c r="C28" s="41" t="str">
        <f aca="false">IFERROR(MATCH($B$2&amp;"|"&amp;23,名簿!$G$5:$G$164,0),"")</f>
        <v/>
      </c>
      <c r="D28" s="105" t="str">
        <f aca="false">IF(OR($C28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28)&amp;"")</f>
        <v/>
      </c>
      <c r="E28" s="106" t="str">
        <f aca="false">IF(OR($C28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28)&amp;"")</f>
        <v/>
      </c>
      <c r="F28" s="105" t="str">
        <f aca="false">IF(OR($C28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28)&amp;"")</f>
        <v/>
      </c>
      <c r="G28" s="106" t="str">
        <f aca="false">IF(OR($C28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28)&amp;"")</f>
        <v/>
      </c>
      <c r="H28" s="105" t="str">
        <f aca="false">IF(OR($C28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28)&amp;"")</f>
        <v/>
      </c>
      <c r="I28" s="106" t="str">
        <f aca="false">IF(OR($C28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28)&amp;"")</f>
        <v/>
      </c>
      <c r="J28" s="105" t="str">
        <f aca="false">IF(OR($C28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28)&amp;"")</f>
        <v/>
      </c>
      <c r="K28" s="106" t="str">
        <f aca="false">IF(OR($C28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28)&amp;"")</f>
        <v/>
      </c>
      <c r="L28" s="105" t="str">
        <f aca="false">IF(OR($C28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28)&amp;"")</f>
        <v/>
      </c>
      <c r="M28" s="106" t="str">
        <f aca="false">IF(OR($C28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28)&amp;"")</f>
        <v/>
      </c>
      <c r="N28" s="105" t="str">
        <f aca="false">IF(OR($C28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28)&amp;"")</f>
        <v/>
      </c>
      <c r="O28" s="106" t="str">
        <f aca="false">IF(OR($C28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28)&amp;"")</f>
        <v/>
      </c>
      <c r="P28" s="105" t="str">
        <f aca="false">IF(OR($C28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28)&amp;"")</f>
        <v/>
      </c>
      <c r="Q28" s="106" t="str">
        <f aca="false">IF(OR($C28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28)&amp;"")</f>
        <v/>
      </c>
      <c r="R28" s="105" t="str">
        <f aca="false">IF(OR($C28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28)&amp;"")</f>
        <v/>
      </c>
      <c r="S28" s="106" t="str">
        <f aca="false">IF(OR($C28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28)&amp;"")</f>
        <v/>
      </c>
      <c r="T28" s="105" t="str">
        <f aca="false">IF(OR($C28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28)&amp;"")</f>
        <v/>
      </c>
      <c r="U28" s="106" t="str">
        <f aca="false">IF(OR($C28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28)&amp;"")</f>
        <v/>
      </c>
      <c r="V28" s="105" t="str">
        <f aca="false">IF(OR($C28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28)&amp;"")</f>
        <v/>
      </c>
      <c r="W28" s="106" t="str">
        <f aca="false">IF(OR($C28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28)&amp;"")</f>
        <v/>
      </c>
      <c r="X28" s="105" t="str">
        <f aca="false">IF(OR($C28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28)&amp;"")</f>
        <v/>
      </c>
      <c r="Y28" s="106" t="str">
        <f aca="false">IF(OR($C28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28)&amp;"")</f>
        <v/>
      </c>
      <c r="Z28" s="105" t="str">
        <f aca="false">IF(OR($C28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28)&amp;"")</f>
        <v/>
      </c>
      <c r="AA28" s="106" t="str">
        <f aca="false">IF(OR($C28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28)&amp;"")</f>
        <v/>
      </c>
      <c r="AB28" s="105" t="str">
        <f aca="false">IF(OR($C28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28)&amp;"")</f>
        <v/>
      </c>
      <c r="AC28" s="106" t="str">
        <f aca="false">IF(OR($C28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28)&amp;"")</f>
        <v/>
      </c>
      <c r="AD28" s="105" t="str">
        <f aca="false">IF(OR($C28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28)&amp;"")</f>
        <v/>
      </c>
      <c r="AE28" s="106" t="str">
        <f aca="false">IF(OR($C28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28)&amp;"")</f>
        <v/>
      </c>
      <c r="AF28" s="105" t="str">
        <f aca="false">IF(OR($C28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28)&amp;"")</f>
        <v/>
      </c>
      <c r="AG28" s="106" t="str">
        <f aca="false">IF(OR($C28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28)&amp;"")</f>
        <v/>
      </c>
      <c r="AH28" s="105" t="str">
        <f aca="false">IF(OR($C28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28)&amp;"")</f>
        <v/>
      </c>
      <c r="AI28" s="106" t="str">
        <f aca="false">IF(OR($C28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28)&amp;"")</f>
        <v/>
      </c>
      <c r="AJ28" s="105" t="str">
        <f aca="false">IF(OR($C28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28)&amp;"")</f>
        <v/>
      </c>
      <c r="AK28" s="106" t="str">
        <f aca="false">IF(OR($C28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28)&amp;"")</f>
        <v/>
      </c>
      <c r="AL28" s="105" t="str">
        <f aca="false">IF(OR($C28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28)&amp;"")</f>
        <v/>
      </c>
      <c r="AM28" s="106" t="str">
        <f aca="false">IF(OR($C28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28)&amp;"")</f>
        <v/>
      </c>
      <c r="AN28" s="105" t="str">
        <f aca="false">IF(OR($C28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28)&amp;"")</f>
        <v/>
      </c>
      <c r="AO28" s="106" t="str">
        <f aca="false">IF(OR($C28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28)&amp;"")</f>
        <v/>
      </c>
      <c r="AP28" s="105" t="str">
        <f aca="false">IF(OR($C28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28)&amp;"")</f>
        <v/>
      </c>
      <c r="AQ28" s="106" t="str">
        <f aca="false">IF(OR($C28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28)&amp;"")</f>
        <v/>
      </c>
      <c r="AR28" s="13"/>
      <c r="AT28" s="13"/>
    </row>
    <row r="29" customFormat="false" ht="36" hidden="false" customHeight="true" outlineLevel="0" collapsed="false">
      <c r="A29" s="91" t="str">
        <f aca="false">IF($C29="","",INDEX(名簿!$C$5:$C$164,$C29))</f>
        <v/>
      </c>
      <c r="B29" s="59" t="str">
        <f aca="false">IF($C29="","",INDEX(名簿!$D$5:$D$164,$C29))</f>
        <v/>
      </c>
      <c r="C29" s="41" t="str">
        <f aca="false">IFERROR(MATCH($B$2&amp;"|"&amp;24,名簿!$G$5:$G$164,0),"")</f>
        <v/>
      </c>
      <c r="D29" s="105" t="str">
        <f aca="false">IF(OR($C29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29)&amp;"")</f>
        <v/>
      </c>
      <c r="E29" s="106" t="str">
        <f aca="false">IF(OR($C29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29)&amp;"")</f>
        <v/>
      </c>
      <c r="F29" s="105" t="str">
        <f aca="false">IF(OR($C29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29)&amp;"")</f>
        <v/>
      </c>
      <c r="G29" s="106" t="str">
        <f aca="false">IF(OR($C29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29)&amp;"")</f>
        <v/>
      </c>
      <c r="H29" s="105" t="str">
        <f aca="false">IF(OR($C29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29)&amp;"")</f>
        <v/>
      </c>
      <c r="I29" s="106" t="str">
        <f aca="false">IF(OR($C29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29)&amp;"")</f>
        <v/>
      </c>
      <c r="J29" s="105" t="str">
        <f aca="false">IF(OR($C29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29)&amp;"")</f>
        <v/>
      </c>
      <c r="K29" s="106" t="str">
        <f aca="false">IF(OR($C29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29)&amp;"")</f>
        <v/>
      </c>
      <c r="L29" s="105" t="str">
        <f aca="false">IF(OR($C29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29)&amp;"")</f>
        <v/>
      </c>
      <c r="M29" s="106" t="str">
        <f aca="false">IF(OR($C29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29)&amp;"")</f>
        <v/>
      </c>
      <c r="N29" s="105" t="str">
        <f aca="false">IF(OR($C29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29)&amp;"")</f>
        <v/>
      </c>
      <c r="O29" s="106" t="str">
        <f aca="false">IF(OR($C29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29)&amp;"")</f>
        <v/>
      </c>
      <c r="P29" s="105" t="str">
        <f aca="false">IF(OR($C29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29)&amp;"")</f>
        <v/>
      </c>
      <c r="Q29" s="106" t="str">
        <f aca="false">IF(OR($C29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29)&amp;"")</f>
        <v/>
      </c>
      <c r="R29" s="105" t="str">
        <f aca="false">IF(OR($C29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29)&amp;"")</f>
        <v/>
      </c>
      <c r="S29" s="106" t="str">
        <f aca="false">IF(OR($C29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29)&amp;"")</f>
        <v/>
      </c>
      <c r="T29" s="105" t="str">
        <f aca="false">IF(OR($C29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29)&amp;"")</f>
        <v/>
      </c>
      <c r="U29" s="106" t="str">
        <f aca="false">IF(OR($C29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29)&amp;"")</f>
        <v/>
      </c>
      <c r="V29" s="105" t="str">
        <f aca="false">IF(OR($C29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29)&amp;"")</f>
        <v/>
      </c>
      <c r="W29" s="106" t="str">
        <f aca="false">IF(OR($C29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29)&amp;"")</f>
        <v/>
      </c>
      <c r="X29" s="105" t="str">
        <f aca="false">IF(OR($C29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29)&amp;"")</f>
        <v/>
      </c>
      <c r="Y29" s="106" t="str">
        <f aca="false">IF(OR($C29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29)&amp;"")</f>
        <v/>
      </c>
      <c r="Z29" s="105" t="str">
        <f aca="false">IF(OR($C29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29)&amp;"")</f>
        <v/>
      </c>
      <c r="AA29" s="106" t="str">
        <f aca="false">IF(OR($C29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29)&amp;"")</f>
        <v/>
      </c>
      <c r="AB29" s="105" t="str">
        <f aca="false">IF(OR($C29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29)&amp;"")</f>
        <v/>
      </c>
      <c r="AC29" s="106" t="str">
        <f aca="false">IF(OR($C29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29)&amp;"")</f>
        <v/>
      </c>
      <c r="AD29" s="105" t="str">
        <f aca="false">IF(OR($C29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29)&amp;"")</f>
        <v/>
      </c>
      <c r="AE29" s="106" t="str">
        <f aca="false">IF(OR($C29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29)&amp;"")</f>
        <v/>
      </c>
      <c r="AF29" s="105" t="str">
        <f aca="false">IF(OR($C29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29)&amp;"")</f>
        <v/>
      </c>
      <c r="AG29" s="106" t="str">
        <f aca="false">IF(OR($C29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29)&amp;"")</f>
        <v/>
      </c>
      <c r="AH29" s="105" t="str">
        <f aca="false">IF(OR($C29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29)&amp;"")</f>
        <v/>
      </c>
      <c r="AI29" s="106" t="str">
        <f aca="false">IF(OR($C29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29)&amp;"")</f>
        <v/>
      </c>
      <c r="AJ29" s="105" t="str">
        <f aca="false">IF(OR($C29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29)&amp;"")</f>
        <v/>
      </c>
      <c r="AK29" s="106" t="str">
        <f aca="false">IF(OR($C29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29)&amp;"")</f>
        <v/>
      </c>
      <c r="AL29" s="105" t="str">
        <f aca="false">IF(OR($C29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29)&amp;"")</f>
        <v/>
      </c>
      <c r="AM29" s="106" t="str">
        <f aca="false">IF(OR($C29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29)&amp;"")</f>
        <v/>
      </c>
      <c r="AN29" s="105" t="str">
        <f aca="false">IF(OR($C29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29)&amp;"")</f>
        <v/>
      </c>
      <c r="AO29" s="106" t="str">
        <f aca="false">IF(OR($C29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29)&amp;"")</f>
        <v/>
      </c>
      <c r="AP29" s="105" t="str">
        <f aca="false">IF(OR($C29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29)&amp;"")</f>
        <v/>
      </c>
      <c r="AQ29" s="106" t="str">
        <f aca="false">IF(OR($C29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29)&amp;"")</f>
        <v/>
      </c>
      <c r="AR29" s="13"/>
      <c r="AT29" s="13"/>
    </row>
    <row r="30" customFormat="false" ht="36" hidden="false" customHeight="true" outlineLevel="0" collapsed="false">
      <c r="A30" s="91" t="str">
        <f aca="false">IF($C30="","",INDEX(名簿!$C$5:$C$164,$C30))</f>
        <v/>
      </c>
      <c r="B30" s="59" t="str">
        <f aca="false">IF($C30="","",INDEX(名簿!$D$5:$D$164,$C30))</f>
        <v/>
      </c>
      <c r="C30" s="41" t="str">
        <f aca="false">IFERROR(MATCH($B$2&amp;"|"&amp;25,名簿!$G$5:$G$164,0),"")</f>
        <v/>
      </c>
      <c r="D30" s="105" t="str">
        <f aca="false">IF(OR($C30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30)&amp;"")</f>
        <v/>
      </c>
      <c r="E30" s="106" t="str">
        <f aca="false">IF(OR($C30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30)&amp;"")</f>
        <v/>
      </c>
      <c r="F30" s="105" t="str">
        <f aca="false">IF(OR($C30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30)&amp;"")</f>
        <v/>
      </c>
      <c r="G30" s="106" t="str">
        <f aca="false">IF(OR($C30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30)&amp;"")</f>
        <v/>
      </c>
      <c r="H30" s="105" t="str">
        <f aca="false">IF(OR($C30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30)&amp;"")</f>
        <v/>
      </c>
      <c r="I30" s="106" t="str">
        <f aca="false">IF(OR($C30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30)&amp;"")</f>
        <v/>
      </c>
      <c r="J30" s="105" t="str">
        <f aca="false">IF(OR($C30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30)&amp;"")</f>
        <v/>
      </c>
      <c r="K30" s="106" t="str">
        <f aca="false">IF(OR($C30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30)&amp;"")</f>
        <v/>
      </c>
      <c r="L30" s="105" t="str">
        <f aca="false">IF(OR($C30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30)&amp;"")</f>
        <v/>
      </c>
      <c r="M30" s="106" t="str">
        <f aca="false">IF(OR($C30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30)&amp;"")</f>
        <v/>
      </c>
      <c r="N30" s="105" t="str">
        <f aca="false">IF(OR($C30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30)&amp;"")</f>
        <v/>
      </c>
      <c r="O30" s="106" t="str">
        <f aca="false">IF(OR($C30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30)&amp;"")</f>
        <v/>
      </c>
      <c r="P30" s="105" t="str">
        <f aca="false">IF(OR($C30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30)&amp;"")</f>
        <v/>
      </c>
      <c r="Q30" s="106" t="str">
        <f aca="false">IF(OR($C30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30)&amp;"")</f>
        <v/>
      </c>
      <c r="R30" s="105" t="str">
        <f aca="false">IF(OR($C30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30)&amp;"")</f>
        <v/>
      </c>
      <c r="S30" s="106" t="str">
        <f aca="false">IF(OR($C30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30)&amp;"")</f>
        <v/>
      </c>
      <c r="T30" s="105" t="str">
        <f aca="false">IF(OR($C30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30)&amp;"")</f>
        <v/>
      </c>
      <c r="U30" s="106" t="str">
        <f aca="false">IF(OR($C30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30)&amp;"")</f>
        <v/>
      </c>
      <c r="V30" s="105" t="str">
        <f aca="false">IF(OR($C30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30)&amp;"")</f>
        <v/>
      </c>
      <c r="W30" s="106" t="str">
        <f aca="false">IF(OR($C30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30)&amp;"")</f>
        <v/>
      </c>
      <c r="X30" s="105" t="str">
        <f aca="false">IF(OR($C30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30)&amp;"")</f>
        <v/>
      </c>
      <c r="Y30" s="106" t="str">
        <f aca="false">IF(OR($C30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30)&amp;"")</f>
        <v/>
      </c>
      <c r="Z30" s="105" t="str">
        <f aca="false">IF(OR($C30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30)&amp;"")</f>
        <v/>
      </c>
      <c r="AA30" s="106" t="str">
        <f aca="false">IF(OR($C30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30)&amp;"")</f>
        <v/>
      </c>
      <c r="AB30" s="105" t="str">
        <f aca="false">IF(OR($C30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30)&amp;"")</f>
        <v/>
      </c>
      <c r="AC30" s="106" t="str">
        <f aca="false">IF(OR($C30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30)&amp;"")</f>
        <v/>
      </c>
      <c r="AD30" s="105" t="str">
        <f aca="false">IF(OR($C30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30)&amp;"")</f>
        <v/>
      </c>
      <c r="AE30" s="106" t="str">
        <f aca="false">IF(OR($C30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30)&amp;"")</f>
        <v/>
      </c>
      <c r="AF30" s="105" t="str">
        <f aca="false">IF(OR($C30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30)&amp;"")</f>
        <v/>
      </c>
      <c r="AG30" s="106" t="str">
        <f aca="false">IF(OR($C30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30)&amp;"")</f>
        <v/>
      </c>
      <c r="AH30" s="105" t="str">
        <f aca="false">IF(OR($C30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30)&amp;"")</f>
        <v/>
      </c>
      <c r="AI30" s="106" t="str">
        <f aca="false">IF(OR($C30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30)&amp;"")</f>
        <v/>
      </c>
      <c r="AJ30" s="105" t="str">
        <f aca="false">IF(OR($C30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30)&amp;"")</f>
        <v/>
      </c>
      <c r="AK30" s="106" t="str">
        <f aca="false">IF(OR($C30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30)&amp;"")</f>
        <v/>
      </c>
      <c r="AL30" s="105" t="str">
        <f aca="false">IF(OR($C30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30)&amp;"")</f>
        <v/>
      </c>
      <c r="AM30" s="106" t="str">
        <f aca="false">IF(OR($C30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30)&amp;"")</f>
        <v/>
      </c>
      <c r="AN30" s="105" t="str">
        <f aca="false">IF(OR($C30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30)&amp;"")</f>
        <v/>
      </c>
      <c r="AO30" s="106" t="str">
        <f aca="false">IF(OR($C30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30)&amp;"")</f>
        <v/>
      </c>
      <c r="AP30" s="105" t="str">
        <f aca="false">IF(OR($C30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30)&amp;"")</f>
        <v/>
      </c>
      <c r="AQ30" s="106" t="str">
        <f aca="false">IF(OR($C30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30)&amp;"")</f>
        <v/>
      </c>
      <c r="AR30" s="13"/>
      <c r="AT30" s="13"/>
    </row>
    <row r="31" customFormat="false" ht="36" hidden="false" customHeight="true" outlineLevel="0" collapsed="false">
      <c r="A31" s="91" t="str">
        <f aca="false">IF($C31="","",INDEX(名簿!$C$5:$C$164,$C31))</f>
        <v/>
      </c>
      <c r="B31" s="59" t="str">
        <f aca="false">IF($C31="","",INDEX(名簿!$D$5:$D$164,$C31))</f>
        <v/>
      </c>
      <c r="C31" s="41" t="str">
        <f aca="false">IFERROR(MATCH($B$2&amp;"|"&amp;26,名簿!$G$5:$G$164,0),"")</f>
        <v/>
      </c>
      <c r="D31" s="105" t="str">
        <f aca="false">IF(OR($C31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31)&amp;"")</f>
        <v/>
      </c>
      <c r="E31" s="106" t="str">
        <f aca="false">IF(OR($C31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31)&amp;"")</f>
        <v/>
      </c>
      <c r="F31" s="105" t="str">
        <f aca="false">IF(OR($C31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31)&amp;"")</f>
        <v/>
      </c>
      <c r="G31" s="106" t="str">
        <f aca="false">IF(OR($C31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31)&amp;"")</f>
        <v/>
      </c>
      <c r="H31" s="105" t="str">
        <f aca="false">IF(OR($C31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31)&amp;"")</f>
        <v/>
      </c>
      <c r="I31" s="106" t="str">
        <f aca="false">IF(OR($C31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31)&amp;"")</f>
        <v/>
      </c>
      <c r="J31" s="105" t="str">
        <f aca="false">IF(OR($C31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31)&amp;"")</f>
        <v/>
      </c>
      <c r="K31" s="106" t="str">
        <f aca="false">IF(OR($C31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31)&amp;"")</f>
        <v/>
      </c>
      <c r="L31" s="105" t="str">
        <f aca="false">IF(OR($C31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31)&amp;"")</f>
        <v/>
      </c>
      <c r="M31" s="106" t="str">
        <f aca="false">IF(OR($C31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31)&amp;"")</f>
        <v/>
      </c>
      <c r="N31" s="105" t="str">
        <f aca="false">IF(OR($C31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31)&amp;"")</f>
        <v/>
      </c>
      <c r="O31" s="106" t="str">
        <f aca="false">IF(OR($C31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31)&amp;"")</f>
        <v/>
      </c>
      <c r="P31" s="105" t="str">
        <f aca="false">IF(OR($C31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31)&amp;"")</f>
        <v/>
      </c>
      <c r="Q31" s="106" t="str">
        <f aca="false">IF(OR($C31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31)&amp;"")</f>
        <v/>
      </c>
      <c r="R31" s="105" t="str">
        <f aca="false">IF(OR($C31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31)&amp;"")</f>
        <v/>
      </c>
      <c r="S31" s="106" t="str">
        <f aca="false">IF(OR($C31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31)&amp;"")</f>
        <v/>
      </c>
      <c r="T31" s="105" t="str">
        <f aca="false">IF(OR($C31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31)&amp;"")</f>
        <v/>
      </c>
      <c r="U31" s="106" t="str">
        <f aca="false">IF(OR($C31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31)&amp;"")</f>
        <v/>
      </c>
      <c r="V31" s="105" t="str">
        <f aca="false">IF(OR($C31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31)&amp;"")</f>
        <v/>
      </c>
      <c r="W31" s="106" t="str">
        <f aca="false">IF(OR($C31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31)&amp;"")</f>
        <v/>
      </c>
      <c r="X31" s="105" t="str">
        <f aca="false">IF(OR($C31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31)&amp;"")</f>
        <v/>
      </c>
      <c r="Y31" s="106" t="str">
        <f aca="false">IF(OR($C31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31)&amp;"")</f>
        <v/>
      </c>
      <c r="Z31" s="105" t="str">
        <f aca="false">IF(OR($C31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31)&amp;"")</f>
        <v/>
      </c>
      <c r="AA31" s="106" t="str">
        <f aca="false">IF(OR($C31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31)&amp;"")</f>
        <v/>
      </c>
      <c r="AB31" s="105" t="str">
        <f aca="false">IF(OR($C31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31)&amp;"")</f>
        <v/>
      </c>
      <c r="AC31" s="106" t="str">
        <f aca="false">IF(OR($C31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31)&amp;"")</f>
        <v/>
      </c>
      <c r="AD31" s="105" t="str">
        <f aca="false">IF(OR($C31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31)&amp;"")</f>
        <v/>
      </c>
      <c r="AE31" s="106" t="str">
        <f aca="false">IF(OR($C31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31)&amp;"")</f>
        <v/>
      </c>
      <c r="AF31" s="105" t="str">
        <f aca="false">IF(OR($C31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31)&amp;"")</f>
        <v/>
      </c>
      <c r="AG31" s="106" t="str">
        <f aca="false">IF(OR($C31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31)&amp;"")</f>
        <v/>
      </c>
      <c r="AH31" s="105" t="str">
        <f aca="false">IF(OR($C31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31)&amp;"")</f>
        <v/>
      </c>
      <c r="AI31" s="106" t="str">
        <f aca="false">IF(OR($C31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31)&amp;"")</f>
        <v/>
      </c>
      <c r="AJ31" s="105" t="str">
        <f aca="false">IF(OR($C31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31)&amp;"")</f>
        <v/>
      </c>
      <c r="AK31" s="106" t="str">
        <f aca="false">IF(OR($C31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31)&amp;"")</f>
        <v/>
      </c>
      <c r="AL31" s="105" t="str">
        <f aca="false">IF(OR($C31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31)&amp;"")</f>
        <v/>
      </c>
      <c r="AM31" s="106" t="str">
        <f aca="false">IF(OR($C31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31)&amp;"")</f>
        <v/>
      </c>
      <c r="AN31" s="105" t="str">
        <f aca="false">IF(OR($C31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31)&amp;"")</f>
        <v/>
      </c>
      <c r="AO31" s="106" t="str">
        <f aca="false">IF(OR($C31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31)&amp;"")</f>
        <v/>
      </c>
      <c r="AP31" s="105" t="str">
        <f aca="false">IF(OR($C31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31)&amp;"")</f>
        <v/>
      </c>
      <c r="AQ31" s="106" t="str">
        <f aca="false">IF(OR($C31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31)&amp;"")</f>
        <v/>
      </c>
      <c r="AR31" s="13"/>
      <c r="AT31" s="13"/>
    </row>
    <row r="32" customFormat="false" ht="36" hidden="false" customHeight="true" outlineLevel="0" collapsed="false">
      <c r="A32" s="91" t="str">
        <f aca="false">IF($C32="","",INDEX(名簿!$C$5:$C$164,$C32))</f>
        <v/>
      </c>
      <c r="B32" s="59" t="str">
        <f aca="false">IF($C32="","",INDEX(名簿!$D$5:$D$164,$C32))</f>
        <v/>
      </c>
      <c r="C32" s="41" t="str">
        <f aca="false">IFERROR(MATCH($B$2&amp;"|"&amp;27,名簿!$G$5:$G$164,0),"")</f>
        <v/>
      </c>
      <c r="D32" s="105" t="str">
        <f aca="false">IF(OR($C32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32)&amp;"")</f>
        <v/>
      </c>
      <c r="E32" s="106" t="str">
        <f aca="false">IF(OR($C32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32)&amp;"")</f>
        <v/>
      </c>
      <c r="F32" s="105" t="str">
        <f aca="false">IF(OR($C32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32)&amp;"")</f>
        <v/>
      </c>
      <c r="G32" s="106" t="str">
        <f aca="false">IF(OR($C32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32)&amp;"")</f>
        <v/>
      </c>
      <c r="H32" s="105" t="str">
        <f aca="false">IF(OR($C32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32)&amp;"")</f>
        <v/>
      </c>
      <c r="I32" s="106" t="str">
        <f aca="false">IF(OR($C32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32)&amp;"")</f>
        <v/>
      </c>
      <c r="J32" s="105" t="str">
        <f aca="false">IF(OR($C32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32)&amp;"")</f>
        <v/>
      </c>
      <c r="K32" s="106" t="str">
        <f aca="false">IF(OR($C32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32)&amp;"")</f>
        <v/>
      </c>
      <c r="L32" s="105" t="str">
        <f aca="false">IF(OR($C32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32)&amp;"")</f>
        <v/>
      </c>
      <c r="M32" s="106" t="str">
        <f aca="false">IF(OR($C32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32)&amp;"")</f>
        <v/>
      </c>
      <c r="N32" s="105" t="str">
        <f aca="false">IF(OR($C32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32)&amp;"")</f>
        <v/>
      </c>
      <c r="O32" s="106" t="str">
        <f aca="false">IF(OR($C32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32)&amp;"")</f>
        <v/>
      </c>
      <c r="P32" s="105" t="str">
        <f aca="false">IF(OR($C32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32)&amp;"")</f>
        <v/>
      </c>
      <c r="Q32" s="106" t="str">
        <f aca="false">IF(OR($C32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32)&amp;"")</f>
        <v/>
      </c>
      <c r="R32" s="105" t="str">
        <f aca="false">IF(OR($C32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32)&amp;"")</f>
        <v/>
      </c>
      <c r="S32" s="106" t="str">
        <f aca="false">IF(OR($C32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32)&amp;"")</f>
        <v/>
      </c>
      <c r="T32" s="105" t="str">
        <f aca="false">IF(OR($C32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32)&amp;"")</f>
        <v/>
      </c>
      <c r="U32" s="106" t="str">
        <f aca="false">IF(OR($C32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32)&amp;"")</f>
        <v/>
      </c>
      <c r="V32" s="105" t="str">
        <f aca="false">IF(OR($C32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32)&amp;"")</f>
        <v/>
      </c>
      <c r="W32" s="106" t="str">
        <f aca="false">IF(OR($C32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32)&amp;"")</f>
        <v/>
      </c>
      <c r="X32" s="105" t="str">
        <f aca="false">IF(OR($C32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32)&amp;"")</f>
        <v/>
      </c>
      <c r="Y32" s="106" t="str">
        <f aca="false">IF(OR($C32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32)&amp;"")</f>
        <v/>
      </c>
      <c r="Z32" s="105" t="str">
        <f aca="false">IF(OR($C32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32)&amp;"")</f>
        <v/>
      </c>
      <c r="AA32" s="106" t="str">
        <f aca="false">IF(OR($C32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32)&amp;"")</f>
        <v/>
      </c>
      <c r="AB32" s="105" t="str">
        <f aca="false">IF(OR($C32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32)&amp;"")</f>
        <v/>
      </c>
      <c r="AC32" s="106" t="str">
        <f aca="false">IF(OR($C32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32)&amp;"")</f>
        <v/>
      </c>
      <c r="AD32" s="105" t="str">
        <f aca="false">IF(OR($C32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32)&amp;"")</f>
        <v/>
      </c>
      <c r="AE32" s="106" t="str">
        <f aca="false">IF(OR($C32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32)&amp;"")</f>
        <v/>
      </c>
      <c r="AF32" s="105" t="str">
        <f aca="false">IF(OR($C32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32)&amp;"")</f>
        <v/>
      </c>
      <c r="AG32" s="106" t="str">
        <f aca="false">IF(OR($C32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32)&amp;"")</f>
        <v/>
      </c>
      <c r="AH32" s="105" t="str">
        <f aca="false">IF(OR($C32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32)&amp;"")</f>
        <v/>
      </c>
      <c r="AI32" s="106" t="str">
        <f aca="false">IF(OR($C32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32)&amp;"")</f>
        <v/>
      </c>
      <c r="AJ32" s="105" t="str">
        <f aca="false">IF(OR($C32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32)&amp;"")</f>
        <v/>
      </c>
      <c r="AK32" s="106" t="str">
        <f aca="false">IF(OR($C32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32)&amp;"")</f>
        <v/>
      </c>
      <c r="AL32" s="105" t="str">
        <f aca="false">IF(OR($C32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32)&amp;"")</f>
        <v/>
      </c>
      <c r="AM32" s="106" t="str">
        <f aca="false">IF(OR($C32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32)&amp;"")</f>
        <v/>
      </c>
      <c r="AN32" s="105" t="str">
        <f aca="false">IF(OR($C32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32)&amp;"")</f>
        <v/>
      </c>
      <c r="AO32" s="106" t="str">
        <f aca="false">IF(OR($C32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32)&amp;"")</f>
        <v/>
      </c>
      <c r="AP32" s="105" t="str">
        <f aca="false">IF(OR($C32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32)&amp;"")</f>
        <v/>
      </c>
      <c r="AQ32" s="106" t="str">
        <f aca="false">IF(OR($C32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32)&amp;"")</f>
        <v/>
      </c>
      <c r="AR32" s="13"/>
      <c r="AT32" s="13"/>
    </row>
    <row r="33" customFormat="false" ht="36" hidden="false" customHeight="true" outlineLevel="0" collapsed="false">
      <c r="A33" s="91" t="str">
        <f aca="false">IF($C33="","",INDEX(名簿!$C$5:$C$164,$C33))</f>
        <v/>
      </c>
      <c r="B33" s="59" t="str">
        <f aca="false">IF($C33="","",INDEX(名簿!$D$5:$D$164,$C33))</f>
        <v/>
      </c>
      <c r="C33" s="41" t="str">
        <f aca="false">IFERROR(MATCH($B$2&amp;"|"&amp;28,名簿!$G$5:$G$164,0),"")</f>
        <v/>
      </c>
      <c r="D33" s="105" t="str">
        <f aca="false">IF(OR($C33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33)&amp;"")</f>
        <v/>
      </c>
      <c r="E33" s="106" t="str">
        <f aca="false">IF(OR($C33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33)&amp;"")</f>
        <v/>
      </c>
      <c r="F33" s="105" t="str">
        <f aca="false">IF(OR($C33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33)&amp;"")</f>
        <v/>
      </c>
      <c r="G33" s="106" t="str">
        <f aca="false">IF(OR($C33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33)&amp;"")</f>
        <v/>
      </c>
      <c r="H33" s="105" t="str">
        <f aca="false">IF(OR($C33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33)&amp;"")</f>
        <v/>
      </c>
      <c r="I33" s="106" t="str">
        <f aca="false">IF(OR($C33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33)&amp;"")</f>
        <v/>
      </c>
      <c r="J33" s="105" t="str">
        <f aca="false">IF(OR($C33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33)&amp;"")</f>
        <v/>
      </c>
      <c r="K33" s="106" t="str">
        <f aca="false">IF(OR($C33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33)&amp;"")</f>
        <v/>
      </c>
      <c r="L33" s="105" t="str">
        <f aca="false">IF(OR($C33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33)&amp;"")</f>
        <v/>
      </c>
      <c r="M33" s="106" t="str">
        <f aca="false">IF(OR($C33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33)&amp;"")</f>
        <v/>
      </c>
      <c r="N33" s="105" t="str">
        <f aca="false">IF(OR($C33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33)&amp;"")</f>
        <v/>
      </c>
      <c r="O33" s="106" t="str">
        <f aca="false">IF(OR($C33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33)&amp;"")</f>
        <v/>
      </c>
      <c r="P33" s="105" t="str">
        <f aca="false">IF(OR($C33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33)&amp;"")</f>
        <v/>
      </c>
      <c r="Q33" s="106" t="str">
        <f aca="false">IF(OR($C33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33)&amp;"")</f>
        <v/>
      </c>
      <c r="R33" s="105" t="str">
        <f aca="false">IF(OR($C33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33)&amp;"")</f>
        <v/>
      </c>
      <c r="S33" s="106" t="str">
        <f aca="false">IF(OR($C33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33)&amp;"")</f>
        <v/>
      </c>
      <c r="T33" s="105" t="str">
        <f aca="false">IF(OR($C33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33)&amp;"")</f>
        <v/>
      </c>
      <c r="U33" s="106" t="str">
        <f aca="false">IF(OR($C33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33)&amp;"")</f>
        <v/>
      </c>
      <c r="V33" s="105" t="str">
        <f aca="false">IF(OR($C33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33)&amp;"")</f>
        <v/>
      </c>
      <c r="W33" s="106" t="str">
        <f aca="false">IF(OR($C33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33)&amp;"")</f>
        <v/>
      </c>
      <c r="X33" s="105" t="str">
        <f aca="false">IF(OR($C33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33)&amp;"")</f>
        <v/>
      </c>
      <c r="Y33" s="106" t="str">
        <f aca="false">IF(OR($C33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33)&amp;"")</f>
        <v/>
      </c>
      <c r="Z33" s="105" t="str">
        <f aca="false">IF(OR($C33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33)&amp;"")</f>
        <v/>
      </c>
      <c r="AA33" s="106" t="str">
        <f aca="false">IF(OR($C33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33)&amp;"")</f>
        <v/>
      </c>
      <c r="AB33" s="105" t="str">
        <f aca="false">IF(OR($C33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33)&amp;"")</f>
        <v/>
      </c>
      <c r="AC33" s="106" t="str">
        <f aca="false">IF(OR($C33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33)&amp;"")</f>
        <v/>
      </c>
      <c r="AD33" s="105" t="str">
        <f aca="false">IF(OR($C33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33)&amp;"")</f>
        <v/>
      </c>
      <c r="AE33" s="106" t="str">
        <f aca="false">IF(OR($C33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33)&amp;"")</f>
        <v/>
      </c>
      <c r="AF33" s="105" t="str">
        <f aca="false">IF(OR($C33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33)&amp;"")</f>
        <v/>
      </c>
      <c r="AG33" s="106" t="str">
        <f aca="false">IF(OR($C33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33)&amp;"")</f>
        <v/>
      </c>
      <c r="AH33" s="105" t="str">
        <f aca="false">IF(OR($C33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33)&amp;"")</f>
        <v/>
      </c>
      <c r="AI33" s="106" t="str">
        <f aca="false">IF(OR($C33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33)&amp;"")</f>
        <v/>
      </c>
      <c r="AJ33" s="105" t="str">
        <f aca="false">IF(OR($C33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33)&amp;"")</f>
        <v/>
      </c>
      <c r="AK33" s="106" t="str">
        <f aca="false">IF(OR($C33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33)&amp;"")</f>
        <v/>
      </c>
      <c r="AL33" s="105" t="str">
        <f aca="false">IF(OR($C33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33)&amp;"")</f>
        <v/>
      </c>
      <c r="AM33" s="106" t="str">
        <f aca="false">IF(OR($C33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33)&amp;"")</f>
        <v/>
      </c>
      <c r="AN33" s="105" t="str">
        <f aca="false">IF(OR($C33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33)&amp;"")</f>
        <v/>
      </c>
      <c r="AO33" s="106" t="str">
        <f aca="false">IF(OR($C33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33)&amp;"")</f>
        <v/>
      </c>
      <c r="AP33" s="105" t="str">
        <f aca="false">IF(OR($C33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33)&amp;"")</f>
        <v/>
      </c>
      <c r="AQ33" s="106" t="str">
        <f aca="false">IF(OR($C33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33)&amp;"")</f>
        <v/>
      </c>
      <c r="AR33" s="13"/>
      <c r="AT33" s="13"/>
    </row>
    <row r="34" customFormat="false" ht="36" hidden="false" customHeight="true" outlineLevel="0" collapsed="false">
      <c r="A34" s="91" t="str">
        <f aca="false">IF($C34="","",INDEX(名簿!$C$5:$C$164,$C34))</f>
        <v/>
      </c>
      <c r="B34" s="59" t="str">
        <f aca="false">IF($C34="","",INDEX(名簿!$D$5:$D$164,$C34))</f>
        <v/>
      </c>
      <c r="C34" s="41" t="str">
        <f aca="false">IFERROR(MATCH($B$2&amp;"|"&amp;29,名簿!$G$5:$G$164,0),"")</f>
        <v/>
      </c>
      <c r="D34" s="105" t="str">
        <f aca="false">IF(OR($C34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34)&amp;"")</f>
        <v/>
      </c>
      <c r="E34" s="106" t="str">
        <f aca="false">IF(OR($C34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34)&amp;"")</f>
        <v/>
      </c>
      <c r="F34" s="105" t="str">
        <f aca="false">IF(OR($C34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34)&amp;"")</f>
        <v/>
      </c>
      <c r="G34" s="106" t="str">
        <f aca="false">IF(OR($C34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34)&amp;"")</f>
        <v/>
      </c>
      <c r="H34" s="105" t="str">
        <f aca="false">IF(OR($C34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34)&amp;"")</f>
        <v/>
      </c>
      <c r="I34" s="106" t="str">
        <f aca="false">IF(OR($C34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34)&amp;"")</f>
        <v/>
      </c>
      <c r="J34" s="105" t="str">
        <f aca="false">IF(OR($C34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34)&amp;"")</f>
        <v/>
      </c>
      <c r="K34" s="106" t="str">
        <f aca="false">IF(OR($C34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34)&amp;"")</f>
        <v/>
      </c>
      <c r="L34" s="105" t="str">
        <f aca="false">IF(OR($C34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34)&amp;"")</f>
        <v/>
      </c>
      <c r="M34" s="106" t="str">
        <f aca="false">IF(OR($C34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34)&amp;"")</f>
        <v/>
      </c>
      <c r="N34" s="105" t="str">
        <f aca="false">IF(OR($C34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34)&amp;"")</f>
        <v/>
      </c>
      <c r="O34" s="106" t="str">
        <f aca="false">IF(OR($C34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34)&amp;"")</f>
        <v/>
      </c>
      <c r="P34" s="105" t="str">
        <f aca="false">IF(OR($C34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34)&amp;"")</f>
        <v/>
      </c>
      <c r="Q34" s="106" t="str">
        <f aca="false">IF(OR($C34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34)&amp;"")</f>
        <v/>
      </c>
      <c r="R34" s="105" t="str">
        <f aca="false">IF(OR($C34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34)&amp;"")</f>
        <v/>
      </c>
      <c r="S34" s="106" t="str">
        <f aca="false">IF(OR($C34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34)&amp;"")</f>
        <v/>
      </c>
      <c r="T34" s="105" t="str">
        <f aca="false">IF(OR($C34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34)&amp;"")</f>
        <v/>
      </c>
      <c r="U34" s="106" t="str">
        <f aca="false">IF(OR($C34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34)&amp;"")</f>
        <v/>
      </c>
      <c r="V34" s="105" t="str">
        <f aca="false">IF(OR($C34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34)&amp;"")</f>
        <v/>
      </c>
      <c r="W34" s="106" t="str">
        <f aca="false">IF(OR($C34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34)&amp;"")</f>
        <v/>
      </c>
      <c r="X34" s="105" t="str">
        <f aca="false">IF(OR($C34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34)&amp;"")</f>
        <v/>
      </c>
      <c r="Y34" s="106" t="str">
        <f aca="false">IF(OR($C34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34)&amp;"")</f>
        <v/>
      </c>
      <c r="Z34" s="105" t="str">
        <f aca="false">IF(OR($C34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34)&amp;"")</f>
        <v/>
      </c>
      <c r="AA34" s="106" t="str">
        <f aca="false">IF(OR($C34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34)&amp;"")</f>
        <v/>
      </c>
      <c r="AB34" s="105" t="str">
        <f aca="false">IF(OR($C34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34)&amp;"")</f>
        <v/>
      </c>
      <c r="AC34" s="106" t="str">
        <f aca="false">IF(OR($C34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34)&amp;"")</f>
        <v/>
      </c>
      <c r="AD34" s="105" t="str">
        <f aca="false">IF(OR($C34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34)&amp;"")</f>
        <v/>
      </c>
      <c r="AE34" s="106" t="str">
        <f aca="false">IF(OR($C34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34)&amp;"")</f>
        <v/>
      </c>
      <c r="AF34" s="105" t="str">
        <f aca="false">IF(OR($C34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34)&amp;"")</f>
        <v/>
      </c>
      <c r="AG34" s="106" t="str">
        <f aca="false">IF(OR($C34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34)&amp;"")</f>
        <v/>
      </c>
      <c r="AH34" s="105" t="str">
        <f aca="false">IF(OR($C34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34)&amp;"")</f>
        <v/>
      </c>
      <c r="AI34" s="106" t="str">
        <f aca="false">IF(OR($C34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34)&amp;"")</f>
        <v/>
      </c>
      <c r="AJ34" s="105" t="str">
        <f aca="false">IF(OR($C34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34)&amp;"")</f>
        <v/>
      </c>
      <c r="AK34" s="106" t="str">
        <f aca="false">IF(OR($C34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34)&amp;"")</f>
        <v/>
      </c>
      <c r="AL34" s="105" t="str">
        <f aca="false">IF(OR($C34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34)&amp;"")</f>
        <v/>
      </c>
      <c r="AM34" s="106" t="str">
        <f aca="false">IF(OR($C34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34)&amp;"")</f>
        <v/>
      </c>
      <c r="AN34" s="105" t="str">
        <f aca="false">IF(OR($C34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34)&amp;"")</f>
        <v/>
      </c>
      <c r="AO34" s="106" t="str">
        <f aca="false">IF(OR($C34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34)&amp;"")</f>
        <v/>
      </c>
      <c r="AP34" s="105" t="str">
        <f aca="false">IF(OR($C34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34)&amp;"")</f>
        <v/>
      </c>
      <c r="AQ34" s="106" t="str">
        <f aca="false">IF(OR($C34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34)&amp;"")</f>
        <v/>
      </c>
      <c r="AR34" s="13"/>
      <c r="AT34" s="13"/>
    </row>
    <row r="35" customFormat="false" ht="36" hidden="false" customHeight="true" outlineLevel="0" collapsed="false">
      <c r="A35" s="91" t="str">
        <f aca="false">IF($C35="","",INDEX(名簿!$C$5:$C$164,$C35))</f>
        <v/>
      </c>
      <c r="B35" s="59" t="str">
        <f aca="false">IF($C35="","",INDEX(名簿!$D$5:$D$164,$C35))</f>
        <v/>
      </c>
      <c r="C35" s="41" t="str">
        <f aca="false">IFERROR(MATCH($B$2&amp;"|"&amp;30,名簿!$G$5:$G$164,0),"")</f>
        <v/>
      </c>
      <c r="D35" s="105" t="str">
        <f aca="false">IF(OR($C35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35)&amp;"")</f>
        <v/>
      </c>
      <c r="E35" s="106" t="str">
        <f aca="false">IF(OR($C35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35)&amp;"")</f>
        <v/>
      </c>
      <c r="F35" s="105" t="str">
        <f aca="false">IF(OR($C35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35)&amp;"")</f>
        <v/>
      </c>
      <c r="G35" s="106" t="str">
        <f aca="false">IF(OR($C35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35)&amp;"")</f>
        <v/>
      </c>
      <c r="H35" s="105" t="str">
        <f aca="false">IF(OR($C35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35)&amp;"")</f>
        <v/>
      </c>
      <c r="I35" s="106" t="str">
        <f aca="false">IF(OR($C35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35)&amp;"")</f>
        <v/>
      </c>
      <c r="J35" s="105" t="str">
        <f aca="false">IF(OR($C35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35)&amp;"")</f>
        <v/>
      </c>
      <c r="K35" s="106" t="str">
        <f aca="false">IF(OR($C35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35)&amp;"")</f>
        <v/>
      </c>
      <c r="L35" s="105" t="str">
        <f aca="false">IF(OR($C35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35)&amp;"")</f>
        <v/>
      </c>
      <c r="M35" s="106" t="str">
        <f aca="false">IF(OR($C35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35)&amp;"")</f>
        <v/>
      </c>
      <c r="N35" s="105" t="str">
        <f aca="false">IF(OR($C35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35)&amp;"")</f>
        <v/>
      </c>
      <c r="O35" s="106" t="str">
        <f aca="false">IF(OR($C35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35)&amp;"")</f>
        <v/>
      </c>
      <c r="P35" s="105" t="str">
        <f aca="false">IF(OR($C35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35)&amp;"")</f>
        <v/>
      </c>
      <c r="Q35" s="106" t="str">
        <f aca="false">IF(OR($C35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35)&amp;"")</f>
        <v/>
      </c>
      <c r="R35" s="105" t="str">
        <f aca="false">IF(OR($C35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35)&amp;"")</f>
        <v/>
      </c>
      <c r="S35" s="106" t="str">
        <f aca="false">IF(OR($C35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35)&amp;"")</f>
        <v/>
      </c>
      <c r="T35" s="105" t="str">
        <f aca="false">IF(OR($C35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35)&amp;"")</f>
        <v/>
      </c>
      <c r="U35" s="106" t="str">
        <f aca="false">IF(OR($C35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35)&amp;"")</f>
        <v/>
      </c>
      <c r="V35" s="105" t="str">
        <f aca="false">IF(OR($C35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35)&amp;"")</f>
        <v/>
      </c>
      <c r="W35" s="106" t="str">
        <f aca="false">IF(OR($C35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35)&amp;"")</f>
        <v/>
      </c>
      <c r="X35" s="105" t="str">
        <f aca="false">IF(OR($C35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35)&amp;"")</f>
        <v/>
      </c>
      <c r="Y35" s="106" t="str">
        <f aca="false">IF(OR($C35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35)&amp;"")</f>
        <v/>
      </c>
      <c r="Z35" s="105" t="str">
        <f aca="false">IF(OR($C35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35)&amp;"")</f>
        <v/>
      </c>
      <c r="AA35" s="106" t="str">
        <f aca="false">IF(OR($C35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35)&amp;"")</f>
        <v/>
      </c>
      <c r="AB35" s="105" t="str">
        <f aca="false">IF(OR($C35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35)&amp;"")</f>
        <v/>
      </c>
      <c r="AC35" s="106" t="str">
        <f aca="false">IF(OR($C35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35)&amp;"")</f>
        <v/>
      </c>
      <c r="AD35" s="105" t="str">
        <f aca="false">IF(OR($C35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35)&amp;"")</f>
        <v/>
      </c>
      <c r="AE35" s="106" t="str">
        <f aca="false">IF(OR($C35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35)&amp;"")</f>
        <v/>
      </c>
      <c r="AF35" s="105" t="str">
        <f aca="false">IF(OR($C35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35)&amp;"")</f>
        <v/>
      </c>
      <c r="AG35" s="106" t="str">
        <f aca="false">IF(OR($C35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35)&amp;"")</f>
        <v/>
      </c>
      <c r="AH35" s="105" t="str">
        <f aca="false">IF(OR($C35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35)&amp;"")</f>
        <v/>
      </c>
      <c r="AI35" s="106" t="str">
        <f aca="false">IF(OR($C35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35)&amp;"")</f>
        <v/>
      </c>
      <c r="AJ35" s="105" t="str">
        <f aca="false">IF(OR($C35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35)&amp;"")</f>
        <v/>
      </c>
      <c r="AK35" s="106" t="str">
        <f aca="false">IF(OR($C35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35)&amp;"")</f>
        <v/>
      </c>
      <c r="AL35" s="105" t="str">
        <f aca="false">IF(OR($C35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35)&amp;"")</f>
        <v/>
      </c>
      <c r="AM35" s="106" t="str">
        <f aca="false">IF(OR($C35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35)&amp;"")</f>
        <v/>
      </c>
      <c r="AN35" s="105" t="str">
        <f aca="false">IF(OR($C35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35)&amp;"")</f>
        <v/>
      </c>
      <c r="AO35" s="106" t="str">
        <f aca="false">IF(OR($C35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35)&amp;"")</f>
        <v/>
      </c>
      <c r="AP35" s="105" t="str">
        <f aca="false">IF(OR($C35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35)&amp;"")</f>
        <v/>
      </c>
      <c r="AQ35" s="106" t="str">
        <f aca="false">IF(OR($C35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35)&amp;"")</f>
        <v/>
      </c>
      <c r="AR35" s="13"/>
      <c r="AT35" s="13"/>
    </row>
    <row r="36" customFormat="false" ht="36" hidden="false" customHeight="true" outlineLevel="0" collapsed="false">
      <c r="A36" s="91" t="str">
        <f aca="false">IF($C36="","",INDEX(名簿!$C$5:$C$164,$C36))</f>
        <v/>
      </c>
      <c r="B36" s="59" t="str">
        <f aca="false">IF($C36="","",INDEX(名簿!$D$5:$D$164,$C36))</f>
        <v/>
      </c>
      <c r="C36" s="41" t="str">
        <f aca="false">IFERROR(MATCH($B$2&amp;"|"&amp;31,名簿!$G$5:$G$164,0),"")</f>
        <v/>
      </c>
      <c r="D36" s="105" t="str">
        <f aca="false">IF(OR($C36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36)&amp;"")</f>
        <v/>
      </c>
      <c r="E36" s="106" t="str">
        <f aca="false">IF(OR($C36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36)&amp;"")</f>
        <v/>
      </c>
      <c r="F36" s="105" t="str">
        <f aca="false">IF(OR($C36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36)&amp;"")</f>
        <v/>
      </c>
      <c r="G36" s="106" t="str">
        <f aca="false">IF(OR($C36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36)&amp;"")</f>
        <v/>
      </c>
      <c r="H36" s="105" t="str">
        <f aca="false">IF(OR($C36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36)&amp;"")</f>
        <v/>
      </c>
      <c r="I36" s="106" t="str">
        <f aca="false">IF(OR($C36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36)&amp;"")</f>
        <v/>
      </c>
      <c r="J36" s="105" t="str">
        <f aca="false">IF(OR($C36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36)&amp;"")</f>
        <v/>
      </c>
      <c r="K36" s="106" t="str">
        <f aca="false">IF(OR($C36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36)&amp;"")</f>
        <v/>
      </c>
      <c r="L36" s="105" t="str">
        <f aca="false">IF(OR($C36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36)&amp;"")</f>
        <v/>
      </c>
      <c r="M36" s="106" t="str">
        <f aca="false">IF(OR($C36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36)&amp;"")</f>
        <v/>
      </c>
      <c r="N36" s="105" t="str">
        <f aca="false">IF(OR($C36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36)&amp;"")</f>
        <v/>
      </c>
      <c r="O36" s="106" t="str">
        <f aca="false">IF(OR($C36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36)&amp;"")</f>
        <v/>
      </c>
      <c r="P36" s="105" t="str">
        <f aca="false">IF(OR($C36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36)&amp;"")</f>
        <v/>
      </c>
      <c r="Q36" s="106" t="str">
        <f aca="false">IF(OR($C36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36)&amp;"")</f>
        <v/>
      </c>
      <c r="R36" s="105" t="str">
        <f aca="false">IF(OR($C36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36)&amp;"")</f>
        <v/>
      </c>
      <c r="S36" s="106" t="str">
        <f aca="false">IF(OR($C36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36)&amp;"")</f>
        <v/>
      </c>
      <c r="T36" s="105" t="str">
        <f aca="false">IF(OR($C36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36)&amp;"")</f>
        <v/>
      </c>
      <c r="U36" s="106" t="str">
        <f aca="false">IF(OR($C36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36)&amp;"")</f>
        <v/>
      </c>
      <c r="V36" s="105" t="str">
        <f aca="false">IF(OR($C36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36)&amp;"")</f>
        <v/>
      </c>
      <c r="W36" s="106" t="str">
        <f aca="false">IF(OR($C36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36)&amp;"")</f>
        <v/>
      </c>
      <c r="X36" s="105" t="str">
        <f aca="false">IF(OR($C36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36)&amp;"")</f>
        <v/>
      </c>
      <c r="Y36" s="106" t="str">
        <f aca="false">IF(OR($C36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36)&amp;"")</f>
        <v/>
      </c>
      <c r="Z36" s="105" t="str">
        <f aca="false">IF(OR($C36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36)&amp;"")</f>
        <v/>
      </c>
      <c r="AA36" s="106" t="str">
        <f aca="false">IF(OR($C36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36)&amp;"")</f>
        <v/>
      </c>
      <c r="AB36" s="105" t="str">
        <f aca="false">IF(OR($C36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36)&amp;"")</f>
        <v/>
      </c>
      <c r="AC36" s="106" t="str">
        <f aca="false">IF(OR($C36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36)&amp;"")</f>
        <v/>
      </c>
      <c r="AD36" s="105" t="str">
        <f aca="false">IF(OR($C36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36)&amp;"")</f>
        <v/>
      </c>
      <c r="AE36" s="106" t="str">
        <f aca="false">IF(OR($C36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36)&amp;"")</f>
        <v/>
      </c>
      <c r="AF36" s="105" t="str">
        <f aca="false">IF(OR($C36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36)&amp;"")</f>
        <v/>
      </c>
      <c r="AG36" s="106" t="str">
        <f aca="false">IF(OR($C36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36)&amp;"")</f>
        <v/>
      </c>
      <c r="AH36" s="105" t="str">
        <f aca="false">IF(OR($C36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36)&amp;"")</f>
        <v/>
      </c>
      <c r="AI36" s="106" t="str">
        <f aca="false">IF(OR($C36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36)&amp;"")</f>
        <v/>
      </c>
      <c r="AJ36" s="105" t="str">
        <f aca="false">IF(OR($C36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36)&amp;"")</f>
        <v/>
      </c>
      <c r="AK36" s="106" t="str">
        <f aca="false">IF(OR($C36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36)&amp;"")</f>
        <v/>
      </c>
      <c r="AL36" s="105" t="str">
        <f aca="false">IF(OR($C36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36)&amp;"")</f>
        <v/>
      </c>
      <c r="AM36" s="106" t="str">
        <f aca="false">IF(OR($C36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36)&amp;"")</f>
        <v/>
      </c>
      <c r="AN36" s="105" t="str">
        <f aca="false">IF(OR($C36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36)&amp;"")</f>
        <v/>
      </c>
      <c r="AO36" s="106" t="str">
        <f aca="false">IF(OR($C36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36)&amp;"")</f>
        <v/>
      </c>
      <c r="AP36" s="105" t="str">
        <f aca="false">IF(OR($C36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36)&amp;"")</f>
        <v/>
      </c>
      <c r="AQ36" s="106" t="str">
        <f aca="false">IF(OR($C36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36)&amp;"")</f>
        <v/>
      </c>
      <c r="AR36" s="13"/>
      <c r="AT36" s="13"/>
    </row>
    <row r="37" customFormat="false" ht="36" hidden="false" customHeight="true" outlineLevel="0" collapsed="false">
      <c r="A37" s="91" t="str">
        <f aca="false">IF($C37="","",INDEX(名簿!$C$5:$C$164,$C37))</f>
        <v/>
      </c>
      <c r="B37" s="59" t="str">
        <f aca="false">IF($C37="","",INDEX(名簿!$D$5:$D$164,$C37))</f>
        <v/>
      </c>
      <c r="C37" s="41" t="str">
        <f aca="false">IFERROR(MATCH($B$2&amp;"|"&amp;32,名簿!$G$5:$G$164,0),"")</f>
        <v/>
      </c>
      <c r="D37" s="105" t="str">
        <f aca="false">IF(OR($C37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37)&amp;"")</f>
        <v/>
      </c>
      <c r="E37" s="106" t="str">
        <f aca="false">IF(OR($C37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37)&amp;"")</f>
        <v/>
      </c>
      <c r="F37" s="105" t="str">
        <f aca="false">IF(OR($C37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37)&amp;"")</f>
        <v/>
      </c>
      <c r="G37" s="106" t="str">
        <f aca="false">IF(OR($C37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37)&amp;"")</f>
        <v/>
      </c>
      <c r="H37" s="105" t="str">
        <f aca="false">IF(OR($C37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37)&amp;"")</f>
        <v/>
      </c>
      <c r="I37" s="106" t="str">
        <f aca="false">IF(OR($C37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37)&amp;"")</f>
        <v/>
      </c>
      <c r="J37" s="105" t="str">
        <f aca="false">IF(OR($C37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37)&amp;"")</f>
        <v/>
      </c>
      <c r="K37" s="106" t="str">
        <f aca="false">IF(OR($C37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37)&amp;"")</f>
        <v/>
      </c>
      <c r="L37" s="105" t="str">
        <f aca="false">IF(OR($C37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37)&amp;"")</f>
        <v/>
      </c>
      <c r="M37" s="106" t="str">
        <f aca="false">IF(OR($C37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37)&amp;"")</f>
        <v/>
      </c>
      <c r="N37" s="105" t="str">
        <f aca="false">IF(OR($C37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37)&amp;"")</f>
        <v/>
      </c>
      <c r="O37" s="106" t="str">
        <f aca="false">IF(OR($C37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37)&amp;"")</f>
        <v/>
      </c>
      <c r="P37" s="105" t="str">
        <f aca="false">IF(OR($C37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37)&amp;"")</f>
        <v/>
      </c>
      <c r="Q37" s="106" t="str">
        <f aca="false">IF(OR($C37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37)&amp;"")</f>
        <v/>
      </c>
      <c r="R37" s="105" t="str">
        <f aca="false">IF(OR($C37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37)&amp;"")</f>
        <v/>
      </c>
      <c r="S37" s="106" t="str">
        <f aca="false">IF(OR($C37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37)&amp;"")</f>
        <v/>
      </c>
      <c r="T37" s="105" t="str">
        <f aca="false">IF(OR($C37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37)&amp;"")</f>
        <v/>
      </c>
      <c r="U37" s="106" t="str">
        <f aca="false">IF(OR($C37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37)&amp;"")</f>
        <v/>
      </c>
      <c r="V37" s="105" t="str">
        <f aca="false">IF(OR($C37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37)&amp;"")</f>
        <v/>
      </c>
      <c r="W37" s="106" t="str">
        <f aca="false">IF(OR($C37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37)&amp;"")</f>
        <v/>
      </c>
      <c r="X37" s="105" t="str">
        <f aca="false">IF(OR($C37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37)&amp;"")</f>
        <v/>
      </c>
      <c r="Y37" s="106" t="str">
        <f aca="false">IF(OR($C37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37)&amp;"")</f>
        <v/>
      </c>
      <c r="Z37" s="105" t="str">
        <f aca="false">IF(OR($C37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37)&amp;"")</f>
        <v/>
      </c>
      <c r="AA37" s="106" t="str">
        <f aca="false">IF(OR($C37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37)&amp;"")</f>
        <v/>
      </c>
      <c r="AB37" s="105" t="str">
        <f aca="false">IF(OR($C37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37)&amp;"")</f>
        <v/>
      </c>
      <c r="AC37" s="106" t="str">
        <f aca="false">IF(OR($C37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37)&amp;"")</f>
        <v/>
      </c>
      <c r="AD37" s="105" t="str">
        <f aca="false">IF(OR($C37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37)&amp;"")</f>
        <v/>
      </c>
      <c r="AE37" s="106" t="str">
        <f aca="false">IF(OR($C37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37)&amp;"")</f>
        <v/>
      </c>
      <c r="AF37" s="105" t="str">
        <f aca="false">IF(OR($C37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37)&amp;"")</f>
        <v/>
      </c>
      <c r="AG37" s="106" t="str">
        <f aca="false">IF(OR($C37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37)&amp;"")</f>
        <v/>
      </c>
      <c r="AH37" s="105" t="str">
        <f aca="false">IF(OR($C37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37)&amp;"")</f>
        <v/>
      </c>
      <c r="AI37" s="106" t="str">
        <f aca="false">IF(OR($C37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37)&amp;"")</f>
        <v/>
      </c>
      <c r="AJ37" s="105" t="str">
        <f aca="false">IF(OR($C37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37)&amp;"")</f>
        <v/>
      </c>
      <c r="AK37" s="106" t="str">
        <f aca="false">IF(OR($C37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37)&amp;"")</f>
        <v/>
      </c>
      <c r="AL37" s="105" t="str">
        <f aca="false">IF(OR($C37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37)&amp;"")</f>
        <v/>
      </c>
      <c r="AM37" s="106" t="str">
        <f aca="false">IF(OR($C37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37)&amp;"")</f>
        <v/>
      </c>
      <c r="AN37" s="105" t="str">
        <f aca="false">IF(OR($C37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37)&amp;"")</f>
        <v/>
      </c>
      <c r="AO37" s="106" t="str">
        <f aca="false">IF(OR($C37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37)&amp;"")</f>
        <v/>
      </c>
      <c r="AP37" s="105" t="str">
        <f aca="false">IF(OR($C37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37)&amp;"")</f>
        <v/>
      </c>
      <c r="AQ37" s="106" t="str">
        <f aca="false">IF(OR($C37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37)&amp;"")</f>
        <v/>
      </c>
      <c r="AR37" s="13"/>
      <c r="AT37" s="13"/>
    </row>
    <row r="38" customFormat="false" ht="36" hidden="false" customHeight="true" outlineLevel="0" collapsed="false">
      <c r="A38" s="91" t="str">
        <f aca="false">IF($C38="","",INDEX(名簿!$C$5:$C$164,$C38))</f>
        <v/>
      </c>
      <c r="B38" s="59" t="str">
        <f aca="false">IF($C38="","",INDEX(名簿!$D$5:$D$164,$C38))</f>
        <v/>
      </c>
      <c r="C38" s="41" t="str">
        <f aca="false">IFERROR(MATCH($B$2&amp;"|"&amp;33,名簿!$G$5:$G$164,0),"")</f>
        <v/>
      </c>
      <c r="D38" s="105" t="str">
        <f aca="false">IF(OR($C38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38)&amp;"")</f>
        <v/>
      </c>
      <c r="E38" s="106" t="str">
        <f aca="false">IF(OR($C38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38)&amp;"")</f>
        <v/>
      </c>
      <c r="F38" s="105" t="str">
        <f aca="false">IF(OR($C38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38)&amp;"")</f>
        <v/>
      </c>
      <c r="G38" s="106" t="str">
        <f aca="false">IF(OR($C38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38)&amp;"")</f>
        <v/>
      </c>
      <c r="H38" s="105" t="str">
        <f aca="false">IF(OR($C38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38)&amp;"")</f>
        <v/>
      </c>
      <c r="I38" s="106" t="str">
        <f aca="false">IF(OR($C38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38)&amp;"")</f>
        <v/>
      </c>
      <c r="J38" s="105" t="str">
        <f aca="false">IF(OR($C38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38)&amp;"")</f>
        <v/>
      </c>
      <c r="K38" s="106" t="str">
        <f aca="false">IF(OR($C38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38)&amp;"")</f>
        <v/>
      </c>
      <c r="L38" s="105" t="str">
        <f aca="false">IF(OR($C38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38)&amp;"")</f>
        <v/>
      </c>
      <c r="M38" s="106" t="str">
        <f aca="false">IF(OR($C38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38)&amp;"")</f>
        <v/>
      </c>
      <c r="N38" s="105" t="str">
        <f aca="false">IF(OR($C38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38)&amp;"")</f>
        <v/>
      </c>
      <c r="O38" s="106" t="str">
        <f aca="false">IF(OR($C38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38)&amp;"")</f>
        <v/>
      </c>
      <c r="P38" s="105" t="str">
        <f aca="false">IF(OR($C38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38)&amp;"")</f>
        <v/>
      </c>
      <c r="Q38" s="106" t="str">
        <f aca="false">IF(OR($C38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38)&amp;"")</f>
        <v/>
      </c>
      <c r="R38" s="105" t="str">
        <f aca="false">IF(OR($C38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38)&amp;"")</f>
        <v/>
      </c>
      <c r="S38" s="106" t="str">
        <f aca="false">IF(OR($C38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38)&amp;"")</f>
        <v/>
      </c>
      <c r="T38" s="105" t="str">
        <f aca="false">IF(OR($C38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38)&amp;"")</f>
        <v/>
      </c>
      <c r="U38" s="106" t="str">
        <f aca="false">IF(OR($C38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38)&amp;"")</f>
        <v/>
      </c>
      <c r="V38" s="105" t="str">
        <f aca="false">IF(OR($C38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38)&amp;"")</f>
        <v/>
      </c>
      <c r="W38" s="106" t="str">
        <f aca="false">IF(OR($C38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38)&amp;"")</f>
        <v/>
      </c>
      <c r="X38" s="105" t="str">
        <f aca="false">IF(OR($C38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38)&amp;"")</f>
        <v/>
      </c>
      <c r="Y38" s="106" t="str">
        <f aca="false">IF(OR($C38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38)&amp;"")</f>
        <v/>
      </c>
      <c r="Z38" s="105" t="str">
        <f aca="false">IF(OR($C38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38)&amp;"")</f>
        <v/>
      </c>
      <c r="AA38" s="106" t="str">
        <f aca="false">IF(OR($C38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38)&amp;"")</f>
        <v/>
      </c>
      <c r="AB38" s="105" t="str">
        <f aca="false">IF(OR($C38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38)&amp;"")</f>
        <v/>
      </c>
      <c r="AC38" s="106" t="str">
        <f aca="false">IF(OR($C38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38)&amp;"")</f>
        <v/>
      </c>
      <c r="AD38" s="105" t="str">
        <f aca="false">IF(OR($C38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38)&amp;"")</f>
        <v/>
      </c>
      <c r="AE38" s="106" t="str">
        <f aca="false">IF(OR($C38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38)&amp;"")</f>
        <v/>
      </c>
      <c r="AF38" s="105" t="str">
        <f aca="false">IF(OR($C38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38)&amp;"")</f>
        <v/>
      </c>
      <c r="AG38" s="106" t="str">
        <f aca="false">IF(OR($C38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38)&amp;"")</f>
        <v/>
      </c>
      <c r="AH38" s="105" t="str">
        <f aca="false">IF(OR($C38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38)&amp;"")</f>
        <v/>
      </c>
      <c r="AI38" s="106" t="str">
        <f aca="false">IF(OR($C38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38)&amp;"")</f>
        <v/>
      </c>
      <c r="AJ38" s="105" t="str">
        <f aca="false">IF(OR($C38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38)&amp;"")</f>
        <v/>
      </c>
      <c r="AK38" s="106" t="str">
        <f aca="false">IF(OR($C38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38)&amp;"")</f>
        <v/>
      </c>
      <c r="AL38" s="105" t="str">
        <f aca="false">IF(OR($C38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38)&amp;"")</f>
        <v/>
      </c>
      <c r="AM38" s="106" t="str">
        <f aca="false">IF(OR($C38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38)&amp;"")</f>
        <v/>
      </c>
      <c r="AN38" s="105" t="str">
        <f aca="false">IF(OR($C38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38)&amp;"")</f>
        <v/>
      </c>
      <c r="AO38" s="106" t="str">
        <f aca="false">IF(OR($C38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38)&amp;"")</f>
        <v/>
      </c>
      <c r="AP38" s="105" t="str">
        <f aca="false">IF(OR($C38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38)&amp;"")</f>
        <v/>
      </c>
      <c r="AQ38" s="106" t="str">
        <f aca="false">IF(OR($C38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38)&amp;"")</f>
        <v/>
      </c>
      <c r="AR38" s="13"/>
      <c r="AT38" s="13"/>
    </row>
    <row r="39" customFormat="false" ht="36" hidden="false" customHeight="true" outlineLevel="0" collapsed="false">
      <c r="A39" s="91" t="str">
        <f aca="false">IF($C39="","",INDEX(名簿!$C$5:$C$164,$C39))</f>
        <v/>
      </c>
      <c r="B39" s="59" t="str">
        <f aca="false">IF($C39="","",INDEX(名簿!$D$5:$D$164,$C39))</f>
        <v/>
      </c>
      <c r="C39" s="41" t="str">
        <f aca="false">IFERROR(MATCH($B$2&amp;"|"&amp;34,名簿!$G$5:$G$164,0),"")</f>
        <v/>
      </c>
      <c r="D39" s="105" t="str">
        <f aca="false">IF(OR($C39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39)&amp;"")</f>
        <v/>
      </c>
      <c r="E39" s="106" t="str">
        <f aca="false">IF(OR($C39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39)&amp;"")</f>
        <v/>
      </c>
      <c r="F39" s="105" t="str">
        <f aca="false">IF(OR($C39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39)&amp;"")</f>
        <v/>
      </c>
      <c r="G39" s="106" t="str">
        <f aca="false">IF(OR($C39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39)&amp;"")</f>
        <v/>
      </c>
      <c r="H39" s="105" t="str">
        <f aca="false">IF(OR($C39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39)&amp;"")</f>
        <v/>
      </c>
      <c r="I39" s="106" t="str">
        <f aca="false">IF(OR($C39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39)&amp;"")</f>
        <v/>
      </c>
      <c r="J39" s="105" t="str">
        <f aca="false">IF(OR($C39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39)&amp;"")</f>
        <v/>
      </c>
      <c r="K39" s="106" t="str">
        <f aca="false">IF(OR($C39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39)&amp;"")</f>
        <v/>
      </c>
      <c r="L39" s="105" t="str">
        <f aca="false">IF(OR($C39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39)&amp;"")</f>
        <v/>
      </c>
      <c r="M39" s="106" t="str">
        <f aca="false">IF(OR($C39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39)&amp;"")</f>
        <v/>
      </c>
      <c r="N39" s="105" t="str">
        <f aca="false">IF(OR($C39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39)&amp;"")</f>
        <v/>
      </c>
      <c r="O39" s="106" t="str">
        <f aca="false">IF(OR($C39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39)&amp;"")</f>
        <v/>
      </c>
      <c r="P39" s="105" t="str">
        <f aca="false">IF(OR($C39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39)&amp;"")</f>
        <v/>
      </c>
      <c r="Q39" s="106" t="str">
        <f aca="false">IF(OR($C39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39)&amp;"")</f>
        <v/>
      </c>
      <c r="R39" s="105" t="str">
        <f aca="false">IF(OR($C39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39)&amp;"")</f>
        <v/>
      </c>
      <c r="S39" s="106" t="str">
        <f aca="false">IF(OR($C39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39)&amp;"")</f>
        <v/>
      </c>
      <c r="T39" s="105" t="str">
        <f aca="false">IF(OR($C39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39)&amp;"")</f>
        <v/>
      </c>
      <c r="U39" s="106" t="str">
        <f aca="false">IF(OR($C39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39)&amp;"")</f>
        <v/>
      </c>
      <c r="V39" s="105" t="str">
        <f aca="false">IF(OR($C39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39)&amp;"")</f>
        <v/>
      </c>
      <c r="W39" s="106" t="str">
        <f aca="false">IF(OR($C39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39)&amp;"")</f>
        <v/>
      </c>
      <c r="X39" s="105" t="str">
        <f aca="false">IF(OR($C39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39)&amp;"")</f>
        <v/>
      </c>
      <c r="Y39" s="106" t="str">
        <f aca="false">IF(OR($C39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39)&amp;"")</f>
        <v/>
      </c>
      <c r="Z39" s="105" t="str">
        <f aca="false">IF(OR($C39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39)&amp;"")</f>
        <v/>
      </c>
      <c r="AA39" s="106" t="str">
        <f aca="false">IF(OR($C39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39)&amp;"")</f>
        <v/>
      </c>
      <c r="AB39" s="105" t="str">
        <f aca="false">IF(OR($C39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39)&amp;"")</f>
        <v/>
      </c>
      <c r="AC39" s="106" t="str">
        <f aca="false">IF(OR($C39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39)&amp;"")</f>
        <v/>
      </c>
      <c r="AD39" s="105" t="str">
        <f aca="false">IF(OR($C39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39)&amp;"")</f>
        <v/>
      </c>
      <c r="AE39" s="106" t="str">
        <f aca="false">IF(OR($C39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39)&amp;"")</f>
        <v/>
      </c>
      <c r="AF39" s="105" t="str">
        <f aca="false">IF(OR($C39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39)&amp;"")</f>
        <v/>
      </c>
      <c r="AG39" s="106" t="str">
        <f aca="false">IF(OR($C39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39)&amp;"")</f>
        <v/>
      </c>
      <c r="AH39" s="105" t="str">
        <f aca="false">IF(OR($C39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39)&amp;"")</f>
        <v/>
      </c>
      <c r="AI39" s="106" t="str">
        <f aca="false">IF(OR($C39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39)&amp;"")</f>
        <v/>
      </c>
      <c r="AJ39" s="105" t="str">
        <f aca="false">IF(OR($C39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39)&amp;"")</f>
        <v/>
      </c>
      <c r="AK39" s="106" t="str">
        <f aca="false">IF(OR($C39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39)&amp;"")</f>
        <v/>
      </c>
      <c r="AL39" s="105" t="str">
        <f aca="false">IF(OR($C39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39)&amp;"")</f>
        <v/>
      </c>
      <c r="AM39" s="106" t="str">
        <f aca="false">IF(OR($C39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39)&amp;"")</f>
        <v/>
      </c>
      <c r="AN39" s="105" t="str">
        <f aca="false">IF(OR($C39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39)&amp;"")</f>
        <v/>
      </c>
      <c r="AO39" s="106" t="str">
        <f aca="false">IF(OR($C39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39)&amp;"")</f>
        <v/>
      </c>
      <c r="AP39" s="105" t="str">
        <f aca="false">IF(OR($C39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39)&amp;"")</f>
        <v/>
      </c>
      <c r="AQ39" s="106" t="str">
        <f aca="false">IF(OR($C39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39)&amp;"")</f>
        <v/>
      </c>
      <c r="AR39" s="13"/>
      <c r="AT39" s="13"/>
    </row>
    <row r="40" customFormat="false" ht="36" hidden="false" customHeight="true" outlineLevel="0" collapsed="false">
      <c r="A40" s="91" t="str">
        <f aca="false">IF($C40="","",INDEX(名簿!$C$5:$C$164,$C40))</f>
        <v/>
      </c>
      <c r="B40" s="59" t="str">
        <f aca="false">IF($C40="","",INDEX(名簿!$D$5:$D$164,$C40))</f>
        <v/>
      </c>
      <c r="C40" s="41" t="str">
        <f aca="false">IFERROR(MATCH($B$2&amp;"|"&amp;35,名簿!$G$5:$G$164,0),"")</f>
        <v/>
      </c>
      <c r="D40" s="105" t="str">
        <f aca="false">IF(OR($C40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40)&amp;"")</f>
        <v/>
      </c>
      <c r="E40" s="106" t="str">
        <f aca="false">IF(OR($C40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40)&amp;"")</f>
        <v/>
      </c>
      <c r="F40" s="105" t="str">
        <f aca="false">IF(OR($C40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40)&amp;"")</f>
        <v/>
      </c>
      <c r="G40" s="106" t="str">
        <f aca="false">IF(OR($C40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40)&amp;"")</f>
        <v/>
      </c>
      <c r="H40" s="105" t="str">
        <f aca="false">IF(OR($C40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40)&amp;"")</f>
        <v/>
      </c>
      <c r="I40" s="106" t="str">
        <f aca="false">IF(OR($C40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40)&amp;"")</f>
        <v/>
      </c>
      <c r="J40" s="105" t="str">
        <f aca="false">IF(OR($C40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40)&amp;"")</f>
        <v/>
      </c>
      <c r="K40" s="106" t="str">
        <f aca="false">IF(OR($C40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40)&amp;"")</f>
        <v/>
      </c>
      <c r="L40" s="105" t="str">
        <f aca="false">IF(OR($C40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40)&amp;"")</f>
        <v/>
      </c>
      <c r="M40" s="106" t="str">
        <f aca="false">IF(OR($C40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40)&amp;"")</f>
        <v/>
      </c>
      <c r="N40" s="105" t="str">
        <f aca="false">IF(OR($C40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40)&amp;"")</f>
        <v/>
      </c>
      <c r="O40" s="106" t="str">
        <f aca="false">IF(OR($C40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40)&amp;"")</f>
        <v/>
      </c>
      <c r="P40" s="105" t="str">
        <f aca="false">IF(OR($C40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40)&amp;"")</f>
        <v/>
      </c>
      <c r="Q40" s="106" t="str">
        <f aca="false">IF(OR($C40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40)&amp;"")</f>
        <v/>
      </c>
      <c r="R40" s="105" t="str">
        <f aca="false">IF(OR($C40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40)&amp;"")</f>
        <v/>
      </c>
      <c r="S40" s="106" t="str">
        <f aca="false">IF(OR($C40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40)&amp;"")</f>
        <v/>
      </c>
      <c r="T40" s="105" t="str">
        <f aca="false">IF(OR($C40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40)&amp;"")</f>
        <v/>
      </c>
      <c r="U40" s="106" t="str">
        <f aca="false">IF(OR($C40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40)&amp;"")</f>
        <v/>
      </c>
      <c r="V40" s="105" t="str">
        <f aca="false">IF(OR($C40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40)&amp;"")</f>
        <v/>
      </c>
      <c r="W40" s="106" t="str">
        <f aca="false">IF(OR($C40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40)&amp;"")</f>
        <v/>
      </c>
      <c r="X40" s="105" t="str">
        <f aca="false">IF(OR($C40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40)&amp;"")</f>
        <v/>
      </c>
      <c r="Y40" s="106" t="str">
        <f aca="false">IF(OR($C40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40)&amp;"")</f>
        <v/>
      </c>
      <c r="Z40" s="105" t="str">
        <f aca="false">IF(OR($C40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40)&amp;"")</f>
        <v/>
      </c>
      <c r="AA40" s="106" t="str">
        <f aca="false">IF(OR($C40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40)&amp;"")</f>
        <v/>
      </c>
      <c r="AB40" s="105" t="str">
        <f aca="false">IF(OR($C40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40)&amp;"")</f>
        <v/>
      </c>
      <c r="AC40" s="106" t="str">
        <f aca="false">IF(OR($C40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40)&amp;"")</f>
        <v/>
      </c>
      <c r="AD40" s="105" t="str">
        <f aca="false">IF(OR($C40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40)&amp;"")</f>
        <v/>
      </c>
      <c r="AE40" s="106" t="str">
        <f aca="false">IF(OR($C40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40)&amp;"")</f>
        <v/>
      </c>
      <c r="AF40" s="105" t="str">
        <f aca="false">IF(OR($C40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40)&amp;"")</f>
        <v/>
      </c>
      <c r="AG40" s="106" t="str">
        <f aca="false">IF(OR($C40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40)&amp;"")</f>
        <v/>
      </c>
      <c r="AH40" s="105" t="str">
        <f aca="false">IF(OR($C40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40)&amp;"")</f>
        <v/>
      </c>
      <c r="AI40" s="106" t="str">
        <f aca="false">IF(OR($C40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40)&amp;"")</f>
        <v/>
      </c>
      <c r="AJ40" s="105" t="str">
        <f aca="false">IF(OR($C40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40)&amp;"")</f>
        <v/>
      </c>
      <c r="AK40" s="106" t="str">
        <f aca="false">IF(OR($C40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40)&amp;"")</f>
        <v/>
      </c>
      <c r="AL40" s="105" t="str">
        <f aca="false">IF(OR($C40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40)&amp;"")</f>
        <v/>
      </c>
      <c r="AM40" s="106" t="str">
        <f aca="false">IF(OR($C40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40)&amp;"")</f>
        <v/>
      </c>
      <c r="AN40" s="105" t="str">
        <f aca="false">IF(OR($C40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40)&amp;"")</f>
        <v/>
      </c>
      <c r="AO40" s="106" t="str">
        <f aca="false">IF(OR($C40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40)&amp;"")</f>
        <v/>
      </c>
      <c r="AP40" s="105" t="str">
        <f aca="false">IF(OR($C40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40)&amp;"")</f>
        <v/>
      </c>
      <c r="AQ40" s="106" t="str">
        <f aca="false">IF(OR($C40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40)&amp;"")</f>
        <v/>
      </c>
      <c r="AR40" s="13"/>
      <c r="AT40" s="13"/>
    </row>
    <row r="41" customFormat="false" ht="36" hidden="false" customHeight="true" outlineLevel="0" collapsed="false">
      <c r="A41" s="91" t="str">
        <f aca="false">IF($C41="","",INDEX(名簿!$C$5:$C$164,$C41))</f>
        <v/>
      </c>
      <c r="B41" s="59" t="str">
        <f aca="false">IF($C41="","",INDEX(名簿!$D$5:$D$164,$C41))</f>
        <v/>
      </c>
      <c r="C41" s="41" t="str">
        <f aca="false">IFERROR(MATCH($B$2&amp;"|"&amp;36,名簿!$G$5:$G$164,0),"")</f>
        <v/>
      </c>
      <c r="D41" s="105" t="str">
        <f aca="false">IF(OR($C41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41)&amp;"")</f>
        <v/>
      </c>
      <c r="E41" s="106" t="str">
        <f aca="false">IF(OR($C41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41)&amp;"")</f>
        <v/>
      </c>
      <c r="F41" s="105" t="str">
        <f aca="false">IF(OR($C41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41)&amp;"")</f>
        <v/>
      </c>
      <c r="G41" s="106" t="str">
        <f aca="false">IF(OR($C41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41)&amp;"")</f>
        <v/>
      </c>
      <c r="H41" s="105" t="str">
        <f aca="false">IF(OR($C41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41)&amp;"")</f>
        <v/>
      </c>
      <c r="I41" s="106" t="str">
        <f aca="false">IF(OR($C41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41)&amp;"")</f>
        <v/>
      </c>
      <c r="J41" s="105" t="str">
        <f aca="false">IF(OR($C41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41)&amp;"")</f>
        <v/>
      </c>
      <c r="K41" s="106" t="str">
        <f aca="false">IF(OR($C41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41)&amp;"")</f>
        <v/>
      </c>
      <c r="L41" s="105" t="str">
        <f aca="false">IF(OR($C41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41)&amp;"")</f>
        <v/>
      </c>
      <c r="M41" s="106" t="str">
        <f aca="false">IF(OR($C41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41)&amp;"")</f>
        <v/>
      </c>
      <c r="N41" s="105" t="str">
        <f aca="false">IF(OR($C41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41)&amp;"")</f>
        <v/>
      </c>
      <c r="O41" s="106" t="str">
        <f aca="false">IF(OR($C41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41)&amp;"")</f>
        <v/>
      </c>
      <c r="P41" s="105" t="str">
        <f aca="false">IF(OR($C41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41)&amp;"")</f>
        <v/>
      </c>
      <c r="Q41" s="106" t="str">
        <f aca="false">IF(OR($C41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41)&amp;"")</f>
        <v/>
      </c>
      <c r="R41" s="105" t="str">
        <f aca="false">IF(OR($C41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41)&amp;"")</f>
        <v/>
      </c>
      <c r="S41" s="106" t="str">
        <f aca="false">IF(OR($C41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41)&amp;"")</f>
        <v/>
      </c>
      <c r="T41" s="105" t="str">
        <f aca="false">IF(OR($C41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41)&amp;"")</f>
        <v/>
      </c>
      <c r="U41" s="106" t="str">
        <f aca="false">IF(OR($C41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41)&amp;"")</f>
        <v/>
      </c>
      <c r="V41" s="105" t="str">
        <f aca="false">IF(OR($C41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41)&amp;"")</f>
        <v/>
      </c>
      <c r="W41" s="106" t="str">
        <f aca="false">IF(OR($C41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41)&amp;"")</f>
        <v/>
      </c>
      <c r="X41" s="105" t="str">
        <f aca="false">IF(OR($C41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41)&amp;"")</f>
        <v/>
      </c>
      <c r="Y41" s="106" t="str">
        <f aca="false">IF(OR($C41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41)&amp;"")</f>
        <v/>
      </c>
      <c r="Z41" s="105" t="str">
        <f aca="false">IF(OR($C41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41)&amp;"")</f>
        <v/>
      </c>
      <c r="AA41" s="106" t="str">
        <f aca="false">IF(OR($C41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41)&amp;"")</f>
        <v/>
      </c>
      <c r="AB41" s="105" t="str">
        <f aca="false">IF(OR($C41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41)&amp;"")</f>
        <v/>
      </c>
      <c r="AC41" s="106" t="str">
        <f aca="false">IF(OR($C41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41)&amp;"")</f>
        <v/>
      </c>
      <c r="AD41" s="105" t="str">
        <f aca="false">IF(OR($C41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41)&amp;"")</f>
        <v/>
      </c>
      <c r="AE41" s="106" t="str">
        <f aca="false">IF(OR($C41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41)&amp;"")</f>
        <v/>
      </c>
      <c r="AF41" s="105" t="str">
        <f aca="false">IF(OR($C41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41)&amp;"")</f>
        <v/>
      </c>
      <c r="AG41" s="106" t="str">
        <f aca="false">IF(OR($C41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41)&amp;"")</f>
        <v/>
      </c>
      <c r="AH41" s="105" t="str">
        <f aca="false">IF(OR($C41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41)&amp;"")</f>
        <v/>
      </c>
      <c r="AI41" s="106" t="str">
        <f aca="false">IF(OR($C41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41)&amp;"")</f>
        <v/>
      </c>
      <c r="AJ41" s="105" t="str">
        <f aca="false">IF(OR($C41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41)&amp;"")</f>
        <v/>
      </c>
      <c r="AK41" s="106" t="str">
        <f aca="false">IF(OR($C41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41)&amp;"")</f>
        <v/>
      </c>
      <c r="AL41" s="105" t="str">
        <f aca="false">IF(OR($C41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41)&amp;"")</f>
        <v/>
      </c>
      <c r="AM41" s="106" t="str">
        <f aca="false">IF(OR($C41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41)&amp;"")</f>
        <v/>
      </c>
      <c r="AN41" s="105" t="str">
        <f aca="false">IF(OR($C41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41)&amp;"")</f>
        <v/>
      </c>
      <c r="AO41" s="106" t="str">
        <f aca="false">IF(OR($C41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41)&amp;"")</f>
        <v/>
      </c>
      <c r="AP41" s="105" t="str">
        <f aca="false">IF(OR($C41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41)&amp;"")</f>
        <v/>
      </c>
      <c r="AQ41" s="106" t="str">
        <f aca="false">IF(OR($C41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41)&amp;"")</f>
        <v/>
      </c>
      <c r="AR41" s="13"/>
      <c r="AT41" s="13"/>
    </row>
    <row r="42" customFormat="false" ht="36" hidden="false" customHeight="true" outlineLevel="0" collapsed="false">
      <c r="A42" s="91" t="str">
        <f aca="false">IF($C42="","",INDEX(名簿!$C$5:$C$164,$C42))</f>
        <v/>
      </c>
      <c r="B42" s="59" t="str">
        <f aca="false">IF($C42="","",INDEX(名簿!$D$5:$D$164,$C42))</f>
        <v/>
      </c>
      <c r="C42" s="41" t="str">
        <f aca="false">IFERROR(MATCH($B$2&amp;"|"&amp;37,名簿!$G$5:$G$164,0),"")</f>
        <v/>
      </c>
      <c r="D42" s="105" t="str">
        <f aca="false">IF(OR($C42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42)&amp;"")</f>
        <v/>
      </c>
      <c r="E42" s="106" t="str">
        <f aca="false">IF(OR($C42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42)&amp;"")</f>
        <v/>
      </c>
      <c r="F42" s="105" t="str">
        <f aca="false">IF(OR($C42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42)&amp;"")</f>
        <v/>
      </c>
      <c r="G42" s="106" t="str">
        <f aca="false">IF(OR($C42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42)&amp;"")</f>
        <v/>
      </c>
      <c r="H42" s="105" t="str">
        <f aca="false">IF(OR($C42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42)&amp;"")</f>
        <v/>
      </c>
      <c r="I42" s="106" t="str">
        <f aca="false">IF(OR($C42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42)&amp;"")</f>
        <v/>
      </c>
      <c r="J42" s="105" t="str">
        <f aca="false">IF(OR($C42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42)&amp;"")</f>
        <v/>
      </c>
      <c r="K42" s="106" t="str">
        <f aca="false">IF(OR($C42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42)&amp;"")</f>
        <v/>
      </c>
      <c r="L42" s="105" t="str">
        <f aca="false">IF(OR($C42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42)&amp;"")</f>
        <v/>
      </c>
      <c r="M42" s="106" t="str">
        <f aca="false">IF(OR($C42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42)&amp;"")</f>
        <v/>
      </c>
      <c r="N42" s="105" t="str">
        <f aca="false">IF(OR($C42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42)&amp;"")</f>
        <v/>
      </c>
      <c r="O42" s="106" t="str">
        <f aca="false">IF(OR($C42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42)&amp;"")</f>
        <v/>
      </c>
      <c r="P42" s="105" t="str">
        <f aca="false">IF(OR($C42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42)&amp;"")</f>
        <v/>
      </c>
      <c r="Q42" s="106" t="str">
        <f aca="false">IF(OR($C42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42)&amp;"")</f>
        <v/>
      </c>
      <c r="R42" s="105" t="str">
        <f aca="false">IF(OR($C42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42)&amp;"")</f>
        <v/>
      </c>
      <c r="S42" s="106" t="str">
        <f aca="false">IF(OR($C42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42)&amp;"")</f>
        <v/>
      </c>
      <c r="T42" s="105" t="str">
        <f aca="false">IF(OR($C42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42)&amp;"")</f>
        <v/>
      </c>
      <c r="U42" s="106" t="str">
        <f aca="false">IF(OR($C42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42)&amp;"")</f>
        <v/>
      </c>
      <c r="V42" s="105" t="str">
        <f aca="false">IF(OR($C42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42)&amp;"")</f>
        <v/>
      </c>
      <c r="W42" s="106" t="str">
        <f aca="false">IF(OR($C42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42)&amp;"")</f>
        <v/>
      </c>
      <c r="X42" s="105" t="str">
        <f aca="false">IF(OR($C42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42)&amp;"")</f>
        <v/>
      </c>
      <c r="Y42" s="106" t="str">
        <f aca="false">IF(OR($C42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42)&amp;"")</f>
        <v/>
      </c>
      <c r="Z42" s="105" t="str">
        <f aca="false">IF(OR($C42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42)&amp;"")</f>
        <v/>
      </c>
      <c r="AA42" s="106" t="str">
        <f aca="false">IF(OR($C42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42)&amp;"")</f>
        <v/>
      </c>
      <c r="AB42" s="105" t="str">
        <f aca="false">IF(OR($C42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42)&amp;"")</f>
        <v/>
      </c>
      <c r="AC42" s="106" t="str">
        <f aca="false">IF(OR($C42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42)&amp;"")</f>
        <v/>
      </c>
      <c r="AD42" s="105" t="str">
        <f aca="false">IF(OR($C42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42)&amp;"")</f>
        <v/>
      </c>
      <c r="AE42" s="106" t="str">
        <f aca="false">IF(OR($C42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42)&amp;"")</f>
        <v/>
      </c>
      <c r="AF42" s="105" t="str">
        <f aca="false">IF(OR($C42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42)&amp;"")</f>
        <v/>
      </c>
      <c r="AG42" s="106" t="str">
        <f aca="false">IF(OR($C42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42)&amp;"")</f>
        <v/>
      </c>
      <c r="AH42" s="105" t="str">
        <f aca="false">IF(OR($C42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42)&amp;"")</f>
        <v/>
      </c>
      <c r="AI42" s="106" t="str">
        <f aca="false">IF(OR($C42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42)&amp;"")</f>
        <v/>
      </c>
      <c r="AJ42" s="105" t="str">
        <f aca="false">IF(OR($C42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42)&amp;"")</f>
        <v/>
      </c>
      <c r="AK42" s="106" t="str">
        <f aca="false">IF(OR($C42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42)&amp;"")</f>
        <v/>
      </c>
      <c r="AL42" s="105" t="str">
        <f aca="false">IF(OR($C42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42)&amp;"")</f>
        <v/>
      </c>
      <c r="AM42" s="106" t="str">
        <f aca="false">IF(OR($C42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42)&amp;"")</f>
        <v/>
      </c>
      <c r="AN42" s="105" t="str">
        <f aca="false">IF(OR($C42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42)&amp;"")</f>
        <v/>
      </c>
      <c r="AO42" s="106" t="str">
        <f aca="false">IF(OR($C42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42)&amp;"")</f>
        <v/>
      </c>
      <c r="AP42" s="105" t="str">
        <f aca="false">IF(OR($C42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42)&amp;"")</f>
        <v/>
      </c>
      <c r="AQ42" s="106" t="str">
        <f aca="false">IF(OR($C42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42)&amp;"")</f>
        <v/>
      </c>
      <c r="AR42" s="13"/>
      <c r="AT42" s="13"/>
    </row>
    <row r="43" customFormat="false" ht="36" hidden="false" customHeight="true" outlineLevel="0" collapsed="false">
      <c r="A43" s="91" t="str">
        <f aca="false">IF($C43="","",INDEX(名簿!$C$5:$C$164,$C43))</f>
        <v/>
      </c>
      <c r="B43" s="59" t="str">
        <f aca="false">IF($C43="","",INDEX(名簿!$D$5:$D$164,$C43))</f>
        <v/>
      </c>
      <c r="C43" s="41" t="str">
        <f aca="false">IFERROR(MATCH($B$2&amp;"|"&amp;38,名簿!$G$5:$G$164,0),"")</f>
        <v/>
      </c>
      <c r="D43" s="105" t="str">
        <f aca="false">IF(OR($C43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43)&amp;"")</f>
        <v/>
      </c>
      <c r="E43" s="106" t="str">
        <f aca="false">IF(OR($C43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43)&amp;"")</f>
        <v/>
      </c>
      <c r="F43" s="105" t="str">
        <f aca="false">IF(OR($C43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43)&amp;"")</f>
        <v/>
      </c>
      <c r="G43" s="106" t="str">
        <f aca="false">IF(OR($C43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43)&amp;"")</f>
        <v/>
      </c>
      <c r="H43" s="105" t="str">
        <f aca="false">IF(OR($C43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43)&amp;"")</f>
        <v/>
      </c>
      <c r="I43" s="106" t="str">
        <f aca="false">IF(OR($C43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43)&amp;"")</f>
        <v/>
      </c>
      <c r="J43" s="105" t="str">
        <f aca="false">IF(OR($C43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43)&amp;"")</f>
        <v/>
      </c>
      <c r="K43" s="106" t="str">
        <f aca="false">IF(OR($C43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43)&amp;"")</f>
        <v/>
      </c>
      <c r="L43" s="105" t="str">
        <f aca="false">IF(OR($C43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43)&amp;"")</f>
        <v/>
      </c>
      <c r="M43" s="106" t="str">
        <f aca="false">IF(OR($C43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43)&amp;"")</f>
        <v/>
      </c>
      <c r="N43" s="105" t="str">
        <f aca="false">IF(OR($C43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43)&amp;"")</f>
        <v/>
      </c>
      <c r="O43" s="106" t="str">
        <f aca="false">IF(OR($C43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43)&amp;"")</f>
        <v/>
      </c>
      <c r="P43" s="105" t="str">
        <f aca="false">IF(OR($C43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43)&amp;"")</f>
        <v/>
      </c>
      <c r="Q43" s="106" t="str">
        <f aca="false">IF(OR($C43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43)&amp;"")</f>
        <v/>
      </c>
      <c r="R43" s="105" t="str">
        <f aca="false">IF(OR($C43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43)&amp;"")</f>
        <v/>
      </c>
      <c r="S43" s="106" t="str">
        <f aca="false">IF(OR($C43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43)&amp;"")</f>
        <v/>
      </c>
      <c r="T43" s="105" t="str">
        <f aca="false">IF(OR($C43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43)&amp;"")</f>
        <v/>
      </c>
      <c r="U43" s="106" t="str">
        <f aca="false">IF(OR($C43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43)&amp;"")</f>
        <v/>
      </c>
      <c r="V43" s="105" t="str">
        <f aca="false">IF(OR($C43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43)&amp;"")</f>
        <v/>
      </c>
      <c r="W43" s="106" t="str">
        <f aca="false">IF(OR($C43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43)&amp;"")</f>
        <v/>
      </c>
      <c r="X43" s="105" t="str">
        <f aca="false">IF(OR($C43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43)&amp;"")</f>
        <v/>
      </c>
      <c r="Y43" s="106" t="str">
        <f aca="false">IF(OR($C43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43)&amp;"")</f>
        <v/>
      </c>
      <c r="Z43" s="105" t="str">
        <f aca="false">IF(OR($C43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43)&amp;"")</f>
        <v/>
      </c>
      <c r="AA43" s="106" t="str">
        <f aca="false">IF(OR($C43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43)&amp;"")</f>
        <v/>
      </c>
      <c r="AB43" s="105" t="str">
        <f aca="false">IF(OR($C43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43)&amp;"")</f>
        <v/>
      </c>
      <c r="AC43" s="106" t="str">
        <f aca="false">IF(OR($C43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43)&amp;"")</f>
        <v/>
      </c>
      <c r="AD43" s="105" t="str">
        <f aca="false">IF(OR($C43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43)&amp;"")</f>
        <v/>
      </c>
      <c r="AE43" s="106" t="str">
        <f aca="false">IF(OR($C43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43)&amp;"")</f>
        <v/>
      </c>
      <c r="AF43" s="105" t="str">
        <f aca="false">IF(OR($C43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43)&amp;"")</f>
        <v/>
      </c>
      <c r="AG43" s="106" t="str">
        <f aca="false">IF(OR($C43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43)&amp;"")</f>
        <v/>
      </c>
      <c r="AH43" s="105" t="str">
        <f aca="false">IF(OR($C43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43)&amp;"")</f>
        <v/>
      </c>
      <c r="AI43" s="106" t="str">
        <f aca="false">IF(OR($C43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43)&amp;"")</f>
        <v/>
      </c>
      <c r="AJ43" s="105" t="str">
        <f aca="false">IF(OR($C43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43)&amp;"")</f>
        <v/>
      </c>
      <c r="AK43" s="106" t="str">
        <f aca="false">IF(OR($C43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43)&amp;"")</f>
        <v/>
      </c>
      <c r="AL43" s="105" t="str">
        <f aca="false">IF(OR($C43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43)&amp;"")</f>
        <v/>
      </c>
      <c r="AM43" s="106" t="str">
        <f aca="false">IF(OR($C43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43)&amp;"")</f>
        <v/>
      </c>
      <c r="AN43" s="105" t="str">
        <f aca="false">IF(OR($C43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43)&amp;"")</f>
        <v/>
      </c>
      <c r="AO43" s="106" t="str">
        <f aca="false">IF(OR($C43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43)&amp;"")</f>
        <v/>
      </c>
      <c r="AP43" s="105" t="str">
        <f aca="false">IF(OR($C43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43)&amp;"")</f>
        <v/>
      </c>
      <c r="AQ43" s="106" t="str">
        <f aca="false">IF(OR($C43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43)&amp;"")</f>
        <v/>
      </c>
      <c r="AR43" s="13"/>
      <c r="AT43" s="13"/>
    </row>
    <row r="44" customFormat="false" ht="36" hidden="false" customHeight="true" outlineLevel="0" collapsed="false">
      <c r="A44" s="91" t="str">
        <f aca="false">IF($C44="","",INDEX(名簿!$C$5:$C$164,$C44))</f>
        <v/>
      </c>
      <c r="B44" s="59" t="str">
        <f aca="false">IF($C44="","",INDEX(名簿!$D$5:$D$164,$C44))</f>
        <v/>
      </c>
      <c r="C44" s="41" t="str">
        <f aca="false">IFERROR(MATCH($B$2&amp;"|"&amp;39,名簿!$G$5:$G$164,0),"")</f>
        <v/>
      </c>
      <c r="D44" s="105" t="str">
        <f aca="false">IF(OR($C44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44)&amp;"")</f>
        <v/>
      </c>
      <c r="E44" s="106" t="str">
        <f aca="false">IF(OR($C44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44)&amp;"")</f>
        <v/>
      </c>
      <c r="F44" s="105" t="str">
        <f aca="false">IF(OR($C44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44)&amp;"")</f>
        <v/>
      </c>
      <c r="G44" s="106" t="str">
        <f aca="false">IF(OR($C44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44)&amp;"")</f>
        <v/>
      </c>
      <c r="H44" s="105" t="str">
        <f aca="false">IF(OR($C44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44)&amp;"")</f>
        <v/>
      </c>
      <c r="I44" s="106" t="str">
        <f aca="false">IF(OR($C44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44)&amp;"")</f>
        <v/>
      </c>
      <c r="J44" s="105" t="str">
        <f aca="false">IF(OR($C44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44)&amp;"")</f>
        <v/>
      </c>
      <c r="K44" s="106" t="str">
        <f aca="false">IF(OR($C44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44)&amp;"")</f>
        <v/>
      </c>
      <c r="L44" s="105" t="str">
        <f aca="false">IF(OR($C44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44)&amp;"")</f>
        <v/>
      </c>
      <c r="M44" s="106" t="str">
        <f aca="false">IF(OR($C44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44)&amp;"")</f>
        <v/>
      </c>
      <c r="N44" s="105" t="str">
        <f aca="false">IF(OR($C44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44)&amp;"")</f>
        <v/>
      </c>
      <c r="O44" s="106" t="str">
        <f aca="false">IF(OR($C44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44)&amp;"")</f>
        <v/>
      </c>
      <c r="P44" s="105" t="str">
        <f aca="false">IF(OR($C44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44)&amp;"")</f>
        <v/>
      </c>
      <c r="Q44" s="106" t="str">
        <f aca="false">IF(OR($C44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44)&amp;"")</f>
        <v/>
      </c>
      <c r="R44" s="105" t="str">
        <f aca="false">IF(OR($C44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44)&amp;"")</f>
        <v/>
      </c>
      <c r="S44" s="106" t="str">
        <f aca="false">IF(OR($C44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44)&amp;"")</f>
        <v/>
      </c>
      <c r="T44" s="105" t="str">
        <f aca="false">IF(OR($C44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44)&amp;"")</f>
        <v/>
      </c>
      <c r="U44" s="106" t="str">
        <f aca="false">IF(OR($C44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44)&amp;"")</f>
        <v/>
      </c>
      <c r="V44" s="105" t="str">
        <f aca="false">IF(OR($C44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44)&amp;"")</f>
        <v/>
      </c>
      <c r="W44" s="106" t="str">
        <f aca="false">IF(OR($C44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44)&amp;"")</f>
        <v/>
      </c>
      <c r="X44" s="105" t="str">
        <f aca="false">IF(OR($C44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44)&amp;"")</f>
        <v/>
      </c>
      <c r="Y44" s="106" t="str">
        <f aca="false">IF(OR($C44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44)&amp;"")</f>
        <v/>
      </c>
      <c r="Z44" s="105" t="str">
        <f aca="false">IF(OR($C44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44)&amp;"")</f>
        <v/>
      </c>
      <c r="AA44" s="106" t="str">
        <f aca="false">IF(OR($C44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44)&amp;"")</f>
        <v/>
      </c>
      <c r="AB44" s="105" t="str">
        <f aca="false">IF(OR($C44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44)&amp;"")</f>
        <v/>
      </c>
      <c r="AC44" s="106" t="str">
        <f aca="false">IF(OR($C44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44)&amp;"")</f>
        <v/>
      </c>
      <c r="AD44" s="105" t="str">
        <f aca="false">IF(OR($C44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44)&amp;"")</f>
        <v/>
      </c>
      <c r="AE44" s="106" t="str">
        <f aca="false">IF(OR($C44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44)&amp;"")</f>
        <v/>
      </c>
      <c r="AF44" s="105" t="str">
        <f aca="false">IF(OR($C44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44)&amp;"")</f>
        <v/>
      </c>
      <c r="AG44" s="106" t="str">
        <f aca="false">IF(OR($C44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44)&amp;"")</f>
        <v/>
      </c>
      <c r="AH44" s="105" t="str">
        <f aca="false">IF(OR($C44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44)&amp;"")</f>
        <v/>
      </c>
      <c r="AI44" s="106" t="str">
        <f aca="false">IF(OR($C44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44)&amp;"")</f>
        <v/>
      </c>
      <c r="AJ44" s="105" t="str">
        <f aca="false">IF(OR($C44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44)&amp;"")</f>
        <v/>
      </c>
      <c r="AK44" s="106" t="str">
        <f aca="false">IF(OR($C44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44)&amp;"")</f>
        <v/>
      </c>
      <c r="AL44" s="105" t="str">
        <f aca="false">IF(OR($C44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44)&amp;"")</f>
        <v/>
      </c>
      <c r="AM44" s="106" t="str">
        <f aca="false">IF(OR($C44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44)&amp;"")</f>
        <v/>
      </c>
      <c r="AN44" s="105" t="str">
        <f aca="false">IF(OR($C44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44)&amp;"")</f>
        <v/>
      </c>
      <c r="AO44" s="106" t="str">
        <f aca="false">IF(OR($C44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44)&amp;"")</f>
        <v/>
      </c>
      <c r="AP44" s="105" t="str">
        <f aca="false">IF(OR($C44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44)&amp;"")</f>
        <v/>
      </c>
      <c r="AQ44" s="106" t="str">
        <f aca="false">IF(OR($C44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44)&amp;"")</f>
        <v/>
      </c>
      <c r="AR44" s="13"/>
      <c r="AT44" s="13"/>
    </row>
    <row r="45" customFormat="false" ht="36" hidden="false" customHeight="true" outlineLevel="0" collapsed="false">
      <c r="A45" s="91" t="str">
        <f aca="false">IF($C45="","",INDEX(名簿!$C$5:$C$164,$C45))</f>
        <v/>
      </c>
      <c r="B45" s="59" t="str">
        <f aca="false">IF($C45="","",INDEX(名簿!$D$5:$D$164,$C45))</f>
        <v/>
      </c>
      <c r="C45" s="41" t="str">
        <f aca="false">IFERROR(MATCH($B$2&amp;"|"&amp;40,名簿!$G$5:$G$164,0),"")</f>
        <v/>
      </c>
      <c r="D45" s="105" t="str">
        <f aca="false">IF(OR($C45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45)&amp;"")</f>
        <v/>
      </c>
      <c r="E45" s="106" t="str">
        <f aca="false">IF(OR($C45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45)&amp;"")</f>
        <v/>
      </c>
      <c r="F45" s="105" t="str">
        <f aca="false">IF(OR($C45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45)&amp;"")</f>
        <v/>
      </c>
      <c r="G45" s="106" t="str">
        <f aca="false">IF(OR($C45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45)&amp;"")</f>
        <v/>
      </c>
      <c r="H45" s="105" t="str">
        <f aca="false">IF(OR($C45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45)&amp;"")</f>
        <v/>
      </c>
      <c r="I45" s="106" t="str">
        <f aca="false">IF(OR($C45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45)&amp;"")</f>
        <v/>
      </c>
      <c r="J45" s="105" t="str">
        <f aca="false">IF(OR($C45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45)&amp;"")</f>
        <v/>
      </c>
      <c r="K45" s="106" t="str">
        <f aca="false">IF(OR($C45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45)&amp;"")</f>
        <v/>
      </c>
      <c r="L45" s="105" t="str">
        <f aca="false">IF(OR($C45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45)&amp;"")</f>
        <v/>
      </c>
      <c r="M45" s="106" t="str">
        <f aca="false">IF(OR($C45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45)&amp;"")</f>
        <v/>
      </c>
      <c r="N45" s="105" t="str">
        <f aca="false">IF(OR($C45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45)&amp;"")</f>
        <v/>
      </c>
      <c r="O45" s="106" t="str">
        <f aca="false">IF(OR($C45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45)&amp;"")</f>
        <v/>
      </c>
      <c r="P45" s="105" t="str">
        <f aca="false">IF(OR($C45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45)&amp;"")</f>
        <v/>
      </c>
      <c r="Q45" s="106" t="str">
        <f aca="false">IF(OR($C45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45)&amp;"")</f>
        <v/>
      </c>
      <c r="R45" s="105" t="str">
        <f aca="false">IF(OR($C45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45)&amp;"")</f>
        <v/>
      </c>
      <c r="S45" s="106" t="str">
        <f aca="false">IF(OR($C45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45)&amp;"")</f>
        <v/>
      </c>
      <c r="T45" s="105" t="str">
        <f aca="false">IF(OR($C45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45)&amp;"")</f>
        <v/>
      </c>
      <c r="U45" s="106" t="str">
        <f aca="false">IF(OR($C45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45)&amp;"")</f>
        <v/>
      </c>
      <c r="V45" s="105" t="str">
        <f aca="false">IF(OR($C45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45)&amp;"")</f>
        <v/>
      </c>
      <c r="W45" s="106" t="str">
        <f aca="false">IF(OR($C45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45)&amp;"")</f>
        <v/>
      </c>
      <c r="X45" s="105" t="str">
        <f aca="false">IF(OR($C45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45)&amp;"")</f>
        <v/>
      </c>
      <c r="Y45" s="106" t="str">
        <f aca="false">IF(OR($C45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45)&amp;"")</f>
        <v/>
      </c>
      <c r="Z45" s="105" t="str">
        <f aca="false">IF(OR($C45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45)&amp;"")</f>
        <v/>
      </c>
      <c r="AA45" s="106" t="str">
        <f aca="false">IF(OR($C45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45)&amp;"")</f>
        <v/>
      </c>
      <c r="AB45" s="105" t="str">
        <f aca="false">IF(OR($C45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45)&amp;"")</f>
        <v/>
      </c>
      <c r="AC45" s="106" t="str">
        <f aca="false">IF(OR($C45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45)&amp;"")</f>
        <v/>
      </c>
      <c r="AD45" s="105" t="str">
        <f aca="false">IF(OR($C45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45)&amp;"")</f>
        <v/>
      </c>
      <c r="AE45" s="106" t="str">
        <f aca="false">IF(OR($C45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45)&amp;"")</f>
        <v/>
      </c>
      <c r="AF45" s="105" t="str">
        <f aca="false">IF(OR($C45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45)&amp;"")</f>
        <v/>
      </c>
      <c r="AG45" s="106" t="str">
        <f aca="false">IF(OR($C45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45)&amp;"")</f>
        <v/>
      </c>
      <c r="AH45" s="105" t="str">
        <f aca="false">IF(OR($C45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45)&amp;"")</f>
        <v/>
      </c>
      <c r="AI45" s="106" t="str">
        <f aca="false">IF(OR($C45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45)&amp;"")</f>
        <v/>
      </c>
      <c r="AJ45" s="105" t="str">
        <f aca="false">IF(OR($C45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45)&amp;"")</f>
        <v/>
      </c>
      <c r="AK45" s="106" t="str">
        <f aca="false">IF(OR($C45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45)&amp;"")</f>
        <v/>
      </c>
      <c r="AL45" s="105" t="str">
        <f aca="false">IF(OR($C45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45)&amp;"")</f>
        <v/>
      </c>
      <c r="AM45" s="106" t="str">
        <f aca="false">IF(OR($C45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45)&amp;"")</f>
        <v/>
      </c>
      <c r="AN45" s="105" t="str">
        <f aca="false">IF(OR($C45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45)&amp;"")</f>
        <v/>
      </c>
      <c r="AO45" s="106" t="str">
        <f aca="false">IF(OR($C45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45)&amp;"")</f>
        <v/>
      </c>
      <c r="AP45" s="105" t="str">
        <f aca="false">IF(OR($C45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45)&amp;"")</f>
        <v/>
      </c>
      <c r="AQ45" s="106" t="str">
        <f aca="false">IF(OR($C45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45)&amp;"")</f>
        <v/>
      </c>
      <c r="AR45" s="13"/>
      <c r="AT45" s="13"/>
    </row>
    <row r="46" customFormat="false" ht="36" hidden="false" customHeight="true" outlineLevel="0" collapsed="false">
      <c r="A46" s="91" t="str">
        <f aca="false">IF($C46="","",INDEX(名簿!$C$5:$C$164,$C46))</f>
        <v/>
      </c>
      <c r="B46" s="59" t="str">
        <f aca="false">IF($C46="","",INDEX(名簿!$D$5:$D$164,$C46))</f>
        <v/>
      </c>
      <c r="C46" s="41" t="str">
        <f aca="false">IFERROR(MATCH($B$2&amp;"|"&amp;41,名簿!$G$5:$G$164,0),"")</f>
        <v/>
      </c>
      <c r="D46" s="105" t="str">
        <f aca="false">IF(OR($C46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46)&amp;"")</f>
        <v/>
      </c>
      <c r="E46" s="106" t="str">
        <f aca="false">IF(OR($C46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46)&amp;"")</f>
        <v/>
      </c>
      <c r="F46" s="105" t="str">
        <f aca="false">IF(OR($C46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46)&amp;"")</f>
        <v/>
      </c>
      <c r="G46" s="106" t="str">
        <f aca="false">IF(OR($C46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46)&amp;"")</f>
        <v/>
      </c>
      <c r="H46" s="105" t="str">
        <f aca="false">IF(OR($C46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46)&amp;"")</f>
        <v/>
      </c>
      <c r="I46" s="106" t="str">
        <f aca="false">IF(OR($C46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46)&amp;"")</f>
        <v/>
      </c>
      <c r="J46" s="105" t="str">
        <f aca="false">IF(OR($C46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46)&amp;"")</f>
        <v/>
      </c>
      <c r="K46" s="106" t="str">
        <f aca="false">IF(OR($C46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46)&amp;"")</f>
        <v/>
      </c>
      <c r="L46" s="105" t="str">
        <f aca="false">IF(OR($C46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46)&amp;"")</f>
        <v/>
      </c>
      <c r="M46" s="106" t="str">
        <f aca="false">IF(OR($C46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46)&amp;"")</f>
        <v/>
      </c>
      <c r="N46" s="105" t="str">
        <f aca="false">IF(OR($C46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46)&amp;"")</f>
        <v/>
      </c>
      <c r="O46" s="106" t="str">
        <f aca="false">IF(OR($C46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46)&amp;"")</f>
        <v/>
      </c>
      <c r="P46" s="105" t="str">
        <f aca="false">IF(OR($C46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46)&amp;"")</f>
        <v/>
      </c>
      <c r="Q46" s="106" t="str">
        <f aca="false">IF(OR($C46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46)&amp;"")</f>
        <v/>
      </c>
      <c r="R46" s="105" t="str">
        <f aca="false">IF(OR($C46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46)&amp;"")</f>
        <v/>
      </c>
      <c r="S46" s="106" t="str">
        <f aca="false">IF(OR($C46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46)&amp;"")</f>
        <v/>
      </c>
      <c r="T46" s="105" t="str">
        <f aca="false">IF(OR($C46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46)&amp;"")</f>
        <v/>
      </c>
      <c r="U46" s="106" t="str">
        <f aca="false">IF(OR($C46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46)&amp;"")</f>
        <v/>
      </c>
      <c r="V46" s="105" t="str">
        <f aca="false">IF(OR($C46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46)&amp;"")</f>
        <v/>
      </c>
      <c r="W46" s="106" t="str">
        <f aca="false">IF(OR($C46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46)&amp;"")</f>
        <v/>
      </c>
      <c r="X46" s="105" t="str">
        <f aca="false">IF(OR($C46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46)&amp;"")</f>
        <v/>
      </c>
      <c r="Y46" s="106" t="str">
        <f aca="false">IF(OR($C46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46)&amp;"")</f>
        <v/>
      </c>
      <c r="Z46" s="105" t="str">
        <f aca="false">IF(OR($C46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46)&amp;"")</f>
        <v/>
      </c>
      <c r="AA46" s="106" t="str">
        <f aca="false">IF(OR($C46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46)&amp;"")</f>
        <v/>
      </c>
      <c r="AB46" s="105" t="str">
        <f aca="false">IF(OR($C46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46)&amp;"")</f>
        <v/>
      </c>
      <c r="AC46" s="106" t="str">
        <f aca="false">IF(OR($C46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46)&amp;"")</f>
        <v/>
      </c>
      <c r="AD46" s="105" t="str">
        <f aca="false">IF(OR($C46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46)&amp;"")</f>
        <v/>
      </c>
      <c r="AE46" s="106" t="str">
        <f aca="false">IF(OR($C46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46)&amp;"")</f>
        <v/>
      </c>
      <c r="AF46" s="105" t="str">
        <f aca="false">IF(OR($C46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46)&amp;"")</f>
        <v/>
      </c>
      <c r="AG46" s="106" t="str">
        <f aca="false">IF(OR($C46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46)&amp;"")</f>
        <v/>
      </c>
      <c r="AH46" s="105" t="str">
        <f aca="false">IF(OR($C46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46)&amp;"")</f>
        <v/>
      </c>
      <c r="AI46" s="106" t="str">
        <f aca="false">IF(OR($C46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46)&amp;"")</f>
        <v/>
      </c>
      <c r="AJ46" s="105" t="str">
        <f aca="false">IF(OR($C46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46)&amp;"")</f>
        <v/>
      </c>
      <c r="AK46" s="106" t="str">
        <f aca="false">IF(OR($C46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46)&amp;"")</f>
        <v/>
      </c>
      <c r="AL46" s="105" t="str">
        <f aca="false">IF(OR($C46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46)&amp;"")</f>
        <v/>
      </c>
      <c r="AM46" s="106" t="str">
        <f aca="false">IF(OR($C46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46)&amp;"")</f>
        <v/>
      </c>
      <c r="AN46" s="105" t="str">
        <f aca="false">IF(OR($C46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46)&amp;"")</f>
        <v/>
      </c>
      <c r="AO46" s="106" t="str">
        <f aca="false">IF(OR($C46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46)&amp;"")</f>
        <v/>
      </c>
      <c r="AP46" s="105" t="str">
        <f aca="false">IF(OR($C46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46)&amp;"")</f>
        <v/>
      </c>
      <c r="AQ46" s="106" t="str">
        <f aca="false">IF(OR($C46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46)&amp;"")</f>
        <v/>
      </c>
      <c r="AR46" s="13"/>
      <c r="AT46" s="13"/>
    </row>
    <row r="47" customFormat="false" ht="36" hidden="false" customHeight="true" outlineLevel="0" collapsed="false">
      <c r="A47" s="91" t="str">
        <f aca="false">IF($C47="","",INDEX(名簿!$C$5:$C$164,$C47))</f>
        <v/>
      </c>
      <c r="B47" s="59" t="str">
        <f aca="false">IF($C47="","",INDEX(名簿!$D$5:$D$164,$C47))</f>
        <v/>
      </c>
      <c r="C47" s="41" t="str">
        <f aca="false">IFERROR(MATCH($B$2&amp;"|"&amp;42,名簿!$G$5:$G$164,0),"")</f>
        <v/>
      </c>
      <c r="D47" s="105" t="str">
        <f aca="false">IF(OR($C47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47)&amp;"")</f>
        <v/>
      </c>
      <c r="E47" s="106" t="str">
        <f aca="false">IF(OR($C47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47)&amp;"")</f>
        <v/>
      </c>
      <c r="F47" s="105" t="str">
        <f aca="false">IF(OR($C47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47)&amp;"")</f>
        <v/>
      </c>
      <c r="G47" s="106" t="str">
        <f aca="false">IF(OR($C47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47)&amp;"")</f>
        <v/>
      </c>
      <c r="H47" s="105" t="str">
        <f aca="false">IF(OR($C47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47)&amp;"")</f>
        <v/>
      </c>
      <c r="I47" s="106" t="str">
        <f aca="false">IF(OR($C47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47)&amp;"")</f>
        <v/>
      </c>
      <c r="J47" s="105" t="str">
        <f aca="false">IF(OR($C47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47)&amp;"")</f>
        <v/>
      </c>
      <c r="K47" s="106" t="str">
        <f aca="false">IF(OR($C47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47)&amp;"")</f>
        <v/>
      </c>
      <c r="L47" s="105" t="str">
        <f aca="false">IF(OR($C47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47)&amp;"")</f>
        <v/>
      </c>
      <c r="M47" s="106" t="str">
        <f aca="false">IF(OR($C47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47)&amp;"")</f>
        <v/>
      </c>
      <c r="N47" s="105" t="str">
        <f aca="false">IF(OR($C47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47)&amp;"")</f>
        <v/>
      </c>
      <c r="O47" s="106" t="str">
        <f aca="false">IF(OR($C47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47)&amp;"")</f>
        <v/>
      </c>
      <c r="P47" s="105" t="str">
        <f aca="false">IF(OR($C47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47)&amp;"")</f>
        <v/>
      </c>
      <c r="Q47" s="106" t="str">
        <f aca="false">IF(OR($C47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47)&amp;"")</f>
        <v/>
      </c>
      <c r="R47" s="105" t="str">
        <f aca="false">IF(OR($C47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47)&amp;"")</f>
        <v/>
      </c>
      <c r="S47" s="106" t="str">
        <f aca="false">IF(OR($C47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47)&amp;"")</f>
        <v/>
      </c>
      <c r="T47" s="105" t="str">
        <f aca="false">IF(OR($C47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47)&amp;"")</f>
        <v/>
      </c>
      <c r="U47" s="106" t="str">
        <f aca="false">IF(OR($C47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47)&amp;"")</f>
        <v/>
      </c>
      <c r="V47" s="105" t="str">
        <f aca="false">IF(OR($C47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47)&amp;"")</f>
        <v/>
      </c>
      <c r="W47" s="106" t="str">
        <f aca="false">IF(OR($C47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47)&amp;"")</f>
        <v/>
      </c>
      <c r="X47" s="105" t="str">
        <f aca="false">IF(OR($C47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47)&amp;"")</f>
        <v/>
      </c>
      <c r="Y47" s="106" t="str">
        <f aca="false">IF(OR($C47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47)&amp;"")</f>
        <v/>
      </c>
      <c r="Z47" s="105" t="str">
        <f aca="false">IF(OR($C47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47)&amp;"")</f>
        <v/>
      </c>
      <c r="AA47" s="106" t="str">
        <f aca="false">IF(OR($C47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47)&amp;"")</f>
        <v/>
      </c>
      <c r="AB47" s="105" t="str">
        <f aca="false">IF(OR($C47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47)&amp;"")</f>
        <v/>
      </c>
      <c r="AC47" s="106" t="str">
        <f aca="false">IF(OR($C47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47)&amp;"")</f>
        <v/>
      </c>
      <c r="AD47" s="105" t="str">
        <f aca="false">IF(OR($C47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47)&amp;"")</f>
        <v/>
      </c>
      <c r="AE47" s="106" t="str">
        <f aca="false">IF(OR($C47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47)&amp;"")</f>
        <v/>
      </c>
      <c r="AF47" s="105" t="str">
        <f aca="false">IF(OR($C47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47)&amp;"")</f>
        <v/>
      </c>
      <c r="AG47" s="106" t="str">
        <f aca="false">IF(OR($C47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47)&amp;"")</f>
        <v/>
      </c>
      <c r="AH47" s="105" t="str">
        <f aca="false">IF(OR($C47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47)&amp;"")</f>
        <v/>
      </c>
      <c r="AI47" s="106" t="str">
        <f aca="false">IF(OR($C47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47)&amp;"")</f>
        <v/>
      </c>
      <c r="AJ47" s="105" t="str">
        <f aca="false">IF(OR($C47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47)&amp;"")</f>
        <v/>
      </c>
      <c r="AK47" s="106" t="str">
        <f aca="false">IF(OR($C47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47)&amp;"")</f>
        <v/>
      </c>
      <c r="AL47" s="105" t="str">
        <f aca="false">IF(OR($C47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47)&amp;"")</f>
        <v/>
      </c>
      <c r="AM47" s="106" t="str">
        <f aca="false">IF(OR($C47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47)&amp;"")</f>
        <v/>
      </c>
      <c r="AN47" s="105" t="str">
        <f aca="false">IF(OR($C47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47)&amp;"")</f>
        <v/>
      </c>
      <c r="AO47" s="106" t="str">
        <f aca="false">IF(OR($C47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47)&amp;"")</f>
        <v/>
      </c>
      <c r="AP47" s="105" t="str">
        <f aca="false">IF(OR($C47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47)&amp;"")</f>
        <v/>
      </c>
      <c r="AQ47" s="106" t="str">
        <f aca="false">IF(OR($C47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47)&amp;"")</f>
        <v/>
      </c>
      <c r="AR47" s="13"/>
      <c r="AT47" s="13"/>
    </row>
    <row r="48" customFormat="false" ht="36" hidden="false" customHeight="true" outlineLevel="0" collapsed="false">
      <c r="A48" s="91" t="str">
        <f aca="false">IF($C48="","",INDEX(名簿!$C$5:$C$164,$C48))</f>
        <v/>
      </c>
      <c r="B48" s="59" t="str">
        <f aca="false">IF($C48="","",INDEX(名簿!$D$5:$D$164,$C48))</f>
        <v/>
      </c>
      <c r="C48" s="41" t="str">
        <f aca="false">IFERROR(MATCH($B$2&amp;"|"&amp;43,名簿!$G$5:$G$164,0),"")</f>
        <v/>
      </c>
      <c r="D48" s="105" t="str">
        <f aca="false">IF(OR($C48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48)&amp;"")</f>
        <v/>
      </c>
      <c r="E48" s="106" t="str">
        <f aca="false">IF(OR($C48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48)&amp;"")</f>
        <v/>
      </c>
      <c r="F48" s="105" t="str">
        <f aca="false">IF(OR($C48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48)&amp;"")</f>
        <v/>
      </c>
      <c r="G48" s="106" t="str">
        <f aca="false">IF(OR($C48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48)&amp;"")</f>
        <v/>
      </c>
      <c r="H48" s="105" t="str">
        <f aca="false">IF(OR($C48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48)&amp;"")</f>
        <v/>
      </c>
      <c r="I48" s="106" t="str">
        <f aca="false">IF(OR($C48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48)&amp;"")</f>
        <v/>
      </c>
      <c r="J48" s="105" t="str">
        <f aca="false">IF(OR($C48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48)&amp;"")</f>
        <v/>
      </c>
      <c r="K48" s="106" t="str">
        <f aca="false">IF(OR($C48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48)&amp;"")</f>
        <v/>
      </c>
      <c r="L48" s="105" t="str">
        <f aca="false">IF(OR($C48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48)&amp;"")</f>
        <v/>
      </c>
      <c r="M48" s="106" t="str">
        <f aca="false">IF(OR($C48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48)&amp;"")</f>
        <v/>
      </c>
      <c r="N48" s="105" t="str">
        <f aca="false">IF(OR($C48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48)&amp;"")</f>
        <v/>
      </c>
      <c r="O48" s="106" t="str">
        <f aca="false">IF(OR($C48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48)&amp;"")</f>
        <v/>
      </c>
      <c r="P48" s="105" t="str">
        <f aca="false">IF(OR($C48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48)&amp;"")</f>
        <v/>
      </c>
      <c r="Q48" s="106" t="str">
        <f aca="false">IF(OR($C48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48)&amp;"")</f>
        <v/>
      </c>
      <c r="R48" s="105" t="str">
        <f aca="false">IF(OR($C48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48)&amp;"")</f>
        <v/>
      </c>
      <c r="S48" s="106" t="str">
        <f aca="false">IF(OR($C48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48)&amp;"")</f>
        <v/>
      </c>
      <c r="T48" s="105" t="str">
        <f aca="false">IF(OR($C48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48)&amp;"")</f>
        <v/>
      </c>
      <c r="U48" s="106" t="str">
        <f aca="false">IF(OR($C48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48)&amp;"")</f>
        <v/>
      </c>
      <c r="V48" s="105" t="str">
        <f aca="false">IF(OR($C48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48)&amp;"")</f>
        <v/>
      </c>
      <c r="W48" s="106" t="str">
        <f aca="false">IF(OR($C48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48)&amp;"")</f>
        <v/>
      </c>
      <c r="X48" s="105" t="str">
        <f aca="false">IF(OR($C48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48)&amp;"")</f>
        <v/>
      </c>
      <c r="Y48" s="106" t="str">
        <f aca="false">IF(OR($C48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48)&amp;"")</f>
        <v/>
      </c>
      <c r="Z48" s="105" t="str">
        <f aca="false">IF(OR($C48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48)&amp;"")</f>
        <v/>
      </c>
      <c r="AA48" s="106" t="str">
        <f aca="false">IF(OR($C48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48)&amp;"")</f>
        <v/>
      </c>
      <c r="AB48" s="105" t="str">
        <f aca="false">IF(OR($C48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48)&amp;"")</f>
        <v/>
      </c>
      <c r="AC48" s="106" t="str">
        <f aca="false">IF(OR($C48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48)&amp;"")</f>
        <v/>
      </c>
      <c r="AD48" s="105" t="str">
        <f aca="false">IF(OR($C48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48)&amp;"")</f>
        <v/>
      </c>
      <c r="AE48" s="106" t="str">
        <f aca="false">IF(OR($C48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48)&amp;"")</f>
        <v/>
      </c>
      <c r="AF48" s="105" t="str">
        <f aca="false">IF(OR($C48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48)&amp;"")</f>
        <v/>
      </c>
      <c r="AG48" s="106" t="str">
        <f aca="false">IF(OR($C48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48)&amp;"")</f>
        <v/>
      </c>
      <c r="AH48" s="105" t="str">
        <f aca="false">IF(OR($C48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48)&amp;"")</f>
        <v/>
      </c>
      <c r="AI48" s="106" t="str">
        <f aca="false">IF(OR($C48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48)&amp;"")</f>
        <v/>
      </c>
      <c r="AJ48" s="105" t="str">
        <f aca="false">IF(OR($C48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48)&amp;"")</f>
        <v/>
      </c>
      <c r="AK48" s="106" t="str">
        <f aca="false">IF(OR($C48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48)&amp;"")</f>
        <v/>
      </c>
      <c r="AL48" s="105" t="str">
        <f aca="false">IF(OR($C48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48)&amp;"")</f>
        <v/>
      </c>
      <c r="AM48" s="106" t="str">
        <f aca="false">IF(OR($C48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48)&amp;"")</f>
        <v/>
      </c>
      <c r="AN48" s="105" t="str">
        <f aca="false">IF(OR($C48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48)&amp;"")</f>
        <v/>
      </c>
      <c r="AO48" s="106" t="str">
        <f aca="false">IF(OR($C48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48)&amp;"")</f>
        <v/>
      </c>
      <c r="AP48" s="105" t="str">
        <f aca="false">IF(OR($C48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48)&amp;"")</f>
        <v/>
      </c>
      <c r="AQ48" s="106" t="str">
        <f aca="false">IF(OR($C48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48)&amp;"")</f>
        <v/>
      </c>
      <c r="AR48" s="13"/>
      <c r="AT48" s="13"/>
    </row>
    <row r="49" customFormat="false" ht="36" hidden="false" customHeight="true" outlineLevel="0" collapsed="false">
      <c r="A49" s="91" t="str">
        <f aca="false">IF($C49="","",INDEX(名簿!$C$5:$C$164,$C49))</f>
        <v/>
      </c>
      <c r="B49" s="59" t="str">
        <f aca="false">IF($C49="","",INDEX(名簿!$D$5:$D$164,$C49))</f>
        <v/>
      </c>
      <c r="C49" s="41" t="str">
        <f aca="false">IFERROR(MATCH($B$2&amp;"|"&amp;44,名簿!$G$5:$G$164,0),"")</f>
        <v/>
      </c>
      <c r="D49" s="105" t="str">
        <f aca="false">IF(OR($C49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49)&amp;"")</f>
        <v/>
      </c>
      <c r="E49" s="106" t="str">
        <f aca="false">IF(OR($C49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49)&amp;"")</f>
        <v/>
      </c>
      <c r="F49" s="105" t="str">
        <f aca="false">IF(OR($C49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49)&amp;"")</f>
        <v/>
      </c>
      <c r="G49" s="106" t="str">
        <f aca="false">IF(OR($C49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49)&amp;"")</f>
        <v/>
      </c>
      <c r="H49" s="105" t="str">
        <f aca="false">IF(OR($C49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49)&amp;"")</f>
        <v/>
      </c>
      <c r="I49" s="106" t="str">
        <f aca="false">IF(OR($C49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49)&amp;"")</f>
        <v/>
      </c>
      <c r="J49" s="105" t="str">
        <f aca="false">IF(OR($C49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49)&amp;"")</f>
        <v/>
      </c>
      <c r="K49" s="106" t="str">
        <f aca="false">IF(OR($C49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49)&amp;"")</f>
        <v/>
      </c>
      <c r="L49" s="105" t="str">
        <f aca="false">IF(OR($C49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49)&amp;"")</f>
        <v/>
      </c>
      <c r="M49" s="106" t="str">
        <f aca="false">IF(OR($C49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49)&amp;"")</f>
        <v/>
      </c>
      <c r="N49" s="105" t="str">
        <f aca="false">IF(OR($C49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49)&amp;"")</f>
        <v/>
      </c>
      <c r="O49" s="106" t="str">
        <f aca="false">IF(OR($C49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49)&amp;"")</f>
        <v/>
      </c>
      <c r="P49" s="105" t="str">
        <f aca="false">IF(OR($C49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49)&amp;"")</f>
        <v/>
      </c>
      <c r="Q49" s="106" t="str">
        <f aca="false">IF(OR($C49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49)&amp;"")</f>
        <v/>
      </c>
      <c r="R49" s="105" t="str">
        <f aca="false">IF(OR($C49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49)&amp;"")</f>
        <v/>
      </c>
      <c r="S49" s="106" t="str">
        <f aca="false">IF(OR($C49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49)&amp;"")</f>
        <v/>
      </c>
      <c r="T49" s="105" t="str">
        <f aca="false">IF(OR($C49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49)&amp;"")</f>
        <v/>
      </c>
      <c r="U49" s="106" t="str">
        <f aca="false">IF(OR($C49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49)&amp;"")</f>
        <v/>
      </c>
      <c r="V49" s="105" t="str">
        <f aca="false">IF(OR($C49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49)&amp;"")</f>
        <v/>
      </c>
      <c r="W49" s="106" t="str">
        <f aca="false">IF(OR($C49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49)&amp;"")</f>
        <v/>
      </c>
      <c r="X49" s="105" t="str">
        <f aca="false">IF(OR($C49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49)&amp;"")</f>
        <v/>
      </c>
      <c r="Y49" s="106" t="str">
        <f aca="false">IF(OR($C49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49)&amp;"")</f>
        <v/>
      </c>
      <c r="Z49" s="105" t="str">
        <f aca="false">IF(OR($C49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49)&amp;"")</f>
        <v/>
      </c>
      <c r="AA49" s="106" t="str">
        <f aca="false">IF(OR($C49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49)&amp;"")</f>
        <v/>
      </c>
      <c r="AB49" s="105" t="str">
        <f aca="false">IF(OR($C49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49)&amp;"")</f>
        <v/>
      </c>
      <c r="AC49" s="106" t="str">
        <f aca="false">IF(OR($C49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49)&amp;"")</f>
        <v/>
      </c>
      <c r="AD49" s="105" t="str">
        <f aca="false">IF(OR($C49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49)&amp;"")</f>
        <v/>
      </c>
      <c r="AE49" s="106" t="str">
        <f aca="false">IF(OR($C49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49)&amp;"")</f>
        <v/>
      </c>
      <c r="AF49" s="105" t="str">
        <f aca="false">IF(OR($C49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49)&amp;"")</f>
        <v/>
      </c>
      <c r="AG49" s="106" t="str">
        <f aca="false">IF(OR($C49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49)&amp;"")</f>
        <v/>
      </c>
      <c r="AH49" s="105" t="str">
        <f aca="false">IF(OR($C49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49)&amp;"")</f>
        <v/>
      </c>
      <c r="AI49" s="106" t="str">
        <f aca="false">IF(OR($C49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49)&amp;"")</f>
        <v/>
      </c>
      <c r="AJ49" s="105" t="str">
        <f aca="false">IF(OR($C49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49)&amp;"")</f>
        <v/>
      </c>
      <c r="AK49" s="106" t="str">
        <f aca="false">IF(OR($C49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49)&amp;"")</f>
        <v/>
      </c>
      <c r="AL49" s="105" t="str">
        <f aca="false">IF(OR($C49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49)&amp;"")</f>
        <v/>
      </c>
      <c r="AM49" s="106" t="str">
        <f aca="false">IF(OR($C49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49)&amp;"")</f>
        <v/>
      </c>
      <c r="AN49" s="105" t="str">
        <f aca="false">IF(OR($C49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49)&amp;"")</f>
        <v/>
      </c>
      <c r="AO49" s="106" t="str">
        <f aca="false">IF(OR($C49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49)&amp;"")</f>
        <v/>
      </c>
      <c r="AP49" s="105" t="str">
        <f aca="false">IF(OR($C49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49)&amp;"")</f>
        <v/>
      </c>
      <c r="AQ49" s="106" t="str">
        <f aca="false">IF(OR($C49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49)&amp;"")</f>
        <v/>
      </c>
      <c r="AR49" s="13"/>
      <c r="AT49" s="13"/>
    </row>
    <row r="50" customFormat="false" ht="36" hidden="false" customHeight="true" outlineLevel="0" collapsed="false">
      <c r="A50" s="91" t="str">
        <f aca="false">IF($C50="","",INDEX(名簿!$C$5:$C$164,$C50))</f>
        <v/>
      </c>
      <c r="B50" s="59" t="str">
        <f aca="false">IF($C50="","",INDEX(名簿!$D$5:$D$164,$C50))</f>
        <v/>
      </c>
      <c r="C50" s="41" t="str">
        <f aca="false">IFERROR(MATCH($B$2&amp;"|"&amp;45,名簿!$G$5:$G$164,0),"")</f>
        <v/>
      </c>
      <c r="D50" s="105" t="str">
        <f aca="false">IF(OR($C50="",D$3=""),"",INDEX(CHOOSE(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50)&amp;"")</f>
        <v/>
      </c>
      <c r="E50" s="106" t="str">
        <f aca="false">IF(OR($C50="",D$3=""),"",INDEX(CHOOSE(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50)&amp;"")</f>
        <v/>
      </c>
      <c r="F50" s="105" t="str">
        <f aca="false">IF(OR($C50="",F$3=""),"",INDEX(CHOOSE(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50)&amp;"")</f>
        <v/>
      </c>
      <c r="G50" s="106" t="str">
        <f aca="false">IF(OR($C50="",F$3=""),"",INDEX(CHOOSE(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50)&amp;"")</f>
        <v/>
      </c>
      <c r="H50" s="105" t="str">
        <f aca="false">IF(OR($C50="",H$3=""),"",INDEX(CHOOSE(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50)&amp;"")</f>
        <v/>
      </c>
      <c r="I50" s="106" t="str">
        <f aca="false">IF(OR($C50="",H$3=""),"",INDEX(CHOOSE(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50)&amp;"")</f>
        <v/>
      </c>
      <c r="J50" s="105" t="str">
        <f aca="false">IF(OR($C50="",J$3=""),"",INDEX(CHOOSE(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50)&amp;"")</f>
        <v/>
      </c>
      <c r="K50" s="106" t="str">
        <f aca="false">IF(OR($C50="",J$3=""),"",INDEX(CHOOSE(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50)&amp;"")</f>
        <v/>
      </c>
      <c r="L50" s="105" t="str">
        <f aca="false">IF(OR($C50="",L$3=""),"",INDEX(CHOOSE(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50)&amp;"")</f>
        <v/>
      </c>
      <c r="M50" s="106" t="str">
        <f aca="false">IF(OR($C50="",L$3=""),"",INDEX(CHOOSE(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50)&amp;"")</f>
        <v/>
      </c>
      <c r="N50" s="105" t="str">
        <f aca="false">IF(OR($C50="",N$3=""),"",INDEX(CHOOSE(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50)&amp;"")</f>
        <v/>
      </c>
      <c r="O50" s="106" t="str">
        <f aca="false">IF(OR($C50="",N$3=""),"",INDEX(CHOOSE(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50)&amp;"")</f>
        <v/>
      </c>
      <c r="P50" s="105" t="str">
        <f aca="false">IF(OR($C50="",P$3=""),"",INDEX(CHOOSE(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50)&amp;"")</f>
        <v/>
      </c>
      <c r="Q50" s="106" t="str">
        <f aca="false">IF(OR($C50="",P$3=""),"",INDEX(CHOOSE(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50)&amp;"")</f>
        <v/>
      </c>
      <c r="R50" s="105" t="str">
        <f aca="false">IF(OR($C50="",R$3=""),"",INDEX(CHOOSE(R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50)&amp;"")</f>
        <v/>
      </c>
      <c r="S50" s="106" t="str">
        <f aca="false">IF(OR($C50="",R$3=""),"",INDEX(CHOOSE(R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50)&amp;"")</f>
        <v/>
      </c>
      <c r="T50" s="105" t="str">
        <f aca="false">IF(OR($C50="",T$3=""),"",INDEX(CHOOSE(T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50)&amp;"")</f>
        <v/>
      </c>
      <c r="U50" s="106" t="str">
        <f aca="false">IF(OR($C50="",T$3=""),"",INDEX(CHOOSE(T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50)&amp;"")</f>
        <v/>
      </c>
      <c r="V50" s="105" t="str">
        <f aca="false">IF(OR($C50="",V$3=""),"",INDEX(CHOOSE(V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50)&amp;"")</f>
        <v/>
      </c>
      <c r="W50" s="106" t="str">
        <f aca="false">IF(OR($C50="",V$3=""),"",INDEX(CHOOSE(V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50)&amp;"")</f>
        <v/>
      </c>
      <c r="X50" s="105" t="str">
        <f aca="false">IF(OR($C50="",X$3=""),"",INDEX(CHOOSE(X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50)&amp;"")</f>
        <v/>
      </c>
      <c r="Y50" s="106" t="str">
        <f aca="false">IF(OR($C50="",X$3=""),"",INDEX(CHOOSE(X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50)&amp;"")</f>
        <v/>
      </c>
      <c r="Z50" s="105" t="str">
        <f aca="false">IF(OR($C50="",Z$3=""),"",INDEX(CHOOSE(Z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50)&amp;"")</f>
        <v/>
      </c>
      <c r="AA50" s="106" t="str">
        <f aca="false">IF(OR($C50="",Z$3=""),"",INDEX(CHOOSE(Z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50)&amp;"")</f>
        <v/>
      </c>
      <c r="AB50" s="105" t="str">
        <f aca="false">IF(OR($C50="",AB$3=""),"",INDEX(CHOOSE(AB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50)&amp;"")</f>
        <v/>
      </c>
      <c r="AC50" s="106" t="str">
        <f aca="false">IF(OR($C50="",AB$3=""),"",INDEX(CHOOSE(AB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50)&amp;"")</f>
        <v/>
      </c>
      <c r="AD50" s="105" t="str">
        <f aca="false">IF(OR($C50="",AD$3=""),"",INDEX(CHOOSE(AD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50)&amp;"")</f>
        <v/>
      </c>
      <c r="AE50" s="106" t="str">
        <f aca="false">IF(OR($C50="",AD$3=""),"",INDEX(CHOOSE(AD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50)&amp;"")</f>
        <v/>
      </c>
      <c r="AF50" s="105" t="str">
        <f aca="false">IF(OR($C50="",AF$3=""),"",INDEX(CHOOSE(AF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50)&amp;"")</f>
        <v/>
      </c>
      <c r="AG50" s="106" t="str">
        <f aca="false">IF(OR($C50="",AF$3=""),"",INDEX(CHOOSE(AF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50)&amp;"")</f>
        <v/>
      </c>
      <c r="AH50" s="105" t="str">
        <f aca="false">IF(OR($C50="",AH$3=""),"",INDEX(CHOOSE(AH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50)&amp;"")</f>
        <v/>
      </c>
      <c r="AI50" s="106" t="str">
        <f aca="false">IF(OR($C50="",AH$3=""),"",INDEX(CHOOSE(AH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50)&amp;"")</f>
        <v/>
      </c>
      <c r="AJ50" s="105" t="str">
        <f aca="false">IF(OR($C50="",AJ$3=""),"",INDEX(CHOOSE(AJ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50)&amp;"")</f>
        <v/>
      </c>
      <c r="AK50" s="106" t="str">
        <f aca="false">IF(OR($C50="",AJ$3=""),"",INDEX(CHOOSE(AJ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50)&amp;"")</f>
        <v/>
      </c>
      <c r="AL50" s="105" t="str">
        <f aca="false">IF(OR($C50="",AL$3=""),"",INDEX(CHOOSE(AL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50)&amp;"")</f>
        <v/>
      </c>
      <c r="AM50" s="106" t="str">
        <f aca="false">IF(OR($C50="",AL$3=""),"",INDEX(CHOOSE(AL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50)&amp;"")</f>
        <v/>
      </c>
      <c r="AN50" s="105" t="str">
        <f aca="false">IF(OR($C50="",AN$3=""),"",INDEX(CHOOSE(AN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50)&amp;"")</f>
        <v/>
      </c>
      <c r="AO50" s="106" t="str">
        <f aca="false">IF(OR($C50="",AN$3=""),"",INDEX(CHOOSE(AN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50)&amp;"")</f>
        <v/>
      </c>
      <c r="AP50" s="105" t="str">
        <f aca="false">IF(OR($C50="",AP$3=""),"",INDEX(CHOOSE(AP$3,単元01!$E$5:$E$164,単元02!$E$5:$E$164,単元03!$E$5:$E$164,単元04!$E$5:$E$164,単元05!$E$5:$E$164,単元06!$E$5:$E$164,単元07!$E$5:$E$164,単元08!$E$5:$E$164,単元09!$E$5:$E$164,単元10!$E$5:$E$164,単元11!$E$5:$E$164,単元12!$E$5:$E$164,単元13!$E$5:$E$164,単元14!$E$5:$E$164,単元15!$E$5:$E$164,単元16!$E$5:$E$164,単元17!$E$5:$E$164,単元18!$E$5:$E$164,単元19!$E$5:$E$164,単元20!$E$5:$E$164),$C50)&amp;"")</f>
        <v/>
      </c>
      <c r="AQ50" s="106" t="str">
        <f aca="false">IF(OR($C50="",AP$3=""),"",INDEX(CHOOSE(AP$3,単元01!$I$5:$I$164,単元02!$I$5:$I$164,単元03!$I$5:$I$164,単元04!$I$5:$I$164,単元05!$I$5:$I$164,単元06!$I$5:$I$164,単元07!$I$5:$I$164,単元08!$I$5:$I$164,単元09!$I$5:$I$164,単元10!$I$5:$I$164,単元11!$I$5:$I$164,単元12!$I$5:$I$164,単元13!$I$5:$I$164,単元14!$I$5:$I$164,単元15!$I$5:$I$164,単元16!$I$5:$I$164,単元17!$I$5:$I$164,単元18!$I$5:$I$164,単元19!$I$5:$I$164,単元20!$I$5:$I$164),$C50)&amp;"")</f>
        <v/>
      </c>
      <c r="AR50" s="13"/>
      <c r="AT50" s="13"/>
    </row>
  </sheetData>
  <sheetProtection sheet="true" formatColumns="false" formatRows="false"/>
  <mergeCells count="24">
    <mergeCell ref="A1:F1"/>
    <mergeCell ref="F2:H2"/>
    <mergeCell ref="A4:A5"/>
    <mergeCell ref="B4:B5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</mergeCells>
  <conditionalFormatting sqref="A6:B50">
    <cfRule type="expression" priority="2" aboveAverage="0" equalAverage="0" bottom="0" percent="0" rank="0" text="" dxfId="8">
      <formula>$C6&lt;&gt;""</formula>
    </cfRule>
  </conditionalFormatting>
  <conditionalFormatting sqref="D6:AQ50">
    <cfRule type="expression" priority="3" aboveAverage="0" equalAverage="0" bottom="0" percent="0" rank="0" text="" dxfId="8">
      <formula>AND($C6&lt;&gt;"",D$3&lt;&gt;"")</formula>
    </cfRule>
  </conditionalFormatting>
  <conditionalFormatting sqref="D4:AQ4">
    <cfRule type="expression" priority="4" aboveAverage="0" equalAverage="0" bottom="0" percent="0" rank="0" text="" dxfId="29">
      <formula>AND(D$3&lt;&gt;"",MOD(COLUMN(),4)&lt;2)</formula>
    </cfRule>
    <cfRule type="expression" priority="5" aboveAverage="0" equalAverage="0" bottom="0" percent="0" rank="0" text="" dxfId="30">
      <formula>D$3&lt;&gt;""</formula>
    </cfRule>
  </conditionalFormatting>
  <conditionalFormatting sqref="D5:AQ5">
    <cfRule type="expression" priority="6" aboveAverage="0" equalAverage="0" bottom="0" percent="0" rank="0" text="" dxfId="31">
      <formula>D$3&lt;&gt;""</formula>
    </cfRule>
  </conditionalFormatting>
  <dataValidations count="2">
    <dataValidation allowBlank="false" error="一覧から選んでください。" errorStyle="stop" errorTitle="入力エラー" operator="between" showDropDown="false" showErrorMessage="true" showInputMessage="false" sqref="B2" type="list">
      <formula1>学級一覧</formula1>
      <formula2>0</formula2>
    </dataValidation>
    <dataValidation allowBlank="false" error="一覧から選んでください。" errorStyle="stop" errorTitle="入力エラー" operator="between" showDropDown="false" showErrorMessage="true" showInputMessage="false" sqref="E2" type="list">
      <formula1>学期選択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Z3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"/>
    <col collapsed="false" customWidth="true" hidden="false" outlineLevel="0" max="2" min="2" style="0" width="22"/>
    <col collapsed="false" customWidth="true" hidden="false" outlineLevel="0" max="3" min="3" style="0" width="8"/>
    <col collapsed="false" customWidth="true" hidden="false" outlineLevel="0" max="4" min="4" style="0" width="12"/>
    <col collapsed="false" customWidth="true" hidden="false" outlineLevel="0" max="7" min="5" style="0" width="5.51"/>
    <col collapsed="false" customWidth="true" hidden="false" outlineLevel="0" max="8" min="8" style="0" width="46"/>
    <col collapsed="false" customWidth="true" hidden="false" outlineLevel="0" max="9" min="9" style="0" width="15"/>
    <col collapsed="false" customWidth="true" hidden="true" outlineLevel="0" max="26" min="25" style="0" width="13"/>
  </cols>
  <sheetData>
    <row r="1" customFormat="false" ht="33.75" hidden="false" customHeight="true" outlineLevel="0" collapsed="false">
      <c r="A1" s="14" t="str">
        <f aca="false">"個人票"&amp;IF(設定!$D$4="","","　"&amp;設定!$D$4&amp;"年度")&amp;IF(設定!$D$5="","","　"&amp;設定!$D$5)</f>
        <v>個人票</v>
      </c>
      <c r="B1" s="14"/>
      <c r="C1" s="14"/>
      <c r="D1" s="14"/>
      <c r="E1" s="14"/>
      <c r="F1" s="14"/>
      <c r="G1" s="14"/>
      <c r="H1" s="14"/>
      <c r="I1" s="14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68" t="str">
        <f aca="false">IFERROR(MATCH($B$2&amp;"|"&amp;$D$2,名簿!$H$5:$H$164,0),"")</f>
        <v/>
      </c>
    </row>
    <row r="2" customFormat="false" ht="30" hidden="false" customHeight="true" outlineLevel="0" collapsed="false">
      <c r="A2" s="16" t="s">
        <v>121</v>
      </c>
      <c r="B2" s="69" t="s">
        <v>144</v>
      </c>
      <c r="C2" s="16" t="s">
        <v>122</v>
      </c>
      <c r="D2" s="69" t="n">
        <v>1</v>
      </c>
      <c r="E2" s="108" t="str">
        <f aca="false">IF($Z$1="","← 名簿にいない番号です",INDEX(名簿!$D$5:$D$164,$Z$1)&amp;IF(INDEX(名簿!$E$5:$E$164,$Z$1)="","","（"&amp;INDEX(名簿!$E$5:$E$164,$Z$1)&amp;"）")&amp;IF(INDEX(名簿!$F$5:$F$164,$Z$1)="","","　"&amp;INDEX(名簿!$F$5:$F$164,$Z$1)))</f>
        <v>← 名簿にいない番号です</v>
      </c>
      <c r="F2" s="108"/>
      <c r="G2" s="108"/>
      <c r="H2" s="108"/>
      <c r="I2" s="108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customFormat="false" ht="15" hidden="false" customHeight="false" outlineLevel="0" collapsed="false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customFormat="false" ht="21.75" hidden="false" customHeight="true" outlineLevel="0" collapsed="false">
      <c r="A4" s="109" t="s">
        <v>148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customFormat="false" ht="15" hidden="false" customHeight="false" outlineLevel="0" collapsed="false">
      <c r="A5" s="13"/>
      <c r="B5" s="110" t="s">
        <v>72</v>
      </c>
      <c r="C5" s="110" t="s">
        <v>149</v>
      </c>
      <c r="D5" s="110" t="str">
        <f aca="false">設定!$G$8&amp;"の数"</f>
        <v>Aの数</v>
      </c>
      <c r="E5" s="110" t="str">
        <f aca="false">設定!$G$9&amp;"の数"</f>
        <v>Bの数</v>
      </c>
      <c r="F5" s="110" t="str">
        <f aca="false">設定!$G$10&amp;"の数"</f>
        <v>Cの数</v>
      </c>
      <c r="G5" s="110" t="s">
        <v>146</v>
      </c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customFormat="false" ht="18.75" hidden="false" customHeight="true" outlineLevel="0" collapsed="false">
      <c r="A6" s="13"/>
      <c r="B6" s="111" t="str">
        <f aca="false">IF(設定!$N$8="","",設定!$N$8&amp;IF(ISNUMBER(設定!$N$8),"学期",""))</f>
        <v>1学期</v>
      </c>
      <c r="C6" s="112" t="str">
        <f aca="false">IF(設定!$N$8="","",設定!$I$8)</f>
        <v>知</v>
      </c>
      <c r="D6" s="113" t="str">
        <f aca="false">IF(OR(設定!$N$8="",$Z$1=""),"",SUMPRODUCT(($Y$17:$Y$36=(設定!$N$8&amp;""))*($E$17:$E$36=設定!$G$8)))</f>
        <v/>
      </c>
      <c r="E6" s="113" t="str">
        <f aca="false">IF(OR(設定!$N$8="",$Z$1=""),"",SUMPRODUCT(($Y$17:$Y$36=(設定!$N$8&amp;""))*($E$17:$E$36=設定!$G$9)))</f>
        <v/>
      </c>
      <c r="F6" s="113" t="str">
        <f aca="false">IF(OR(設定!$N$8="",$Z$1=""),"",SUMPRODUCT(($Y$17:$Y$36=(設定!$N$8&amp;""))*($E$17:$E$36=設定!$G$10)))</f>
        <v/>
      </c>
      <c r="G6" s="114" t="str">
        <f aca="false">IF(OR(D6="",SUM(D6:F6)=0),"",IF(D6/SUM(D6:F6)&gt;=設定!$I$17,設定!$G$8,IF(F6/SUM(D6:F6)&gt;=設定!$I$18,設定!$G$10,設定!$G$9)))</f>
        <v/>
      </c>
      <c r="H6" s="35" t="s">
        <v>150</v>
      </c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customFormat="false" ht="18.75" hidden="false" customHeight="true" outlineLevel="0" collapsed="false">
      <c r="A7" s="13"/>
      <c r="B7" s="111"/>
      <c r="C7" s="112" t="str">
        <f aca="false">IF(設定!$N$8="","",設定!$I$9)</f>
        <v>思</v>
      </c>
      <c r="D7" s="113" t="str">
        <f aca="false">IF(OR(設定!$N$8="",$Z$1=""),"",SUMPRODUCT(($Y$17:$Y$36=(設定!$N$8&amp;""))*($F$17:$F$36=設定!$G$8)))</f>
        <v/>
      </c>
      <c r="E7" s="113" t="str">
        <f aca="false">IF(OR(設定!$N$8="",$Z$1=""),"",SUMPRODUCT(($Y$17:$Y$36=(設定!$N$8&amp;""))*($F$17:$F$36=設定!$G$9)))</f>
        <v/>
      </c>
      <c r="F7" s="113" t="str">
        <f aca="false">IF(OR(設定!$N$8="",$Z$1=""),"",SUMPRODUCT(($Y$17:$Y$36=(設定!$N$8&amp;""))*($F$17:$F$36=設定!$G$10)))</f>
        <v/>
      </c>
      <c r="G7" s="114" t="str">
        <f aca="false">IF(OR(D7="",SUM(D7:F7)=0),"",IF(D7/SUM(D7:F7)&gt;=設定!$I$17,設定!$G$8,IF(F7/SUM(D7:F7)&gt;=設定!$I$18,設定!$G$10,設定!$G$9)))</f>
        <v/>
      </c>
      <c r="H7" s="35" t="s">
        <v>151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customFormat="false" ht="18.75" hidden="false" customHeight="true" outlineLevel="0" collapsed="false">
      <c r="A8" s="13"/>
      <c r="B8" s="111"/>
      <c r="C8" s="112" t="str">
        <f aca="false">IF(設定!$N$8="","",設定!$I$10)</f>
        <v>態</v>
      </c>
      <c r="D8" s="113" t="str">
        <f aca="false">IF(OR(設定!$N$8="",$Z$1=""),"",SUMPRODUCT(($Y$17:$Y$36=(設定!$N$8&amp;""))*($G$17:$G$36=設定!$G$8)))</f>
        <v/>
      </c>
      <c r="E8" s="113" t="str">
        <f aca="false">IF(OR(設定!$N$8="",$Z$1=""),"",SUMPRODUCT(($Y$17:$Y$36=(設定!$N$8&amp;""))*($G$17:$G$36=設定!$G$9)))</f>
        <v/>
      </c>
      <c r="F8" s="113" t="str">
        <f aca="false">IF(OR(設定!$N$8="",$Z$1=""),"",SUMPRODUCT(($Y$17:$Y$36=(設定!$N$8&amp;""))*($G$17:$G$36=設定!$G$10)))</f>
        <v/>
      </c>
      <c r="G8" s="114" t="str">
        <f aca="false">IF(OR(D8="",SUM(D8:F8)=0),"",IF(D8/SUM(D8:F8)&gt;=設定!$I$17,設定!$G$8,IF(F8/SUM(D8:F8)&gt;=設定!$I$18,設定!$G$10,設定!$G$9)))</f>
        <v/>
      </c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</row>
    <row r="9" customFormat="false" ht="18.75" hidden="false" customHeight="true" outlineLevel="0" collapsed="false">
      <c r="A9" s="13"/>
      <c r="B9" s="111" t="str">
        <f aca="false">IF(設定!$N$9="","",設定!$N$9&amp;IF(ISNUMBER(設定!$N$9),"学期",""))</f>
        <v>2学期</v>
      </c>
      <c r="C9" s="112" t="str">
        <f aca="false">IF(設定!$N$9="","",設定!$I$8)</f>
        <v>知</v>
      </c>
      <c r="D9" s="113" t="str">
        <f aca="false">IF(OR(設定!$N$9="",$Z$1=""),"",SUMPRODUCT(($Y$17:$Y$36=(設定!$N$9&amp;""))*($E$17:$E$36=設定!$G$8)))</f>
        <v/>
      </c>
      <c r="E9" s="113" t="str">
        <f aca="false">IF(OR(設定!$N$9="",$Z$1=""),"",SUMPRODUCT(($Y$17:$Y$36=(設定!$N$9&amp;""))*($E$17:$E$36=設定!$G$9)))</f>
        <v/>
      </c>
      <c r="F9" s="113" t="str">
        <f aca="false">IF(OR(設定!$N$9="",$Z$1=""),"",SUMPRODUCT(($Y$17:$Y$36=(設定!$N$9&amp;""))*($E$17:$E$36=設定!$G$10)))</f>
        <v/>
      </c>
      <c r="G9" s="114" t="str">
        <f aca="false">IF(OR(D9="",SUM(D9:F9)=0),"",IF(D9/SUM(D9:F9)&gt;=設定!$I$17,設定!$G$8,IF(F9/SUM(D9:F9)&gt;=設定!$I$18,設定!$G$10,設定!$G$9)))</f>
        <v/>
      </c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</row>
    <row r="10" customFormat="false" ht="18.75" hidden="false" customHeight="true" outlineLevel="0" collapsed="false">
      <c r="A10" s="13"/>
      <c r="B10" s="111"/>
      <c r="C10" s="112" t="str">
        <f aca="false">IF(設定!$N$9="","",設定!$I$9)</f>
        <v>思</v>
      </c>
      <c r="D10" s="113" t="str">
        <f aca="false">IF(OR(設定!$N$9="",$Z$1=""),"",SUMPRODUCT(($Y$17:$Y$36=(設定!$N$9&amp;""))*($F$17:$F$36=設定!$G$8)))</f>
        <v/>
      </c>
      <c r="E10" s="113" t="str">
        <f aca="false">IF(OR(設定!$N$9="",$Z$1=""),"",SUMPRODUCT(($Y$17:$Y$36=(設定!$N$9&amp;""))*($F$17:$F$36=設定!$G$9)))</f>
        <v/>
      </c>
      <c r="F10" s="113" t="str">
        <f aca="false">IF(OR(設定!$N$9="",$Z$1=""),"",SUMPRODUCT(($Y$17:$Y$36=(設定!$N$9&amp;""))*($F$17:$F$36=設定!$G$10)))</f>
        <v/>
      </c>
      <c r="G10" s="114" t="str">
        <f aca="false">IF(OR(D10="",SUM(D10:F10)=0),"",IF(D10/SUM(D10:F10)&gt;=設定!$I$17,設定!$G$8,IF(F10/SUM(D10:F10)&gt;=設定!$I$18,設定!$G$10,設定!$G$9)))</f>
        <v/>
      </c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</row>
    <row r="11" customFormat="false" ht="18.75" hidden="false" customHeight="true" outlineLevel="0" collapsed="false">
      <c r="A11" s="13"/>
      <c r="B11" s="111"/>
      <c r="C11" s="112" t="str">
        <f aca="false">IF(設定!$N$9="","",設定!$I$10)</f>
        <v>態</v>
      </c>
      <c r="D11" s="113" t="str">
        <f aca="false">IF(OR(設定!$N$9="",$Z$1=""),"",SUMPRODUCT(($Y$17:$Y$36=(設定!$N$9&amp;""))*($G$17:$G$36=設定!$G$8)))</f>
        <v/>
      </c>
      <c r="E11" s="113" t="str">
        <f aca="false">IF(OR(設定!$N$9="",$Z$1=""),"",SUMPRODUCT(($Y$17:$Y$36=(設定!$N$9&amp;""))*($G$17:$G$36=設定!$G$9)))</f>
        <v/>
      </c>
      <c r="F11" s="113" t="str">
        <f aca="false">IF(OR(設定!$N$9="",$Z$1=""),"",SUMPRODUCT(($Y$17:$Y$36=(設定!$N$9&amp;""))*($G$17:$G$36=設定!$G$10)))</f>
        <v/>
      </c>
      <c r="G11" s="114" t="str">
        <f aca="false">IF(OR(D11="",SUM(D11:F11)=0),"",IF(D11/SUM(D11:F11)&gt;=設定!$I$17,設定!$G$8,IF(F11/SUM(D11:F11)&gt;=設定!$I$18,設定!$G$10,設定!$G$9)))</f>
        <v/>
      </c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 customFormat="false" ht="18.75" hidden="false" customHeight="true" outlineLevel="0" collapsed="false">
      <c r="A12" s="13"/>
      <c r="B12" s="111" t="str">
        <f aca="false">IF(設定!$N$10="","",設定!$N$10&amp;IF(ISNUMBER(設定!$N$10),"学期",""))</f>
        <v>3学期</v>
      </c>
      <c r="C12" s="112" t="str">
        <f aca="false">IF(設定!$N$10="","",設定!$I$8)</f>
        <v>知</v>
      </c>
      <c r="D12" s="113" t="str">
        <f aca="false">IF(OR(設定!$N$10="",$Z$1=""),"",SUMPRODUCT(($Y$17:$Y$36=(設定!$N$10&amp;""))*($E$17:$E$36=設定!$G$8)))</f>
        <v/>
      </c>
      <c r="E12" s="113" t="str">
        <f aca="false">IF(OR(設定!$N$10="",$Z$1=""),"",SUMPRODUCT(($Y$17:$Y$36=(設定!$N$10&amp;""))*($E$17:$E$36=設定!$G$9)))</f>
        <v/>
      </c>
      <c r="F12" s="113" t="str">
        <f aca="false">IF(OR(設定!$N$10="",$Z$1=""),"",SUMPRODUCT(($Y$17:$Y$36=(設定!$N$10&amp;""))*($E$17:$E$36=設定!$G$10)))</f>
        <v/>
      </c>
      <c r="G12" s="114" t="str">
        <f aca="false">IF(OR(D12="",SUM(D12:F12)=0),"",IF(D12/SUM(D12:F12)&gt;=設定!$I$17,設定!$G$8,IF(F12/SUM(D12:F12)&gt;=設定!$I$18,設定!$G$10,設定!$G$9)))</f>
        <v/>
      </c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</row>
    <row r="13" customFormat="false" ht="18.75" hidden="false" customHeight="true" outlineLevel="0" collapsed="false">
      <c r="A13" s="13"/>
      <c r="B13" s="111"/>
      <c r="C13" s="112" t="str">
        <f aca="false">IF(設定!$N$10="","",設定!$I$9)</f>
        <v>思</v>
      </c>
      <c r="D13" s="113" t="str">
        <f aca="false">IF(OR(設定!$N$10="",$Z$1=""),"",SUMPRODUCT(($Y$17:$Y$36=(設定!$N$10&amp;""))*($F$17:$F$36=設定!$G$8)))</f>
        <v/>
      </c>
      <c r="E13" s="113" t="str">
        <f aca="false">IF(OR(設定!$N$10="",$Z$1=""),"",SUMPRODUCT(($Y$17:$Y$36=(設定!$N$10&amp;""))*($F$17:$F$36=設定!$G$9)))</f>
        <v/>
      </c>
      <c r="F13" s="113" t="str">
        <f aca="false">IF(OR(設定!$N$10="",$Z$1=""),"",SUMPRODUCT(($Y$17:$Y$36=(設定!$N$10&amp;""))*($F$17:$F$36=設定!$G$10)))</f>
        <v/>
      </c>
      <c r="G13" s="114" t="str">
        <f aca="false">IF(OR(D13="",SUM(D13:F13)=0),"",IF(D13/SUM(D13:F13)&gt;=設定!$I$17,設定!$G$8,IF(F13/SUM(D13:F13)&gt;=設定!$I$18,設定!$G$10,設定!$G$9)))</f>
        <v/>
      </c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</row>
    <row r="14" customFormat="false" ht="18.75" hidden="false" customHeight="true" outlineLevel="0" collapsed="false">
      <c r="A14" s="13"/>
      <c r="B14" s="111"/>
      <c r="C14" s="112" t="str">
        <f aca="false">IF(設定!$N$10="","",設定!$I$10)</f>
        <v>態</v>
      </c>
      <c r="D14" s="113" t="str">
        <f aca="false">IF(OR(設定!$N$10="",$Z$1=""),"",SUMPRODUCT(($Y$17:$Y$36=(設定!$N$10&amp;""))*($G$17:$G$36=設定!$G$8)))</f>
        <v/>
      </c>
      <c r="E14" s="113" t="str">
        <f aca="false">IF(OR(設定!$N$10="",$Z$1=""),"",SUMPRODUCT(($Y$17:$Y$36=(設定!$N$10&amp;""))*($G$17:$G$36=設定!$G$9)))</f>
        <v/>
      </c>
      <c r="F14" s="113" t="str">
        <f aca="false">IF(OR(設定!$N$10="",$Z$1=""),"",SUMPRODUCT(($Y$17:$Y$36=(設定!$N$10&amp;""))*($G$17:$G$36=設定!$G$10)))</f>
        <v/>
      </c>
      <c r="G14" s="114" t="str">
        <f aca="false">IF(OR(D14="",SUM(D14:F14)=0),"",IF(D14/SUM(D14:F14)&gt;=設定!$I$17,設定!$G$8,IF(F14/SUM(D14:F14)&gt;=設定!$I$18,設定!$G$10,設定!$G$9)))</f>
        <v/>
      </c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</row>
    <row r="15" customFormat="false" ht="15" hidden="false" customHeight="false" outlineLevel="0" collapsed="false">
      <c r="A15" s="109" t="s">
        <v>152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</row>
    <row r="16" customFormat="false" ht="21.75" hidden="false" customHeight="true" outlineLevel="0" collapsed="false">
      <c r="A16" s="28" t="s">
        <v>98</v>
      </c>
      <c r="B16" s="16" t="s">
        <v>99</v>
      </c>
      <c r="C16" s="16" t="s">
        <v>72</v>
      </c>
      <c r="D16" s="16" t="s">
        <v>153</v>
      </c>
      <c r="E16" s="16" t="str">
        <f aca="false">設定!$I$8</f>
        <v>知</v>
      </c>
      <c r="F16" s="16" t="str">
        <f aca="false">設定!$I$9</f>
        <v>思</v>
      </c>
      <c r="G16" s="16" t="str">
        <f aca="false">設定!$I$10</f>
        <v>態</v>
      </c>
      <c r="H16" s="16" t="s">
        <v>107</v>
      </c>
      <c r="I16" s="16" t="s">
        <v>154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customFormat="false" ht="30" hidden="false" customHeight="true" outlineLevel="0" collapsed="false">
      <c r="A17" s="58" t="str">
        <f aca="false">IF(設定!$D$17="","",1)</f>
        <v/>
      </c>
      <c r="B17" s="59" t="str">
        <f aca="false">IF(設定!$D$17="","",設定!$D$17)</f>
        <v/>
      </c>
      <c r="C17" s="60" t="str">
        <f aca="false">IF(OR(設定!$D$17="",設定!$C$17=""),"",設定!$C$17&amp;IF(ISNUMBER(設定!$C$17),"学期",""))</f>
        <v/>
      </c>
      <c r="D17" s="61" t="str">
        <f aca="false">IF(AND($Z$1&lt;&gt;"",設定!$D$17&lt;&gt;""),INDEX(単元01!$E$5:$E$164,$Z$1)&amp;"","")</f>
        <v/>
      </c>
      <c r="E17" s="114" t="str">
        <f aca="false">IF(AND($Z$1&lt;&gt;"",設定!$D$17&lt;&gt;""),INDEX(単元01!$F$5:$F$164,$Z$1)&amp;"","")</f>
        <v/>
      </c>
      <c r="F17" s="114" t="str">
        <f aca="false">IF(AND($Z$1&lt;&gt;"",設定!$D$17&lt;&gt;""),INDEX(単元01!$G$5:$G$164,$Z$1)&amp;"","")</f>
        <v/>
      </c>
      <c r="G17" s="114" t="str">
        <f aca="false">IF(AND($Z$1&lt;&gt;"",設定!$D$17&lt;&gt;""),INDEX(単元01!$H$5:$H$164,$Z$1)&amp;"","")</f>
        <v/>
      </c>
      <c r="H17" s="115" t="str">
        <f aca="false">IF(AND($Z$1&lt;&gt;"",設定!$D$17&lt;&gt;""),INDEX(単元01!$I$5:$I$164,$Z$1)&amp;"","")</f>
        <v/>
      </c>
      <c r="I17" s="60" t="str">
        <f aca="false">IF(NOT(AND($Z$1&lt;&gt;"",設定!$D$17&lt;&gt;"")),"",IF(AND(INDEX(単元01!$R$5:$R$164,$Z$1)="",INDEX(単元01!$S$5:$S$164,$Z$1)=""),"",設定!$I$8&amp;IF(INDEX(単元01!$R$5:$R$164,$Z$1)="","－",INDEX(単元01!$R$5:$R$164,$Z$1)&amp;"/"&amp;単元01!$R$2)&amp;"　"&amp;設定!$I$9&amp;IF(INDEX(単元01!$S$5:$S$164,$Z$1)="","－",INDEX(単元01!$S$5:$S$164,$Z$1)&amp;"/"&amp;単元01!$S$2)))</f>
        <v/>
      </c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68" t="str">
        <f aca="false">IF(設定!$D$17="","",設定!$C$17&amp;"")</f>
        <v/>
      </c>
      <c r="Z17" s="13"/>
    </row>
    <row r="18" customFormat="false" ht="30" hidden="false" customHeight="true" outlineLevel="0" collapsed="false">
      <c r="A18" s="58" t="str">
        <f aca="false">IF(設定!$D$18="","",2)</f>
        <v/>
      </c>
      <c r="B18" s="59" t="str">
        <f aca="false">IF(設定!$D$18="","",設定!$D$18)</f>
        <v/>
      </c>
      <c r="C18" s="60" t="str">
        <f aca="false">IF(OR(設定!$D$18="",設定!$C$18=""),"",設定!$C$18&amp;IF(ISNUMBER(設定!$C$18),"学期",""))</f>
        <v/>
      </c>
      <c r="D18" s="61" t="str">
        <f aca="false">IF(AND($Z$1&lt;&gt;"",設定!$D$18&lt;&gt;""),INDEX(単元02!$E$5:$E$164,$Z$1)&amp;"","")</f>
        <v/>
      </c>
      <c r="E18" s="114" t="str">
        <f aca="false">IF(AND($Z$1&lt;&gt;"",設定!$D$18&lt;&gt;""),INDEX(単元02!$F$5:$F$164,$Z$1)&amp;"","")</f>
        <v/>
      </c>
      <c r="F18" s="114" t="str">
        <f aca="false">IF(AND($Z$1&lt;&gt;"",設定!$D$18&lt;&gt;""),INDEX(単元02!$G$5:$G$164,$Z$1)&amp;"","")</f>
        <v/>
      </c>
      <c r="G18" s="114" t="str">
        <f aca="false">IF(AND($Z$1&lt;&gt;"",設定!$D$18&lt;&gt;""),INDEX(単元02!$H$5:$H$164,$Z$1)&amp;"","")</f>
        <v/>
      </c>
      <c r="H18" s="115" t="str">
        <f aca="false">IF(AND($Z$1&lt;&gt;"",設定!$D$18&lt;&gt;""),INDEX(単元02!$I$5:$I$164,$Z$1)&amp;"","")</f>
        <v/>
      </c>
      <c r="I18" s="60" t="str">
        <f aca="false">IF(NOT(AND($Z$1&lt;&gt;"",設定!$D$18&lt;&gt;"")),"",IF(AND(INDEX(単元02!$R$5:$R$164,$Z$1)="",INDEX(単元02!$S$5:$S$164,$Z$1)=""),"",設定!$I$8&amp;IF(INDEX(単元02!$R$5:$R$164,$Z$1)="","－",INDEX(単元02!$R$5:$R$164,$Z$1)&amp;"/"&amp;単元02!$R$2)&amp;"　"&amp;設定!$I$9&amp;IF(INDEX(単元02!$S$5:$S$164,$Z$1)="","－",INDEX(単元02!$S$5:$S$164,$Z$1)&amp;"/"&amp;単元02!$S$2)))</f>
        <v/>
      </c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68" t="str">
        <f aca="false">IF(設定!$D$18="","",設定!$C$18&amp;"")</f>
        <v/>
      </c>
      <c r="Z18" s="13"/>
    </row>
    <row r="19" customFormat="false" ht="30" hidden="false" customHeight="true" outlineLevel="0" collapsed="false">
      <c r="A19" s="58" t="str">
        <f aca="false">IF(設定!$D$19="","",3)</f>
        <v/>
      </c>
      <c r="B19" s="59" t="str">
        <f aca="false">IF(設定!$D$19="","",設定!$D$19)</f>
        <v/>
      </c>
      <c r="C19" s="60" t="str">
        <f aca="false">IF(OR(設定!$D$19="",設定!$C$19=""),"",設定!$C$19&amp;IF(ISNUMBER(設定!$C$19),"学期",""))</f>
        <v/>
      </c>
      <c r="D19" s="61" t="str">
        <f aca="false">IF(AND($Z$1&lt;&gt;"",設定!$D$19&lt;&gt;""),INDEX(単元03!$E$5:$E$164,$Z$1)&amp;"","")</f>
        <v/>
      </c>
      <c r="E19" s="114" t="str">
        <f aca="false">IF(AND($Z$1&lt;&gt;"",設定!$D$19&lt;&gt;""),INDEX(単元03!$F$5:$F$164,$Z$1)&amp;"","")</f>
        <v/>
      </c>
      <c r="F19" s="114" t="str">
        <f aca="false">IF(AND($Z$1&lt;&gt;"",設定!$D$19&lt;&gt;""),INDEX(単元03!$G$5:$G$164,$Z$1)&amp;"","")</f>
        <v/>
      </c>
      <c r="G19" s="114" t="str">
        <f aca="false">IF(AND($Z$1&lt;&gt;"",設定!$D$19&lt;&gt;""),INDEX(単元03!$H$5:$H$164,$Z$1)&amp;"","")</f>
        <v/>
      </c>
      <c r="H19" s="115" t="str">
        <f aca="false">IF(AND($Z$1&lt;&gt;"",設定!$D$19&lt;&gt;""),INDEX(単元03!$I$5:$I$164,$Z$1)&amp;"","")</f>
        <v/>
      </c>
      <c r="I19" s="60" t="str">
        <f aca="false">IF(NOT(AND($Z$1&lt;&gt;"",設定!$D$19&lt;&gt;"")),"",IF(AND(INDEX(単元03!$R$5:$R$164,$Z$1)="",INDEX(単元03!$S$5:$S$164,$Z$1)=""),"",設定!$I$8&amp;IF(INDEX(単元03!$R$5:$R$164,$Z$1)="","－",INDEX(単元03!$R$5:$R$164,$Z$1)&amp;"/"&amp;単元03!$R$2)&amp;"　"&amp;設定!$I$9&amp;IF(INDEX(単元03!$S$5:$S$164,$Z$1)="","－",INDEX(単元03!$S$5:$S$164,$Z$1)&amp;"/"&amp;単元03!$S$2)))</f>
        <v/>
      </c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68" t="str">
        <f aca="false">IF(設定!$D$19="","",設定!$C$19&amp;"")</f>
        <v/>
      </c>
      <c r="Z19" s="13"/>
    </row>
    <row r="20" customFormat="false" ht="30" hidden="false" customHeight="true" outlineLevel="0" collapsed="false">
      <c r="A20" s="58" t="str">
        <f aca="false">IF(設定!$D$20="","",4)</f>
        <v/>
      </c>
      <c r="B20" s="59" t="str">
        <f aca="false">IF(設定!$D$20="","",設定!$D$20)</f>
        <v/>
      </c>
      <c r="C20" s="60" t="str">
        <f aca="false">IF(OR(設定!$D$20="",設定!$C$20=""),"",設定!$C$20&amp;IF(ISNUMBER(設定!$C$20),"学期",""))</f>
        <v/>
      </c>
      <c r="D20" s="61" t="str">
        <f aca="false">IF(AND($Z$1&lt;&gt;"",設定!$D$20&lt;&gt;""),INDEX(単元04!$E$5:$E$164,$Z$1)&amp;"","")</f>
        <v/>
      </c>
      <c r="E20" s="114" t="str">
        <f aca="false">IF(AND($Z$1&lt;&gt;"",設定!$D$20&lt;&gt;""),INDEX(単元04!$F$5:$F$164,$Z$1)&amp;"","")</f>
        <v/>
      </c>
      <c r="F20" s="114" t="str">
        <f aca="false">IF(AND($Z$1&lt;&gt;"",設定!$D$20&lt;&gt;""),INDEX(単元04!$G$5:$G$164,$Z$1)&amp;"","")</f>
        <v/>
      </c>
      <c r="G20" s="114" t="str">
        <f aca="false">IF(AND($Z$1&lt;&gt;"",設定!$D$20&lt;&gt;""),INDEX(単元04!$H$5:$H$164,$Z$1)&amp;"","")</f>
        <v/>
      </c>
      <c r="H20" s="115" t="str">
        <f aca="false">IF(AND($Z$1&lt;&gt;"",設定!$D$20&lt;&gt;""),INDEX(単元04!$I$5:$I$164,$Z$1)&amp;"","")</f>
        <v/>
      </c>
      <c r="I20" s="60" t="str">
        <f aca="false">IF(NOT(AND($Z$1&lt;&gt;"",設定!$D$20&lt;&gt;"")),"",IF(AND(INDEX(単元04!$R$5:$R$164,$Z$1)="",INDEX(単元04!$S$5:$S$164,$Z$1)=""),"",設定!$I$8&amp;IF(INDEX(単元04!$R$5:$R$164,$Z$1)="","－",INDEX(単元04!$R$5:$R$164,$Z$1)&amp;"/"&amp;単元04!$R$2)&amp;"　"&amp;設定!$I$9&amp;IF(INDEX(単元04!$S$5:$S$164,$Z$1)="","－",INDEX(単元04!$S$5:$S$164,$Z$1)&amp;"/"&amp;単元04!$S$2)))</f>
        <v/>
      </c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68" t="str">
        <f aca="false">IF(設定!$D$20="","",設定!$C$20&amp;"")</f>
        <v/>
      </c>
      <c r="Z20" s="13"/>
    </row>
    <row r="21" customFormat="false" ht="30" hidden="false" customHeight="true" outlineLevel="0" collapsed="false">
      <c r="A21" s="58" t="str">
        <f aca="false">IF(設定!$D$21="","",5)</f>
        <v/>
      </c>
      <c r="B21" s="59" t="str">
        <f aca="false">IF(設定!$D$21="","",設定!$D$21)</f>
        <v/>
      </c>
      <c r="C21" s="60" t="str">
        <f aca="false">IF(OR(設定!$D$21="",設定!$C$21=""),"",設定!$C$21&amp;IF(ISNUMBER(設定!$C$21),"学期",""))</f>
        <v/>
      </c>
      <c r="D21" s="61" t="str">
        <f aca="false">IF(AND($Z$1&lt;&gt;"",設定!$D$21&lt;&gt;""),INDEX(単元05!$E$5:$E$164,$Z$1)&amp;"","")</f>
        <v/>
      </c>
      <c r="E21" s="114" t="str">
        <f aca="false">IF(AND($Z$1&lt;&gt;"",設定!$D$21&lt;&gt;""),INDEX(単元05!$F$5:$F$164,$Z$1)&amp;"","")</f>
        <v/>
      </c>
      <c r="F21" s="114" t="str">
        <f aca="false">IF(AND($Z$1&lt;&gt;"",設定!$D$21&lt;&gt;""),INDEX(単元05!$G$5:$G$164,$Z$1)&amp;"","")</f>
        <v/>
      </c>
      <c r="G21" s="114" t="str">
        <f aca="false">IF(AND($Z$1&lt;&gt;"",設定!$D$21&lt;&gt;""),INDEX(単元05!$H$5:$H$164,$Z$1)&amp;"","")</f>
        <v/>
      </c>
      <c r="H21" s="115" t="str">
        <f aca="false">IF(AND($Z$1&lt;&gt;"",設定!$D$21&lt;&gt;""),INDEX(単元05!$I$5:$I$164,$Z$1)&amp;"","")</f>
        <v/>
      </c>
      <c r="I21" s="60" t="str">
        <f aca="false">IF(NOT(AND($Z$1&lt;&gt;"",設定!$D$21&lt;&gt;"")),"",IF(AND(INDEX(単元05!$R$5:$R$164,$Z$1)="",INDEX(単元05!$S$5:$S$164,$Z$1)=""),"",設定!$I$8&amp;IF(INDEX(単元05!$R$5:$R$164,$Z$1)="","－",INDEX(単元05!$R$5:$R$164,$Z$1)&amp;"/"&amp;単元05!$R$2)&amp;"　"&amp;設定!$I$9&amp;IF(INDEX(単元05!$S$5:$S$164,$Z$1)="","－",INDEX(単元05!$S$5:$S$164,$Z$1)&amp;"/"&amp;単元05!$S$2)))</f>
        <v/>
      </c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68" t="str">
        <f aca="false">IF(設定!$D$21="","",設定!$C$21&amp;"")</f>
        <v/>
      </c>
      <c r="Z21" s="13"/>
    </row>
    <row r="22" customFormat="false" ht="30" hidden="false" customHeight="true" outlineLevel="0" collapsed="false">
      <c r="A22" s="58" t="str">
        <f aca="false">IF(設定!$D$22="","",6)</f>
        <v/>
      </c>
      <c r="B22" s="59" t="str">
        <f aca="false">IF(設定!$D$22="","",設定!$D$22)</f>
        <v/>
      </c>
      <c r="C22" s="60" t="str">
        <f aca="false">IF(OR(設定!$D$22="",設定!$C$22=""),"",設定!$C$22&amp;IF(ISNUMBER(設定!$C$22),"学期",""))</f>
        <v/>
      </c>
      <c r="D22" s="61" t="str">
        <f aca="false">IF(AND($Z$1&lt;&gt;"",設定!$D$22&lt;&gt;""),INDEX(単元06!$E$5:$E$164,$Z$1)&amp;"","")</f>
        <v/>
      </c>
      <c r="E22" s="114" t="str">
        <f aca="false">IF(AND($Z$1&lt;&gt;"",設定!$D$22&lt;&gt;""),INDEX(単元06!$F$5:$F$164,$Z$1)&amp;"","")</f>
        <v/>
      </c>
      <c r="F22" s="114" t="str">
        <f aca="false">IF(AND($Z$1&lt;&gt;"",設定!$D$22&lt;&gt;""),INDEX(単元06!$G$5:$G$164,$Z$1)&amp;"","")</f>
        <v/>
      </c>
      <c r="G22" s="114" t="str">
        <f aca="false">IF(AND($Z$1&lt;&gt;"",設定!$D$22&lt;&gt;""),INDEX(単元06!$H$5:$H$164,$Z$1)&amp;"","")</f>
        <v/>
      </c>
      <c r="H22" s="115" t="str">
        <f aca="false">IF(AND($Z$1&lt;&gt;"",設定!$D$22&lt;&gt;""),INDEX(単元06!$I$5:$I$164,$Z$1)&amp;"","")</f>
        <v/>
      </c>
      <c r="I22" s="60" t="str">
        <f aca="false">IF(NOT(AND($Z$1&lt;&gt;"",設定!$D$22&lt;&gt;"")),"",IF(AND(INDEX(単元06!$R$5:$R$164,$Z$1)="",INDEX(単元06!$S$5:$S$164,$Z$1)=""),"",設定!$I$8&amp;IF(INDEX(単元06!$R$5:$R$164,$Z$1)="","－",INDEX(単元06!$R$5:$R$164,$Z$1)&amp;"/"&amp;単元06!$R$2)&amp;"　"&amp;設定!$I$9&amp;IF(INDEX(単元06!$S$5:$S$164,$Z$1)="","－",INDEX(単元06!$S$5:$S$164,$Z$1)&amp;"/"&amp;単元06!$S$2)))</f>
        <v/>
      </c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68" t="str">
        <f aca="false">IF(設定!$D$22="","",設定!$C$22&amp;"")</f>
        <v/>
      </c>
      <c r="Z22" s="13"/>
    </row>
    <row r="23" customFormat="false" ht="30" hidden="false" customHeight="true" outlineLevel="0" collapsed="false">
      <c r="A23" s="58" t="str">
        <f aca="false">IF(設定!$D$23="","",7)</f>
        <v/>
      </c>
      <c r="B23" s="59" t="str">
        <f aca="false">IF(設定!$D$23="","",設定!$D$23)</f>
        <v/>
      </c>
      <c r="C23" s="60" t="str">
        <f aca="false">IF(OR(設定!$D$23="",設定!$C$23=""),"",設定!$C$23&amp;IF(ISNUMBER(設定!$C$23),"学期",""))</f>
        <v/>
      </c>
      <c r="D23" s="61" t="str">
        <f aca="false">IF(AND($Z$1&lt;&gt;"",設定!$D$23&lt;&gt;""),INDEX(単元07!$E$5:$E$164,$Z$1)&amp;"","")</f>
        <v/>
      </c>
      <c r="E23" s="114" t="str">
        <f aca="false">IF(AND($Z$1&lt;&gt;"",設定!$D$23&lt;&gt;""),INDEX(単元07!$F$5:$F$164,$Z$1)&amp;"","")</f>
        <v/>
      </c>
      <c r="F23" s="114" t="str">
        <f aca="false">IF(AND($Z$1&lt;&gt;"",設定!$D$23&lt;&gt;""),INDEX(単元07!$G$5:$G$164,$Z$1)&amp;"","")</f>
        <v/>
      </c>
      <c r="G23" s="114" t="str">
        <f aca="false">IF(AND($Z$1&lt;&gt;"",設定!$D$23&lt;&gt;""),INDEX(単元07!$H$5:$H$164,$Z$1)&amp;"","")</f>
        <v/>
      </c>
      <c r="H23" s="115" t="str">
        <f aca="false">IF(AND($Z$1&lt;&gt;"",設定!$D$23&lt;&gt;""),INDEX(単元07!$I$5:$I$164,$Z$1)&amp;"","")</f>
        <v/>
      </c>
      <c r="I23" s="60" t="str">
        <f aca="false">IF(NOT(AND($Z$1&lt;&gt;"",設定!$D$23&lt;&gt;"")),"",IF(AND(INDEX(単元07!$R$5:$R$164,$Z$1)="",INDEX(単元07!$S$5:$S$164,$Z$1)=""),"",設定!$I$8&amp;IF(INDEX(単元07!$R$5:$R$164,$Z$1)="","－",INDEX(単元07!$R$5:$R$164,$Z$1)&amp;"/"&amp;単元07!$R$2)&amp;"　"&amp;設定!$I$9&amp;IF(INDEX(単元07!$S$5:$S$164,$Z$1)="","－",INDEX(単元07!$S$5:$S$164,$Z$1)&amp;"/"&amp;単元07!$S$2)))</f>
        <v/>
      </c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68" t="str">
        <f aca="false">IF(設定!$D$23="","",設定!$C$23&amp;"")</f>
        <v/>
      </c>
      <c r="Z23" s="13"/>
    </row>
    <row r="24" customFormat="false" ht="30" hidden="false" customHeight="true" outlineLevel="0" collapsed="false">
      <c r="A24" s="58" t="str">
        <f aca="false">IF(設定!$D$24="","",8)</f>
        <v/>
      </c>
      <c r="B24" s="59" t="str">
        <f aca="false">IF(設定!$D$24="","",設定!$D$24)</f>
        <v/>
      </c>
      <c r="C24" s="60" t="str">
        <f aca="false">IF(OR(設定!$D$24="",設定!$C$24=""),"",設定!$C$24&amp;IF(ISNUMBER(設定!$C$24),"学期",""))</f>
        <v/>
      </c>
      <c r="D24" s="61" t="str">
        <f aca="false">IF(AND($Z$1&lt;&gt;"",設定!$D$24&lt;&gt;""),INDEX(単元08!$E$5:$E$164,$Z$1)&amp;"","")</f>
        <v/>
      </c>
      <c r="E24" s="114" t="str">
        <f aca="false">IF(AND($Z$1&lt;&gt;"",設定!$D$24&lt;&gt;""),INDEX(単元08!$F$5:$F$164,$Z$1)&amp;"","")</f>
        <v/>
      </c>
      <c r="F24" s="114" t="str">
        <f aca="false">IF(AND($Z$1&lt;&gt;"",設定!$D$24&lt;&gt;""),INDEX(単元08!$G$5:$G$164,$Z$1)&amp;"","")</f>
        <v/>
      </c>
      <c r="G24" s="114" t="str">
        <f aca="false">IF(AND($Z$1&lt;&gt;"",設定!$D$24&lt;&gt;""),INDEX(単元08!$H$5:$H$164,$Z$1)&amp;"","")</f>
        <v/>
      </c>
      <c r="H24" s="115" t="str">
        <f aca="false">IF(AND($Z$1&lt;&gt;"",設定!$D$24&lt;&gt;""),INDEX(単元08!$I$5:$I$164,$Z$1)&amp;"","")</f>
        <v/>
      </c>
      <c r="I24" s="60" t="str">
        <f aca="false">IF(NOT(AND($Z$1&lt;&gt;"",設定!$D$24&lt;&gt;"")),"",IF(AND(INDEX(単元08!$R$5:$R$164,$Z$1)="",INDEX(単元08!$S$5:$S$164,$Z$1)=""),"",設定!$I$8&amp;IF(INDEX(単元08!$R$5:$R$164,$Z$1)="","－",INDEX(単元08!$R$5:$R$164,$Z$1)&amp;"/"&amp;単元08!$R$2)&amp;"　"&amp;設定!$I$9&amp;IF(INDEX(単元08!$S$5:$S$164,$Z$1)="","－",INDEX(単元08!$S$5:$S$164,$Z$1)&amp;"/"&amp;単元08!$S$2)))</f>
        <v/>
      </c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68" t="str">
        <f aca="false">IF(設定!$D$24="","",設定!$C$24&amp;"")</f>
        <v/>
      </c>
      <c r="Z24" s="13"/>
    </row>
    <row r="25" customFormat="false" ht="30" hidden="false" customHeight="true" outlineLevel="0" collapsed="false">
      <c r="A25" s="58" t="str">
        <f aca="false">IF(設定!$D$25="","",9)</f>
        <v/>
      </c>
      <c r="B25" s="59" t="str">
        <f aca="false">IF(設定!$D$25="","",設定!$D$25)</f>
        <v/>
      </c>
      <c r="C25" s="60" t="str">
        <f aca="false">IF(OR(設定!$D$25="",設定!$C$25=""),"",設定!$C$25&amp;IF(ISNUMBER(設定!$C$25),"学期",""))</f>
        <v/>
      </c>
      <c r="D25" s="61" t="str">
        <f aca="false">IF(AND($Z$1&lt;&gt;"",設定!$D$25&lt;&gt;""),INDEX(単元09!$E$5:$E$164,$Z$1)&amp;"","")</f>
        <v/>
      </c>
      <c r="E25" s="114" t="str">
        <f aca="false">IF(AND($Z$1&lt;&gt;"",設定!$D$25&lt;&gt;""),INDEX(単元09!$F$5:$F$164,$Z$1)&amp;"","")</f>
        <v/>
      </c>
      <c r="F25" s="114" t="str">
        <f aca="false">IF(AND($Z$1&lt;&gt;"",設定!$D$25&lt;&gt;""),INDEX(単元09!$G$5:$G$164,$Z$1)&amp;"","")</f>
        <v/>
      </c>
      <c r="G25" s="114" t="str">
        <f aca="false">IF(AND($Z$1&lt;&gt;"",設定!$D$25&lt;&gt;""),INDEX(単元09!$H$5:$H$164,$Z$1)&amp;"","")</f>
        <v/>
      </c>
      <c r="H25" s="115" t="str">
        <f aca="false">IF(AND($Z$1&lt;&gt;"",設定!$D$25&lt;&gt;""),INDEX(単元09!$I$5:$I$164,$Z$1)&amp;"","")</f>
        <v/>
      </c>
      <c r="I25" s="60" t="str">
        <f aca="false">IF(NOT(AND($Z$1&lt;&gt;"",設定!$D$25&lt;&gt;"")),"",IF(AND(INDEX(単元09!$R$5:$R$164,$Z$1)="",INDEX(単元09!$S$5:$S$164,$Z$1)=""),"",設定!$I$8&amp;IF(INDEX(単元09!$R$5:$R$164,$Z$1)="","－",INDEX(単元09!$R$5:$R$164,$Z$1)&amp;"/"&amp;単元09!$R$2)&amp;"　"&amp;設定!$I$9&amp;IF(INDEX(単元09!$S$5:$S$164,$Z$1)="","－",INDEX(単元09!$S$5:$S$164,$Z$1)&amp;"/"&amp;単元09!$S$2)))</f>
        <v/>
      </c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68" t="str">
        <f aca="false">IF(設定!$D$25="","",設定!$C$25&amp;"")</f>
        <v/>
      </c>
      <c r="Z25" s="13"/>
    </row>
    <row r="26" customFormat="false" ht="30" hidden="false" customHeight="true" outlineLevel="0" collapsed="false">
      <c r="A26" s="58" t="str">
        <f aca="false">IF(設定!$D$26="","",10)</f>
        <v/>
      </c>
      <c r="B26" s="59" t="str">
        <f aca="false">IF(設定!$D$26="","",設定!$D$26)</f>
        <v/>
      </c>
      <c r="C26" s="60" t="str">
        <f aca="false">IF(OR(設定!$D$26="",設定!$C$26=""),"",設定!$C$26&amp;IF(ISNUMBER(設定!$C$26),"学期",""))</f>
        <v/>
      </c>
      <c r="D26" s="61" t="str">
        <f aca="false">IF(AND($Z$1&lt;&gt;"",設定!$D$26&lt;&gt;""),INDEX(単元10!$E$5:$E$164,$Z$1)&amp;"","")</f>
        <v/>
      </c>
      <c r="E26" s="114" t="str">
        <f aca="false">IF(AND($Z$1&lt;&gt;"",設定!$D$26&lt;&gt;""),INDEX(単元10!$F$5:$F$164,$Z$1)&amp;"","")</f>
        <v/>
      </c>
      <c r="F26" s="114" t="str">
        <f aca="false">IF(AND($Z$1&lt;&gt;"",設定!$D$26&lt;&gt;""),INDEX(単元10!$G$5:$G$164,$Z$1)&amp;"","")</f>
        <v/>
      </c>
      <c r="G26" s="114" t="str">
        <f aca="false">IF(AND($Z$1&lt;&gt;"",設定!$D$26&lt;&gt;""),INDEX(単元10!$H$5:$H$164,$Z$1)&amp;"","")</f>
        <v/>
      </c>
      <c r="H26" s="115" t="str">
        <f aca="false">IF(AND($Z$1&lt;&gt;"",設定!$D$26&lt;&gt;""),INDEX(単元10!$I$5:$I$164,$Z$1)&amp;"","")</f>
        <v/>
      </c>
      <c r="I26" s="60" t="str">
        <f aca="false">IF(NOT(AND($Z$1&lt;&gt;"",設定!$D$26&lt;&gt;"")),"",IF(AND(INDEX(単元10!$R$5:$R$164,$Z$1)="",INDEX(単元10!$S$5:$S$164,$Z$1)=""),"",設定!$I$8&amp;IF(INDEX(単元10!$R$5:$R$164,$Z$1)="","－",INDEX(単元10!$R$5:$R$164,$Z$1)&amp;"/"&amp;単元10!$R$2)&amp;"　"&amp;設定!$I$9&amp;IF(INDEX(単元10!$S$5:$S$164,$Z$1)="","－",INDEX(単元10!$S$5:$S$164,$Z$1)&amp;"/"&amp;単元10!$S$2)))</f>
        <v/>
      </c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68" t="str">
        <f aca="false">IF(設定!$D$26="","",設定!$C$26&amp;"")</f>
        <v/>
      </c>
      <c r="Z26" s="13"/>
    </row>
    <row r="27" customFormat="false" ht="30" hidden="false" customHeight="true" outlineLevel="0" collapsed="false">
      <c r="A27" s="58" t="str">
        <f aca="false">IF(設定!$D$27="","",11)</f>
        <v/>
      </c>
      <c r="B27" s="59" t="str">
        <f aca="false">IF(設定!$D$27="","",設定!$D$27)</f>
        <v/>
      </c>
      <c r="C27" s="60" t="str">
        <f aca="false">IF(OR(設定!$D$27="",設定!$C$27=""),"",設定!$C$27&amp;IF(ISNUMBER(設定!$C$27),"学期",""))</f>
        <v/>
      </c>
      <c r="D27" s="61" t="str">
        <f aca="false">IF(AND($Z$1&lt;&gt;"",設定!$D$27&lt;&gt;""),INDEX(単元11!$E$5:$E$164,$Z$1)&amp;"","")</f>
        <v/>
      </c>
      <c r="E27" s="114" t="str">
        <f aca="false">IF(AND($Z$1&lt;&gt;"",設定!$D$27&lt;&gt;""),INDEX(単元11!$F$5:$F$164,$Z$1)&amp;"","")</f>
        <v/>
      </c>
      <c r="F27" s="114" t="str">
        <f aca="false">IF(AND($Z$1&lt;&gt;"",設定!$D$27&lt;&gt;""),INDEX(単元11!$G$5:$G$164,$Z$1)&amp;"","")</f>
        <v/>
      </c>
      <c r="G27" s="114" t="str">
        <f aca="false">IF(AND($Z$1&lt;&gt;"",設定!$D$27&lt;&gt;""),INDEX(単元11!$H$5:$H$164,$Z$1)&amp;"","")</f>
        <v/>
      </c>
      <c r="H27" s="115" t="str">
        <f aca="false">IF(AND($Z$1&lt;&gt;"",設定!$D$27&lt;&gt;""),INDEX(単元11!$I$5:$I$164,$Z$1)&amp;"","")</f>
        <v/>
      </c>
      <c r="I27" s="60" t="str">
        <f aca="false">IF(NOT(AND($Z$1&lt;&gt;"",設定!$D$27&lt;&gt;"")),"",IF(AND(INDEX(単元11!$R$5:$R$164,$Z$1)="",INDEX(単元11!$S$5:$S$164,$Z$1)=""),"",設定!$I$8&amp;IF(INDEX(単元11!$R$5:$R$164,$Z$1)="","－",INDEX(単元11!$R$5:$R$164,$Z$1)&amp;"/"&amp;単元11!$R$2)&amp;"　"&amp;設定!$I$9&amp;IF(INDEX(単元11!$S$5:$S$164,$Z$1)="","－",INDEX(単元11!$S$5:$S$164,$Z$1)&amp;"/"&amp;単元11!$S$2)))</f>
        <v/>
      </c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68" t="str">
        <f aca="false">IF(設定!$D$27="","",設定!$C$27&amp;"")</f>
        <v/>
      </c>
      <c r="Z27" s="13"/>
    </row>
    <row r="28" customFormat="false" ht="30" hidden="false" customHeight="true" outlineLevel="0" collapsed="false">
      <c r="A28" s="58" t="str">
        <f aca="false">IF(設定!$D$28="","",12)</f>
        <v/>
      </c>
      <c r="B28" s="59" t="str">
        <f aca="false">IF(設定!$D$28="","",設定!$D$28)</f>
        <v/>
      </c>
      <c r="C28" s="60" t="str">
        <f aca="false">IF(OR(設定!$D$28="",設定!$C$28=""),"",設定!$C$28&amp;IF(ISNUMBER(設定!$C$28),"学期",""))</f>
        <v/>
      </c>
      <c r="D28" s="61" t="str">
        <f aca="false">IF(AND($Z$1&lt;&gt;"",設定!$D$28&lt;&gt;""),INDEX(単元12!$E$5:$E$164,$Z$1)&amp;"","")</f>
        <v/>
      </c>
      <c r="E28" s="114" t="str">
        <f aca="false">IF(AND($Z$1&lt;&gt;"",設定!$D$28&lt;&gt;""),INDEX(単元12!$F$5:$F$164,$Z$1)&amp;"","")</f>
        <v/>
      </c>
      <c r="F28" s="114" t="str">
        <f aca="false">IF(AND($Z$1&lt;&gt;"",設定!$D$28&lt;&gt;""),INDEX(単元12!$G$5:$G$164,$Z$1)&amp;"","")</f>
        <v/>
      </c>
      <c r="G28" s="114" t="str">
        <f aca="false">IF(AND($Z$1&lt;&gt;"",設定!$D$28&lt;&gt;""),INDEX(単元12!$H$5:$H$164,$Z$1)&amp;"","")</f>
        <v/>
      </c>
      <c r="H28" s="115" t="str">
        <f aca="false">IF(AND($Z$1&lt;&gt;"",設定!$D$28&lt;&gt;""),INDEX(単元12!$I$5:$I$164,$Z$1)&amp;"","")</f>
        <v/>
      </c>
      <c r="I28" s="60" t="str">
        <f aca="false">IF(NOT(AND($Z$1&lt;&gt;"",設定!$D$28&lt;&gt;"")),"",IF(AND(INDEX(単元12!$R$5:$R$164,$Z$1)="",INDEX(単元12!$S$5:$S$164,$Z$1)=""),"",設定!$I$8&amp;IF(INDEX(単元12!$R$5:$R$164,$Z$1)="","－",INDEX(単元12!$R$5:$R$164,$Z$1)&amp;"/"&amp;単元12!$R$2)&amp;"　"&amp;設定!$I$9&amp;IF(INDEX(単元12!$S$5:$S$164,$Z$1)="","－",INDEX(単元12!$S$5:$S$164,$Z$1)&amp;"/"&amp;単元12!$S$2)))</f>
        <v/>
      </c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68" t="str">
        <f aca="false">IF(設定!$D$28="","",設定!$C$28&amp;"")</f>
        <v/>
      </c>
      <c r="Z28" s="13"/>
    </row>
    <row r="29" customFormat="false" ht="30" hidden="false" customHeight="true" outlineLevel="0" collapsed="false">
      <c r="A29" s="58" t="str">
        <f aca="false">IF(設定!$D$29="","",13)</f>
        <v/>
      </c>
      <c r="B29" s="59" t="str">
        <f aca="false">IF(設定!$D$29="","",設定!$D$29)</f>
        <v/>
      </c>
      <c r="C29" s="60" t="str">
        <f aca="false">IF(OR(設定!$D$29="",設定!$C$29=""),"",設定!$C$29&amp;IF(ISNUMBER(設定!$C$29),"学期",""))</f>
        <v/>
      </c>
      <c r="D29" s="61" t="str">
        <f aca="false">IF(AND($Z$1&lt;&gt;"",設定!$D$29&lt;&gt;""),INDEX(単元13!$E$5:$E$164,$Z$1)&amp;"","")</f>
        <v/>
      </c>
      <c r="E29" s="114" t="str">
        <f aca="false">IF(AND($Z$1&lt;&gt;"",設定!$D$29&lt;&gt;""),INDEX(単元13!$F$5:$F$164,$Z$1)&amp;"","")</f>
        <v/>
      </c>
      <c r="F29" s="114" t="str">
        <f aca="false">IF(AND($Z$1&lt;&gt;"",設定!$D$29&lt;&gt;""),INDEX(単元13!$G$5:$G$164,$Z$1)&amp;"","")</f>
        <v/>
      </c>
      <c r="G29" s="114" t="str">
        <f aca="false">IF(AND($Z$1&lt;&gt;"",設定!$D$29&lt;&gt;""),INDEX(単元13!$H$5:$H$164,$Z$1)&amp;"","")</f>
        <v/>
      </c>
      <c r="H29" s="115" t="str">
        <f aca="false">IF(AND($Z$1&lt;&gt;"",設定!$D$29&lt;&gt;""),INDEX(単元13!$I$5:$I$164,$Z$1)&amp;"","")</f>
        <v/>
      </c>
      <c r="I29" s="60" t="str">
        <f aca="false">IF(NOT(AND($Z$1&lt;&gt;"",設定!$D$29&lt;&gt;"")),"",IF(AND(INDEX(単元13!$R$5:$R$164,$Z$1)="",INDEX(単元13!$S$5:$S$164,$Z$1)=""),"",設定!$I$8&amp;IF(INDEX(単元13!$R$5:$R$164,$Z$1)="","－",INDEX(単元13!$R$5:$R$164,$Z$1)&amp;"/"&amp;単元13!$R$2)&amp;"　"&amp;設定!$I$9&amp;IF(INDEX(単元13!$S$5:$S$164,$Z$1)="","－",INDEX(単元13!$S$5:$S$164,$Z$1)&amp;"/"&amp;単元13!$S$2)))</f>
        <v/>
      </c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68" t="str">
        <f aca="false">IF(設定!$D$29="","",設定!$C$29&amp;"")</f>
        <v/>
      </c>
      <c r="Z29" s="13"/>
    </row>
    <row r="30" customFormat="false" ht="30" hidden="false" customHeight="true" outlineLevel="0" collapsed="false">
      <c r="A30" s="58" t="str">
        <f aca="false">IF(設定!$D$30="","",14)</f>
        <v/>
      </c>
      <c r="B30" s="59" t="str">
        <f aca="false">IF(設定!$D$30="","",設定!$D$30)</f>
        <v/>
      </c>
      <c r="C30" s="60" t="str">
        <f aca="false">IF(OR(設定!$D$30="",設定!$C$30=""),"",設定!$C$30&amp;IF(ISNUMBER(設定!$C$30),"学期",""))</f>
        <v/>
      </c>
      <c r="D30" s="61" t="str">
        <f aca="false">IF(AND($Z$1&lt;&gt;"",設定!$D$30&lt;&gt;""),INDEX(単元14!$E$5:$E$164,$Z$1)&amp;"","")</f>
        <v/>
      </c>
      <c r="E30" s="114" t="str">
        <f aca="false">IF(AND($Z$1&lt;&gt;"",設定!$D$30&lt;&gt;""),INDEX(単元14!$F$5:$F$164,$Z$1)&amp;"","")</f>
        <v/>
      </c>
      <c r="F30" s="114" t="str">
        <f aca="false">IF(AND($Z$1&lt;&gt;"",設定!$D$30&lt;&gt;""),INDEX(単元14!$G$5:$G$164,$Z$1)&amp;"","")</f>
        <v/>
      </c>
      <c r="G30" s="114" t="str">
        <f aca="false">IF(AND($Z$1&lt;&gt;"",設定!$D$30&lt;&gt;""),INDEX(単元14!$H$5:$H$164,$Z$1)&amp;"","")</f>
        <v/>
      </c>
      <c r="H30" s="115" t="str">
        <f aca="false">IF(AND($Z$1&lt;&gt;"",設定!$D$30&lt;&gt;""),INDEX(単元14!$I$5:$I$164,$Z$1)&amp;"","")</f>
        <v/>
      </c>
      <c r="I30" s="60" t="str">
        <f aca="false">IF(NOT(AND($Z$1&lt;&gt;"",設定!$D$30&lt;&gt;"")),"",IF(AND(INDEX(単元14!$R$5:$R$164,$Z$1)="",INDEX(単元14!$S$5:$S$164,$Z$1)=""),"",設定!$I$8&amp;IF(INDEX(単元14!$R$5:$R$164,$Z$1)="","－",INDEX(単元14!$R$5:$R$164,$Z$1)&amp;"/"&amp;単元14!$R$2)&amp;"　"&amp;設定!$I$9&amp;IF(INDEX(単元14!$S$5:$S$164,$Z$1)="","－",INDEX(単元14!$S$5:$S$164,$Z$1)&amp;"/"&amp;単元14!$S$2)))</f>
        <v/>
      </c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68" t="str">
        <f aca="false">IF(設定!$D$30="","",設定!$C$30&amp;"")</f>
        <v/>
      </c>
      <c r="Z30" s="13"/>
    </row>
    <row r="31" customFormat="false" ht="30" hidden="false" customHeight="true" outlineLevel="0" collapsed="false">
      <c r="A31" s="58" t="str">
        <f aca="false">IF(設定!$D$31="","",15)</f>
        <v/>
      </c>
      <c r="B31" s="59" t="str">
        <f aca="false">IF(設定!$D$31="","",設定!$D$31)</f>
        <v/>
      </c>
      <c r="C31" s="60" t="str">
        <f aca="false">IF(OR(設定!$D$31="",設定!$C$31=""),"",設定!$C$31&amp;IF(ISNUMBER(設定!$C$31),"学期",""))</f>
        <v/>
      </c>
      <c r="D31" s="61" t="str">
        <f aca="false">IF(AND($Z$1&lt;&gt;"",設定!$D$31&lt;&gt;""),INDEX(単元15!$E$5:$E$164,$Z$1)&amp;"","")</f>
        <v/>
      </c>
      <c r="E31" s="114" t="str">
        <f aca="false">IF(AND($Z$1&lt;&gt;"",設定!$D$31&lt;&gt;""),INDEX(単元15!$F$5:$F$164,$Z$1)&amp;"","")</f>
        <v/>
      </c>
      <c r="F31" s="114" t="str">
        <f aca="false">IF(AND($Z$1&lt;&gt;"",設定!$D$31&lt;&gt;""),INDEX(単元15!$G$5:$G$164,$Z$1)&amp;"","")</f>
        <v/>
      </c>
      <c r="G31" s="114" t="str">
        <f aca="false">IF(AND($Z$1&lt;&gt;"",設定!$D$31&lt;&gt;""),INDEX(単元15!$H$5:$H$164,$Z$1)&amp;"","")</f>
        <v/>
      </c>
      <c r="H31" s="115" t="str">
        <f aca="false">IF(AND($Z$1&lt;&gt;"",設定!$D$31&lt;&gt;""),INDEX(単元15!$I$5:$I$164,$Z$1)&amp;"","")</f>
        <v/>
      </c>
      <c r="I31" s="60" t="str">
        <f aca="false">IF(NOT(AND($Z$1&lt;&gt;"",設定!$D$31&lt;&gt;"")),"",IF(AND(INDEX(単元15!$R$5:$R$164,$Z$1)="",INDEX(単元15!$S$5:$S$164,$Z$1)=""),"",設定!$I$8&amp;IF(INDEX(単元15!$R$5:$R$164,$Z$1)="","－",INDEX(単元15!$R$5:$R$164,$Z$1)&amp;"/"&amp;単元15!$R$2)&amp;"　"&amp;設定!$I$9&amp;IF(INDEX(単元15!$S$5:$S$164,$Z$1)="","－",INDEX(単元15!$S$5:$S$164,$Z$1)&amp;"/"&amp;単元15!$S$2)))</f>
        <v/>
      </c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68" t="str">
        <f aca="false">IF(設定!$D$31="","",設定!$C$31&amp;"")</f>
        <v/>
      </c>
      <c r="Z31" s="13"/>
    </row>
    <row r="32" customFormat="false" ht="30" hidden="false" customHeight="true" outlineLevel="0" collapsed="false">
      <c r="A32" s="58" t="str">
        <f aca="false">IF(設定!$D$32="","",16)</f>
        <v/>
      </c>
      <c r="B32" s="59" t="str">
        <f aca="false">IF(設定!$D$32="","",設定!$D$32)</f>
        <v/>
      </c>
      <c r="C32" s="60" t="str">
        <f aca="false">IF(OR(設定!$D$32="",設定!$C$32=""),"",設定!$C$32&amp;IF(ISNUMBER(設定!$C$32),"学期",""))</f>
        <v/>
      </c>
      <c r="D32" s="61" t="str">
        <f aca="false">IF(AND($Z$1&lt;&gt;"",設定!$D$32&lt;&gt;""),INDEX(単元16!$E$5:$E$164,$Z$1)&amp;"","")</f>
        <v/>
      </c>
      <c r="E32" s="114" t="str">
        <f aca="false">IF(AND($Z$1&lt;&gt;"",設定!$D$32&lt;&gt;""),INDEX(単元16!$F$5:$F$164,$Z$1)&amp;"","")</f>
        <v/>
      </c>
      <c r="F32" s="114" t="str">
        <f aca="false">IF(AND($Z$1&lt;&gt;"",設定!$D$32&lt;&gt;""),INDEX(単元16!$G$5:$G$164,$Z$1)&amp;"","")</f>
        <v/>
      </c>
      <c r="G32" s="114" t="str">
        <f aca="false">IF(AND($Z$1&lt;&gt;"",設定!$D$32&lt;&gt;""),INDEX(単元16!$H$5:$H$164,$Z$1)&amp;"","")</f>
        <v/>
      </c>
      <c r="H32" s="115" t="str">
        <f aca="false">IF(AND($Z$1&lt;&gt;"",設定!$D$32&lt;&gt;""),INDEX(単元16!$I$5:$I$164,$Z$1)&amp;"","")</f>
        <v/>
      </c>
      <c r="I32" s="60" t="str">
        <f aca="false">IF(NOT(AND($Z$1&lt;&gt;"",設定!$D$32&lt;&gt;"")),"",IF(AND(INDEX(単元16!$R$5:$R$164,$Z$1)="",INDEX(単元16!$S$5:$S$164,$Z$1)=""),"",設定!$I$8&amp;IF(INDEX(単元16!$R$5:$R$164,$Z$1)="","－",INDEX(単元16!$R$5:$R$164,$Z$1)&amp;"/"&amp;単元16!$R$2)&amp;"　"&amp;設定!$I$9&amp;IF(INDEX(単元16!$S$5:$S$164,$Z$1)="","－",INDEX(単元16!$S$5:$S$164,$Z$1)&amp;"/"&amp;単元16!$S$2)))</f>
        <v/>
      </c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68" t="str">
        <f aca="false">IF(設定!$D$32="","",設定!$C$32&amp;"")</f>
        <v/>
      </c>
      <c r="Z32" s="13"/>
    </row>
    <row r="33" customFormat="false" ht="30" hidden="false" customHeight="true" outlineLevel="0" collapsed="false">
      <c r="A33" s="58" t="str">
        <f aca="false">IF(設定!$D$33="","",17)</f>
        <v/>
      </c>
      <c r="B33" s="59" t="str">
        <f aca="false">IF(設定!$D$33="","",設定!$D$33)</f>
        <v/>
      </c>
      <c r="C33" s="60" t="str">
        <f aca="false">IF(OR(設定!$D$33="",設定!$C$33=""),"",設定!$C$33&amp;IF(ISNUMBER(設定!$C$33),"学期",""))</f>
        <v/>
      </c>
      <c r="D33" s="61" t="str">
        <f aca="false">IF(AND($Z$1&lt;&gt;"",設定!$D$33&lt;&gt;""),INDEX(単元17!$E$5:$E$164,$Z$1)&amp;"","")</f>
        <v/>
      </c>
      <c r="E33" s="114" t="str">
        <f aca="false">IF(AND($Z$1&lt;&gt;"",設定!$D$33&lt;&gt;""),INDEX(単元17!$F$5:$F$164,$Z$1)&amp;"","")</f>
        <v/>
      </c>
      <c r="F33" s="114" t="str">
        <f aca="false">IF(AND($Z$1&lt;&gt;"",設定!$D$33&lt;&gt;""),INDEX(単元17!$G$5:$G$164,$Z$1)&amp;"","")</f>
        <v/>
      </c>
      <c r="G33" s="114" t="str">
        <f aca="false">IF(AND($Z$1&lt;&gt;"",設定!$D$33&lt;&gt;""),INDEX(単元17!$H$5:$H$164,$Z$1)&amp;"","")</f>
        <v/>
      </c>
      <c r="H33" s="115" t="str">
        <f aca="false">IF(AND($Z$1&lt;&gt;"",設定!$D$33&lt;&gt;""),INDEX(単元17!$I$5:$I$164,$Z$1)&amp;"","")</f>
        <v/>
      </c>
      <c r="I33" s="60" t="str">
        <f aca="false">IF(NOT(AND($Z$1&lt;&gt;"",設定!$D$33&lt;&gt;"")),"",IF(AND(INDEX(単元17!$R$5:$R$164,$Z$1)="",INDEX(単元17!$S$5:$S$164,$Z$1)=""),"",設定!$I$8&amp;IF(INDEX(単元17!$R$5:$R$164,$Z$1)="","－",INDEX(単元17!$R$5:$R$164,$Z$1)&amp;"/"&amp;単元17!$R$2)&amp;"　"&amp;設定!$I$9&amp;IF(INDEX(単元17!$S$5:$S$164,$Z$1)="","－",INDEX(単元17!$S$5:$S$164,$Z$1)&amp;"/"&amp;単元17!$S$2)))</f>
        <v/>
      </c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68" t="str">
        <f aca="false">IF(設定!$D$33="","",設定!$C$33&amp;"")</f>
        <v/>
      </c>
      <c r="Z33" s="13"/>
    </row>
    <row r="34" customFormat="false" ht="30" hidden="false" customHeight="true" outlineLevel="0" collapsed="false">
      <c r="A34" s="58" t="str">
        <f aca="false">IF(設定!$D$34="","",18)</f>
        <v/>
      </c>
      <c r="B34" s="59" t="str">
        <f aca="false">IF(設定!$D$34="","",設定!$D$34)</f>
        <v/>
      </c>
      <c r="C34" s="60" t="str">
        <f aca="false">IF(OR(設定!$D$34="",設定!$C$34=""),"",設定!$C$34&amp;IF(ISNUMBER(設定!$C$34),"学期",""))</f>
        <v/>
      </c>
      <c r="D34" s="61" t="str">
        <f aca="false">IF(AND($Z$1&lt;&gt;"",設定!$D$34&lt;&gt;""),INDEX(単元18!$E$5:$E$164,$Z$1)&amp;"","")</f>
        <v/>
      </c>
      <c r="E34" s="114" t="str">
        <f aca="false">IF(AND($Z$1&lt;&gt;"",設定!$D$34&lt;&gt;""),INDEX(単元18!$F$5:$F$164,$Z$1)&amp;"","")</f>
        <v/>
      </c>
      <c r="F34" s="114" t="str">
        <f aca="false">IF(AND($Z$1&lt;&gt;"",設定!$D$34&lt;&gt;""),INDEX(単元18!$G$5:$G$164,$Z$1)&amp;"","")</f>
        <v/>
      </c>
      <c r="G34" s="114" t="str">
        <f aca="false">IF(AND($Z$1&lt;&gt;"",設定!$D$34&lt;&gt;""),INDEX(単元18!$H$5:$H$164,$Z$1)&amp;"","")</f>
        <v/>
      </c>
      <c r="H34" s="115" t="str">
        <f aca="false">IF(AND($Z$1&lt;&gt;"",設定!$D$34&lt;&gt;""),INDEX(単元18!$I$5:$I$164,$Z$1)&amp;"","")</f>
        <v/>
      </c>
      <c r="I34" s="60" t="str">
        <f aca="false">IF(NOT(AND($Z$1&lt;&gt;"",設定!$D$34&lt;&gt;"")),"",IF(AND(INDEX(単元18!$R$5:$R$164,$Z$1)="",INDEX(単元18!$S$5:$S$164,$Z$1)=""),"",設定!$I$8&amp;IF(INDEX(単元18!$R$5:$R$164,$Z$1)="","－",INDEX(単元18!$R$5:$R$164,$Z$1)&amp;"/"&amp;単元18!$R$2)&amp;"　"&amp;設定!$I$9&amp;IF(INDEX(単元18!$S$5:$S$164,$Z$1)="","－",INDEX(単元18!$S$5:$S$164,$Z$1)&amp;"/"&amp;単元18!$S$2)))</f>
        <v/>
      </c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68" t="str">
        <f aca="false">IF(設定!$D$34="","",設定!$C$34&amp;"")</f>
        <v/>
      </c>
      <c r="Z34" s="13"/>
    </row>
    <row r="35" customFormat="false" ht="30" hidden="false" customHeight="true" outlineLevel="0" collapsed="false">
      <c r="A35" s="58" t="str">
        <f aca="false">IF(設定!$D$35="","",19)</f>
        <v/>
      </c>
      <c r="B35" s="59" t="str">
        <f aca="false">IF(設定!$D$35="","",設定!$D$35)</f>
        <v/>
      </c>
      <c r="C35" s="60" t="str">
        <f aca="false">IF(OR(設定!$D$35="",設定!$C$35=""),"",設定!$C$35&amp;IF(ISNUMBER(設定!$C$35),"学期",""))</f>
        <v/>
      </c>
      <c r="D35" s="61" t="str">
        <f aca="false">IF(AND($Z$1&lt;&gt;"",設定!$D$35&lt;&gt;""),INDEX(単元19!$E$5:$E$164,$Z$1)&amp;"","")</f>
        <v/>
      </c>
      <c r="E35" s="114" t="str">
        <f aca="false">IF(AND($Z$1&lt;&gt;"",設定!$D$35&lt;&gt;""),INDEX(単元19!$F$5:$F$164,$Z$1)&amp;"","")</f>
        <v/>
      </c>
      <c r="F35" s="114" t="str">
        <f aca="false">IF(AND($Z$1&lt;&gt;"",設定!$D$35&lt;&gt;""),INDEX(単元19!$G$5:$G$164,$Z$1)&amp;"","")</f>
        <v/>
      </c>
      <c r="G35" s="114" t="str">
        <f aca="false">IF(AND($Z$1&lt;&gt;"",設定!$D$35&lt;&gt;""),INDEX(単元19!$H$5:$H$164,$Z$1)&amp;"","")</f>
        <v/>
      </c>
      <c r="H35" s="115" t="str">
        <f aca="false">IF(AND($Z$1&lt;&gt;"",設定!$D$35&lt;&gt;""),INDEX(単元19!$I$5:$I$164,$Z$1)&amp;"","")</f>
        <v/>
      </c>
      <c r="I35" s="60" t="str">
        <f aca="false">IF(NOT(AND($Z$1&lt;&gt;"",設定!$D$35&lt;&gt;"")),"",IF(AND(INDEX(単元19!$R$5:$R$164,$Z$1)="",INDEX(単元19!$S$5:$S$164,$Z$1)=""),"",設定!$I$8&amp;IF(INDEX(単元19!$R$5:$R$164,$Z$1)="","－",INDEX(単元19!$R$5:$R$164,$Z$1)&amp;"/"&amp;単元19!$R$2)&amp;"　"&amp;設定!$I$9&amp;IF(INDEX(単元19!$S$5:$S$164,$Z$1)="","－",INDEX(単元19!$S$5:$S$164,$Z$1)&amp;"/"&amp;単元19!$S$2)))</f>
        <v/>
      </c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68" t="str">
        <f aca="false">IF(設定!$D$35="","",設定!$C$35&amp;"")</f>
        <v/>
      </c>
      <c r="Z35" s="13"/>
    </row>
    <row r="36" customFormat="false" ht="30" hidden="false" customHeight="true" outlineLevel="0" collapsed="false">
      <c r="A36" s="58" t="str">
        <f aca="false">IF(設定!$D$36="","",20)</f>
        <v/>
      </c>
      <c r="B36" s="59" t="str">
        <f aca="false">IF(設定!$D$36="","",設定!$D$36)</f>
        <v/>
      </c>
      <c r="C36" s="60" t="str">
        <f aca="false">IF(OR(設定!$D$36="",設定!$C$36=""),"",設定!$C$36&amp;IF(ISNUMBER(設定!$C$36),"学期",""))</f>
        <v/>
      </c>
      <c r="D36" s="61" t="str">
        <f aca="false">IF(AND($Z$1&lt;&gt;"",設定!$D$36&lt;&gt;""),INDEX(単元20!$E$5:$E$164,$Z$1)&amp;"","")</f>
        <v/>
      </c>
      <c r="E36" s="114" t="str">
        <f aca="false">IF(AND($Z$1&lt;&gt;"",設定!$D$36&lt;&gt;""),INDEX(単元20!$F$5:$F$164,$Z$1)&amp;"","")</f>
        <v/>
      </c>
      <c r="F36" s="114" t="str">
        <f aca="false">IF(AND($Z$1&lt;&gt;"",設定!$D$36&lt;&gt;""),INDEX(単元20!$G$5:$G$164,$Z$1)&amp;"","")</f>
        <v/>
      </c>
      <c r="G36" s="114" t="str">
        <f aca="false">IF(AND($Z$1&lt;&gt;"",設定!$D$36&lt;&gt;""),INDEX(単元20!$H$5:$H$164,$Z$1)&amp;"","")</f>
        <v/>
      </c>
      <c r="H36" s="115" t="str">
        <f aca="false">IF(AND($Z$1&lt;&gt;"",設定!$D$36&lt;&gt;""),INDEX(単元20!$I$5:$I$164,$Z$1)&amp;"","")</f>
        <v/>
      </c>
      <c r="I36" s="60" t="str">
        <f aca="false">IF(NOT(AND($Z$1&lt;&gt;"",設定!$D$36&lt;&gt;"")),"",IF(AND(INDEX(単元20!$R$5:$R$164,$Z$1)="",INDEX(単元20!$S$5:$S$164,$Z$1)=""),"",設定!$I$8&amp;IF(INDEX(単元20!$R$5:$R$164,$Z$1)="","－",INDEX(単元20!$R$5:$R$164,$Z$1)&amp;"/"&amp;単元20!$R$2)&amp;"　"&amp;設定!$I$9&amp;IF(INDEX(単元20!$S$5:$S$164,$Z$1)="","－",INDEX(単元20!$S$5:$S$164,$Z$1)&amp;"/"&amp;単元20!$S$2)))</f>
        <v/>
      </c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68" t="str">
        <f aca="false">IF(設定!$D$36="","",設定!$C$36&amp;"")</f>
        <v/>
      </c>
      <c r="Z36" s="13"/>
    </row>
  </sheetData>
  <sheetProtection sheet="true" formatColumns="false" formatRows="false"/>
  <mergeCells count="5">
    <mergeCell ref="A1:I1"/>
    <mergeCell ref="E2:I2"/>
    <mergeCell ref="B6:B8"/>
    <mergeCell ref="B9:B11"/>
    <mergeCell ref="B12:B14"/>
  </mergeCells>
  <conditionalFormatting sqref="B6:F14">
    <cfRule type="expression" priority="2" aboveAverage="0" equalAverage="0" bottom="0" percent="0" rank="0" text="" dxfId="8">
      <formula>$C6&lt;&gt;""</formula>
    </cfRule>
  </conditionalFormatting>
  <conditionalFormatting sqref="G6:G14">
    <cfRule type="expression" priority="3" aboveAverage="0" equalAverage="0" bottom="0" percent="0" rank="0" text="" dxfId="12">
      <formula>AND(G6&lt;&gt;"",G6=設定!$G$10)</formula>
    </cfRule>
    <cfRule type="expression" priority="4" aboveAverage="0" equalAverage="0" bottom="0" percent="0" rank="0" text="" dxfId="20">
      <formula>AND(G6&lt;&gt;"",G6=設定!$G$8)</formula>
    </cfRule>
    <cfRule type="expression" priority="5" aboveAverage="0" equalAverage="0" bottom="0" percent="0" rank="0" text="" dxfId="21">
      <formula>$C6&lt;&gt;""</formula>
    </cfRule>
  </conditionalFormatting>
  <conditionalFormatting sqref="A17:D36">
    <cfRule type="expression" priority="6" aboveAverage="0" equalAverage="0" bottom="0" percent="0" rank="0" text="" dxfId="8">
      <formula>$B17&lt;&gt;""</formula>
    </cfRule>
  </conditionalFormatting>
  <conditionalFormatting sqref="H17:I36">
    <cfRule type="expression" priority="7" aboveAverage="0" equalAverage="0" bottom="0" percent="0" rank="0" text="" dxfId="8">
      <formula>$B17&lt;&gt;""</formula>
    </cfRule>
  </conditionalFormatting>
  <conditionalFormatting sqref="E17:G36">
    <cfRule type="expression" priority="8" aboveAverage="0" equalAverage="0" bottom="0" percent="0" rank="0" text="" dxfId="12">
      <formula>AND(E17&lt;&gt;"",E17=設定!$G$10)</formula>
    </cfRule>
    <cfRule type="expression" priority="9" aboveAverage="0" equalAverage="0" bottom="0" percent="0" rank="0" text="" dxfId="16">
      <formula>AND(E17&lt;&gt;"",E17=設定!$G$8)</formula>
    </cfRule>
    <cfRule type="expression" priority="10" aboveAverage="0" equalAverage="0" bottom="0" percent="0" rank="0" text="" dxfId="8">
      <formula>$B17&lt;&gt;""</formula>
    </cfRule>
  </conditionalFormatting>
  <dataValidations count="2">
    <dataValidation allowBlank="false" error="一覧から選んでください。" errorStyle="stop" errorTitle="入力エラー" operator="between" showDropDown="false" showErrorMessage="true" showInputMessage="false" sqref="B2" type="list">
      <formula1>学級一覧</formula1>
      <formula2>0</formula2>
    </dataValidation>
    <dataValidation allowBlank="false" error="出席番号（1〜45）を入力してください。" errorStyle="stop" operator="between" showDropDown="false" showErrorMessage="true" showInputMessage="false" sqref="D2" type="whole">
      <formula1>1</formula1>
      <formula2>45</formula2>
    </dataValidation>
  </dataValidations>
  <printOptions headings="false" gridLines="false" gridLinesSet="true" horizontalCentered="tru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Z37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14"/>
    <col collapsed="false" customWidth="true" hidden="false" outlineLevel="0" max="12" min="3" style="0" width="6"/>
    <col collapsed="false" customWidth="true" hidden="false" outlineLevel="0" max="13" min="13" style="0" width="3"/>
    <col collapsed="false" customWidth="true" hidden="false" outlineLevel="0" max="14" min="14" style="0" width="4"/>
    <col collapsed="false" customWidth="true" hidden="false" outlineLevel="0" max="15" min="15" style="0" width="18"/>
    <col collapsed="false" customWidth="true" hidden="false" outlineLevel="0" max="21" min="16" style="0" width="7"/>
    <col collapsed="false" customWidth="true" hidden="true" outlineLevel="0" max="52" min="52" style="0" width="13"/>
  </cols>
  <sheetData>
    <row r="1" customFormat="false" ht="33.75" hidden="false" customHeight="true" outlineLevel="0" collapsed="false">
      <c r="A1" s="14" t="s">
        <v>155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68" t="str">
        <f aca="false">"'単元"&amp;TEXT($B$2,"00")&amp;"'!"</f>
        <v>'単元01'!</v>
      </c>
    </row>
    <row r="2" customFormat="false" ht="27.75" hidden="false" customHeight="true" outlineLevel="0" collapsed="false">
      <c r="A2" s="16" t="s">
        <v>142</v>
      </c>
      <c r="B2" s="69" t="n">
        <v>1</v>
      </c>
      <c r="C2" s="70" t="str">
        <f aca="true">IFERROR("単元"&amp;$B$2&amp;"　"&amp;INDEX(設定!$D$17:$D$36,$B$2)&amp;"　（"&amp;INDIRECT($AZ$1&amp;"$C$2")&amp;"）","")</f>
        <v>単元1　　（習熟度別）</v>
      </c>
      <c r="D2" s="70"/>
      <c r="E2" s="70"/>
      <c r="F2" s="70"/>
      <c r="G2" s="70"/>
      <c r="H2" s="70"/>
      <c r="I2" s="70"/>
      <c r="J2" s="70"/>
      <c r="K2" s="70"/>
      <c r="L2" s="70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</row>
    <row r="3" customFormat="false" ht="15" hidden="false" customHeight="false" outlineLevel="0" collapsed="false">
      <c r="A3" s="33" t="s">
        <v>156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</row>
    <row r="4" customFormat="false" ht="15" hidden="false" customHeight="false" outlineLevel="0" collapsed="false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09" t="s">
        <v>157</v>
      </c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</row>
    <row r="5" customFormat="false" ht="21.75" hidden="false" customHeight="true" outlineLevel="0" collapsed="false">
      <c r="A5" s="13"/>
      <c r="B5" s="16" t="s">
        <v>153</v>
      </c>
      <c r="C5" s="16" t="s">
        <v>128</v>
      </c>
      <c r="D5" s="16" t="str">
        <f aca="false">設定!$I$8</f>
        <v>知</v>
      </c>
      <c r="E5" s="16"/>
      <c r="F5" s="16"/>
      <c r="G5" s="116" t="str">
        <f aca="false">設定!$I$9</f>
        <v>思</v>
      </c>
      <c r="H5" s="116"/>
      <c r="I5" s="116"/>
      <c r="J5" s="16" t="str">
        <f aca="false">設定!$I$10</f>
        <v>態</v>
      </c>
      <c r="K5" s="16"/>
      <c r="L5" s="16"/>
      <c r="M5" s="13"/>
      <c r="N5" s="28" t="s">
        <v>98</v>
      </c>
      <c r="O5" s="16" t="s">
        <v>99</v>
      </c>
      <c r="P5" s="16" t="str">
        <f aca="false">設定!$I$8</f>
        <v>知</v>
      </c>
      <c r="Q5" s="16"/>
      <c r="R5" s="116" t="str">
        <f aca="false">設定!$I$9</f>
        <v>思</v>
      </c>
      <c r="S5" s="116"/>
      <c r="T5" s="16" t="str">
        <f aca="false">設定!$I$10</f>
        <v>態</v>
      </c>
      <c r="U5" s="16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</row>
    <row r="6" customFormat="false" ht="15" hidden="false" customHeight="false" outlineLevel="0" collapsed="false">
      <c r="A6" s="13"/>
      <c r="B6" s="16"/>
      <c r="C6" s="16"/>
      <c r="D6" s="102" t="str">
        <f aca="false">設定!$G$8&amp;""</f>
        <v>A</v>
      </c>
      <c r="E6" s="102" t="str">
        <f aca="false">設定!$G$9&amp;""</f>
        <v>B</v>
      </c>
      <c r="F6" s="102" t="str">
        <f aca="false">設定!$G$10&amp;""</f>
        <v>C</v>
      </c>
      <c r="G6" s="102" t="str">
        <f aca="false">設定!$G$8&amp;""</f>
        <v>A</v>
      </c>
      <c r="H6" s="102" t="str">
        <f aca="false">設定!$G$9&amp;""</f>
        <v>B</v>
      </c>
      <c r="I6" s="102" t="str">
        <f aca="false">設定!$G$10&amp;""</f>
        <v>C</v>
      </c>
      <c r="J6" s="102" t="str">
        <f aca="false">設定!$G$8&amp;""</f>
        <v>A</v>
      </c>
      <c r="K6" s="102" t="str">
        <f aca="false">設定!$G$9&amp;""</f>
        <v>B</v>
      </c>
      <c r="L6" s="102" t="str">
        <f aca="false">設定!$G$10&amp;""</f>
        <v>C</v>
      </c>
      <c r="M6" s="13"/>
      <c r="N6" s="28"/>
      <c r="O6" s="28"/>
      <c r="P6" s="117" t="str">
        <f aca="false">設定!$G$8&amp;"の割合"</f>
        <v>Aの割合</v>
      </c>
      <c r="Q6" s="118" t="str">
        <f aca="false">設定!$G$10&amp;"の割合"</f>
        <v>Cの割合</v>
      </c>
      <c r="R6" s="117" t="str">
        <f aca="false">設定!$G$8&amp;"の割合"</f>
        <v>Aの割合</v>
      </c>
      <c r="S6" s="118" t="str">
        <f aca="false">設定!$G$10&amp;"の割合"</f>
        <v>Cの割合</v>
      </c>
      <c r="T6" s="117" t="str">
        <f aca="false">設定!$G$8&amp;"の割合"</f>
        <v>Aの割合</v>
      </c>
      <c r="U6" s="118" t="str">
        <f aca="false">設定!$G$10&amp;"の割合"</f>
        <v>Cの割合</v>
      </c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</row>
    <row r="7" customFormat="false" ht="21.75" hidden="false" customHeight="true" outlineLevel="0" collapsed="false">
      <c r="A7" s="13"/>
      <c r="B7" s="119" t="str">
        <f aca="true">IFERROR(INDIRECT($AZ$1&amp;"$L$2")&amp;"","")</f>
        <v>深める</v>
      </c>
      <c r="C7" s="120" t="n">
        <f aca="true">IF($B7="","",COUNTIF(INDIRECT($AZ$1&amp;"$E$5:$E$164"),$B7))</f>
        <v>0</v>
      </c>
      <c r="D7" s="120" t="n">
        <f aca="true">IF($B7="","",COUNTIFS(INDIRECT($AZ$1&amp;"$E$5:$E$164"),$B7,INDIRECT($AZ$1&amp;"$F$5:$F$164"),設定!$G$8))</f>
        <v>0</v>
      </c>
      <c r="E7" s="120" t="n">
        <f aca="true">IF($B7="","",COUNTIFS(INDIRECT($AZ$1&amp;"$E$5:$E$164"),$B7,INDIRECT($AZ$1&amp;"$F$5:$F$164"),設定!$G$9))</f>
        <v>0</v>
      </c>
      <c r="F7" s="120" t="n">
        <f aca="true">IF($B7="","",COUNTIFS(INDIRECT($AZ$1&amp;"$E$5:$E$164"),$B7,INDIRECT($AZ$1&amp;"$F$5:$F$164"),設定!$G$10))</f>
        <v>0</v>
      </c>
      <c r="G7" s="120" t="n">
        <f aca="true">IF($B7="","",COUNTIFS(INDIRECT($AZ$1&amp;"$E$5:$E$164"),$B7,INDIRECT($AZ$1&amp;"$G$5:$G$164"),設定!$G$8))</f>
        <v>0</v>
      </c>
      <c r="H7" s="120" t="n">
        <f aca="true">IF($B7="","",COUNTIFS(INDIRECT($AZ$1&amp;"$E$5:$E$164"),$B7,INDIRECT($AZ$1&amp;"$G$5:$G$164"),設定!$G$9))</f>
        <v>0</v>
      </c>
      <c r="I7" s="120" t="n">
        <f aca="true">IF($B7="","",COUNTIFS(INDIRECT($AZ$1&amp;"$E$5:$E$164"),$B7,INDIRECT($AZ$1&amp;"$G$5:$G$164"),設定!$G$10))</f>
        <v>0</v>
      </c>
      <c r="J7" s="120" t="n">
        <f aca="true">IF($B7="","",COUNTIFS(INDIRECT($AZ$1&amp;"$E$5:$E$164"),$B7,INDIRECT($AZ$1&amp;"$H$5:$H$164"),設定!$G$8))</f>
        <v>0</v>
      </c>
      <c r="K7" s="120" t="n">
        <f aca="true">IF($B7="","",COUNTIFS(INDIRECT($AZ$1&amp;"$E$5:$E$164"),$B7,INDIRECT($AZ$1&amp;"$H$5:$H$164"),設定!$G$9))</f>
        <v>0</v>
      </c>
      <c r="L7" s="120" t="n">
        <f aca="true">IF($B7="","",COUNTIFS(INDIRECT($AZ$1&amp;"$E$5:$E$164"),$B7,INDIRECT($AZ$1&amp;"$H$5:$H$164"),設定!$G$10))</f>
        <v>0</v>
      </c>
      <c r="M7" s="13"/>
      <c r="N7" s="58" t="str">
        <f aca="false">IF(設定!$D$17&lt;&gt;"",1,"")</f>
        <v/>
      </c>
      <c r="O7" s="121" t="str">
        <f aca="false">IF(設定!$D$17&lt;&gt;"",設定!$D$17,"")</f>
        <v/>
      </c>
      <c r="P7" s="122" t="str">
        <f aca="false">IF(OR(NOT(設定!$D$17&lt;&gt;""),COUNTIF(単元01!$F$5:$F$164,"?*")=0),"",COUNTIF(単元01!$F$5:$F$164,設定!$G$8)/COUNTIF(単元01!$F$5:$F$164,"?*"))</f>
        <v/>
      </c>
      <c r="Q7" s="122" t="str">
        <f aca="false">IF(OR(NOT(設定!$D$17&lt;&gt;""),COUNTIF(単元01!$F$5:$F$164,"?*")=0),"",COUNTIF(単元01!$F$5:$F$164,設定!$G$10)/COUNTIF(単元01!$F$5:$F$164,"?*"))</f>
        <v/>
      </c>
      <c r="R7" s="122" t="str">
        <f aca="false">IF(OR(NOT(設定!$D$17&lt;&gt;""),COUNTIF(単元01!$G$5:$G$164,"?*")=0),"",COUNTIF(単元01!$G$5:$G$164,設定!$G$8)/COUNTIF(単元01!$G$5:$G$164,"?*"))</f>
        <v/>
      </c>
      <c r="S7" s="122" t="str">
        <f aca="false">IF(OR(NOT(設定!$D$17&lt;&gt;""),COUNTIF(単元01!$G$5:$G$164,"?*")=0),"",COUNTIF(単元01!$G$5:$G$164,設定!$G$10)/COUNTIF(単元01!$G$5:$G$164,"?*"))</f>
        <v/>
      </c>
      <c r="T7" s="122" t="str">
        <f aca="false">IF(OR(NOT(設定!$D$17&lt;&gt;""),COUNTIF(単元01!$H$5:$H$164,"?*")=0),"",COUNTIF(単元01!$H$5:$H$164,設定!$G$8)/COUNTIF(単元01!$H$5:$H$164,"?*"))</f>
        <v/>
      </c>
      <c r="U7" s="122" t="str">
        <f aca="false">IF(OR(NOT(設定!$D$17&lt;&gt;""),COUNTIF(単元01!$H$5:$H$164,"?*")=0),"",COUNTIF(単元01!$H$5:$H$164,設定!$G$10)/COUNTIF(単元01!$H$5:$H$164,"?*"))</f>
        <v/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</row>
    <row r="8" customFormat="false" ht="21.75" hidden="false" customHeight="true" outlineLevel="0" collapsed="false">
      <c r="A8" s="13"/>
      <c r="B8" s="123" t="str">
        <f aca="true">IFERROR(INDIRECT($AZ$1&amp;"$L$3")&amp;"","")</f>
        <v>広げるA</v>
      </c>
      <c r="C8" s="120" t="n">
        <f aca="true">IF($B8="","",COUNTIF(INDIRECT($AZ$1&amp;"$E$5:$E$164"),$B8))</f>
        <v>0</v>
      </c>
      <c r="D8" s="120" t="n">
        <f aca="true">IF($B8="","",COUNTIFS(INDIRECT($AZ$1&amp;"$E$5:$E$164"),$B8,INDIRECT($AZ$1&amp;"$F$5:$F$164"),設定!$G$8))</f>
        <v>0</v>
      </c>
      <c r="E8" s="120" t="n">
        <f aca="true">IF($B8="","",COUNTIFS(INDIRECT($AZ$1&amp;"$E$5:$E$164"),$B8,INDIRECT($AZ$1&amp;"$F$5:$F$164"),設定!$G$9))</f>
        <v>0</v>
      </c>
      <c r="F8" s="120" t="n">
        <f aca="true">IF($B8="","",COUNTIFS(INDIRECT($AZ$1&amp;"$E$5:$E$164"),$B8,INDIRECT($AZ$1&amp;"$F$5:$F$164"),設定!$G$10))</f>
        <v>0</v>
      </c>
      <c r="G8" s="120" t="n">
        <f aca="true">IF($B8="","",COUNTIFS(INDIRECT($AZ$1&amp;"$E$5:$E$164"),$B8,INDIRECT($AZ$1&amp;"$G$5:$G$164"),設定!$G$8))</f>
        <v>0</v>
      </c>
      <c r="H8" s="120" t="n">
        <f aca="true">IF($B8="","",COUNTIFS(INDIRECT($AZ$1&amp;"$E$5:$E$164"),$B8,INDIRECT($AZ$1&amp;"$G$5:$G$164"),設定!$G$9))</f>
        <v>0</v>
      </c>
      <c r="I8" s="120" t="n">
        <f aca="true">IF($B8="","",COUNTIFS(INDIRECT($AZ$1&amp;"$E$5:$E$164"),$B8,INDIRECT($AZ$1&amp;"$G$5:$G$164"),設定!$G$10))</f>
        <v>0</v>
      </c>
      <c r="J8" s="120" t="n">
        <f aca="true">IF($B8="","",COUNTIFS(INDIRECT($AZ$1&amp;"$E$5:$E$164"),$B8,INDIRECT($AZ$1&amp;"$H$5:$H$164"),設定!$G$8))</f>
        <v>0</v>
      </c>
      <c r="K8" s="120" t="n">
        <f aca="true">IF($B8="","",COUNTIFS(INDIRECT($AZ$1&amp;"$E$5:$E$164"),$B8,INDIRECT($AZ$1&amp;"$H$5:$H$164"),設定!$G$9))</f>
        <v>0</v>
      </c>
      <c r="L8" s="120" t="n">
        <f aca="true">IF($B8="","",COUNTIFS(INDIRECT($AZ$1&amp;"$E$5:$E$164"),$B8,INDIRECT($AZ$1&amp;"$H$5:$H$164"),設定!$G$10))</f>
        <v>0</v>
      </c>
      <c r="M8" s="13"/>
      <c r="N8" s="58" t="str">
        <f aca="false">IF(設定!$D$18&lt;&gt;"",2,"")</f>
        <v/>
      </c>
      <c r="O8" s="121" t="str">
        <f aca="false">IF(設定!$D$18&lt;&gt;"",設定!$D$18,"")</f>
        <v/>
      </c>
      <c r="P8" s="122" t="str">
        <f aca="false">IF(OR(NOT(設定!$D$18&lt;&gt;""),COUNTIF(単元02!$F$5:$F$164,"?*")=0),"",COUNTIF(単元02!$F$5:$F$164,設定!$G$8)/COUNTIF(単元02!$F$5:$F$164,"?*"))</f>
        <v/>
      </c>
      <c r="Q8" s="122" t="str">
        <f aca="false">IF(OR(NOT(設定!$D$18&lt;&gt;""),COUNTIF(単元02!$F$5:$F$164,"?*")=0),"",COUNTIF(単元02!$F$5:$F$164,設定!$G$10)/COUNTIF(単元02!$F$5:$F$164,"?*"))</f>
        <v/>
      </c>
      <c r="R8" s="122" t="str">
        <f aca="false">IF(OR(NOT(設定!$D$18&lt;&gt;""),COUNTIF(単元02!$G$5:$G$164,"?*")=0),"",COUNTIF(単元02!$G$5:$G$164,設定!$G$8)/COUNTIF(単元02!$G$5:$G$164,"?*"))</f>
        <v/>
      </c>
      <c r="S8" s="122" t="str">
        <f aca="false">IF(OR(NOT(設定!$D$18&lt;&gt;""),COUNTIF(単元02!$G$5:$G$164,"?*")=0),"",COUNTIF(単元02!$G$5:$G$164,設定!$G$10)/COUNTIF(単元02!$G$5:$G$164,"?*"))</f>
        <v/>
      </c>
      <c r="T8" s="122" t="str">
        <f aca="false">IF(OR(NOT(設定!$D$18&lt;&gt;""),COUNTIF(単元02!$H$5:$H$164,"?*")=0),"",COUNTIF(単元02!$H$5:$H$164,設定!$G$8)/COUNTIF(単元02!$H$5:$H$164,"?*"))</f>
        <v/>
      </c>
      <c r="U8" s="122" t="str">
        <f aca="false">IF(OR(NOT(設定!$D$18&lt;&gt;""),COUNTIF(単元02!$H$5:$H$164,"?*")=0),"",COUNTIF(単元02!$H$5:$H$164,設定!$G$10)/COUNTIF(単元02!$H$5:$H$164,"?*"))</f>
        <v/>
      </c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</row>
    <row r="9" customFormat="false" ht="21.75" hidden="false" customHeight="true" outlineLevel="0" collapsed="false">
      <c r="A9" s="13"/>
      <c r="B9" s="124" t="str">
        <f aca="true">IFERROR(INDIRECT($AZ$1&amp;"$L$4")&amp;"","")</f>
        <v>広げるB</v>
      </c>
      <c r="C9" s="120" t="n">
        <f aca="true">IF($B9="","",COUNTIF(INDIRECT($AZ$1&amp;"$E$5:$E$164"),$B9))</f>
        <v>0</v>
      </c>
      <c r="D9" s="120" t="n">
        <f aca="true">IF($B9="","",COUNTIFS(INDIRECT($AZ$1&amp;"$E$5:$E$164"),$B9,INDIRECT($AZ$1&amp;"$F$5:$F$164"),設定!$G$8))</f>
        <v>0</v>
      </c>
      <c r="E9" s="120" t="n">
        <f aca="true">IF($B9="","",COUNTIFS(INDIRECT($AZ$1&amp;"$E$5:$E$164"),$B9,INDIRECT($AZ$1&amp;"$F$5:$F$164"),設定!$G$9))</f>
        <v>0</v>
      </c>
      <c r="F9" s="120" t="n">
        <f aca="true">IF($B9="","",COUNTIFS(INDIRECT($AZ$1&amp;"$E$5:$E$164"),$B9,INDIRECT($AZ$1&amp;"$F$5:$F$164"),設定!$G$10))</f>
        <v>0</v>
      </c>
      <c r="G9" s="120" t="n">
        <f aca="true">IF($B9="","",COUNTIFS(INDIRECT($AZ$1&amp;"$E$5:$E$164"),$B9,INDIRECT($AZ$1&amp;"$G$5:$G$164"),設定!$G$8))</f>
        <v>0</v>
      </c>
      <c r="H9" s="120" t="n">
        <f aca="true">IF($B9="","",COUNTIFS(INDIRECT($AZ$1&amp;"$E$5:$E$164"),$B9,INDIRECT($AZ$1&amp;"$G$5:$G$164"),設定!$G$9))</f>
        <v>0</v>
      </c>
      <c r="I9" s="120" t="n">
        <f aca="true">IF($B9="","",COUNTIFS(INDIRECT($AZ$1&amp;"$E$5:$E$164"),$B9,INDIRECT($AZ$1&amp;"$G$5:$G$164"),設定!$G$10))</f>
        <v>0</v>
      </c>
      <c r="J9" s="120" t="n">
        <f aca="true">IF($B9="","",COUNTIFS(INDIRECT($AZ$1&amp;"$E$5:$E$164"),$B9,INDIRECT($AZ$1&amp;"$H$5:$H$164"),設定!$G$8))</f>
        <v>0</v>
      </c>
      <c r="K9" s="120" t="n">
        <f aca="true">IF($B9="","",COUNTIFS(INDIRECT($AZ$1&amp;"$E$5:$E$164"),$B9,INDIRECT($AZ$1&amp;"$H$5:$H$164"),設定!$G$9))</f>
        <v>0</v>
      </c>
      <c r="L9" s="120" t="n">
        <f aca="true">IF($B9="","",COUNTIFS(INDIRECT($AZ$1&amp;"$E$5:$E$164"),$B9,INDIRECT($AZ$1&amp;"$H$5:$H$164"),設定!$G$10))</f>
        <v>0</v>
      </c>
      <c r="M9" s="13"/>
      <c r="N9" s="58" t="str">
        <f aca="false">IF(設定!$D$19&lt;&gt;"",3,"")</f>
        <v/>
      </c>
      <c r="O9" s="121" t="str">
        <f aca="false">IF(設定!$D$19&lt;&gt;"",設定!$D$19,"")</f>
        <v/>
      </c>
      <c r="P9" s="122" t="str">
        <f aca="false">IF(OR(NOT(設定!$D$19&lt;&gt;""),COUNTIF(単元03!$F$5:$F$164,"?*")=0),"",COUNTIF(単元03!$F$5:$F$164,設定!$G$8)/COUNTIF(単元03!$F$5:$F$164,"?*"))</f>
        <v/>
      </c>
      <c r="Q9" s="122" t="str">
        <f aca="false">IF(OR(NOT(設定!$D$19&lt;&gt;""),COUNTIF(単元03!$F$5:$F$164,"?*")=0),"",COUNTIF(単元03!$F$5:$F$164,設定!$G$10)/COUNTIF(単元03!$F$5:$F$164,"?*"))</f>
        <v/>
      </c>
      <c r="R9" s="122" t="str">
        <f aca="false">IF(OR(NOT(設定!$D$19&lt;&gt;""),COUNTIF(単元03!$G$5:$G$164,"?*")=0),"",COUNTIF(単元03!$G$5:$G$164,設定!$G$8)/COUNTIF(単元03!$G$5:$G$164,"?*"))</f>
        <v/>
      </c>
      <c r="S9" s="122" t="str">
        <f aca="false">IF(OR(NOT(設定!$D$19&lt;&gt;""),COUNTIF(単元03!$G$5:$G$164,"?*")=0),"",COUNTIF(単元03!$G$5:$G$164,設定!$G$10)/COUNTIF(単元03!$G$5:$G$164,"?*"))</f>
        <v/>
      </c>
      <c r="T9" s="122" t="str">
        <f aca="false">IF(OR(NOT(設定!$D$19&lt;&gt;""),COUNTIF(単元03!$H$5:$H$164,"?*")=0),"",COUNTIF(単元03!$H$5:$H$164,設定!$G$8)/COUNTIF(単元03!$H$5:$H$164,"?*"))</f>
        <v/>
      </c>
      <c r="U9" s="122" t="str">
        <f aca="false">IF(OR(NOT(設定!$D$19&lt;&gt;""),COUNTIF(単元03!$H$5:$H$164,"?*")=0),"",COUNTIF(単元03!$H$5:$H$164,設定!$G$10)/COUNTIF(単元03!$H$5:$H$164,"?*"))</f>
        <v/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</row>
    <row r="10" customFormat="false" ht="21.75" hidden="false" customHeight="true" outlineLevel="0" collapsed="false">
      <c r="A10" s="13"/>
      <c r="B10" s="125" t="str">
        <f aca="true">IFERROR(INDIRECT($AZ$1&amp;"$L$5")&amp;"","")</f>
        <v>かためる</v>
      </c>
      <c r="C10" s="120" t="n">
        <f aca="true">IF($B10="","",COUNTIF(INDIRECT($AZ$1&amp;"$E$5:$E$164"),$B10))</f>
        <v>0</v>
      </c>
      <c r="D10" s="120" t="n">
        <f aca="true">IF($B10="","",COUNTIFS(INDIRECT($AZ$1&amp;"$E$5:$E$164"),$B10,INDIRECT($AZ$1&amp;"$F$5:$F$164"),設定!$G$8))</f>
        <v>0</v>
      </c>
      <c r="E10" s="120" t="n">
        <f aca="true">IF($B10="","",COUNTIFS(INDIRECT($AZ$1&amp;"$E$5:$E$164"),$B10,INDIRECT($AZ$1&amp;"$F$5:$F$164"),設定!$G$9))</f>
        <v>0</v>
      </c>
      <c r="F10" s="120" t="n">
        <f aca="true">IF($B10="","",COUNTIFS(INDIRECT($AZ$1&amp;"$E$5:$E$164"),$B10,INDIRECT($AZ$1&amp;"$F$5:$F$164"),設定!$G$10))</f>
        <v>0</v>
      </c>
      <c r="G10" s="120" t="n">
        <f aca="true">IF($B10="","",COUNTIFS(INDIRECT($AZ$1&amp;"$E$5:$E$164"),$B10,INDIRECT($AZ$1&amp;"$G$5:$G$164"),設定!$G$8))</f>
        <v>0</v>
      </c>
      <c r="H10" s="120" t="n">
        <f aca="true">IF($B10="","",COUNTIFS(INDIRECT($AZ$1&amp;"$E$5:$E$164"),$B10,INDIRECT($AZ$1&amp;"$G$5:$G$164"),設定!$G$9))</f>
        <v>0</v>
      </c>
      <c r="I10" s="120" t="n">
        <f aca="true">IF($B10="","",COUNTIFS(INDIRECT($AZ$1&amp;"$E$5:$E$164"),$B10,INDIRECT($AZ$1&amp;"$G$5:$G$164"),設定!$G$10))</f>
        <v>0</v>
      </c>
      <c r="J10" s="120" t="n">
        <f aca="true">IF($B10="","",COUNTIFS(INDIRECT($AZ$1&amp;"$E$5:$E$164"),$B10,INDIRECT($AZ$1&amp;"$H$5:$H$164"),設定!$G$8))</f>
        <v>0</v>
      </c>
      <c r="K10" s="120" t="n">
        <f aca="true">IF($B10="","",COUNTIFS(INDIRECT($AZ$1&amp;"$E$5:$E$164"),$B10,INDIRECT($AZ$1&amp;"$H$5:$H$164"),設定!$G$9))</f>
        <v>0</v>
      </c>
      <c r="L10" s="120" t="n">
        <f aca="true">IF($B10="","",COUNTIFS(INDIRECT($AZ$1&amp;"$E$5:$E$164"),$B10,INDIRECT($AZ$1&amp;"$H$5:$H$164"),設定!$G$10))</f>
        <v>0</v>
      </c>
      <c r="M10" s="13"/>
      <c r="N10" s="58" t="str">
        <f aca="false">IF(設定!$D$20&lt;&gt;"",4,"")</f>
        <v/>
      </c>
      <c r="O10" s="121" t="str">
        <f aca="false">IF(設定!$D$20&lt;&gt;"",設定!$D$20,"")</f>
        <v/>
      </c>
      <c r="P10" s="122" t="str">
        <f aca="false">IF(OR(NOT(設定!$D$20&lt;&gt;""),COUNTIF(単元04!$F$5:$F$164,"?*")=0),"",COUNTIF(単元04!$F$5:$F$164,設定!$G$8)/COUNTIF(単元04!$F$5:$F$164,"?*"))</f>
        <v/>
      </c>
      <c r="Q10" s="122" t="str">
        <f aca="false">IF(OR(NOT(設定!$D$20&lt;&gt;""),COUNTIF(単元04!$F$5:$F$164,"?*")=0),"",COUNTIF(単元04!$F$5:$F$164,設定!$G$10)/COUNTIF(単元04!$F$5:$F$164,"?*"))</f>
        <v/>
      </c>
      <c r="R10" s="122" t="str">
        <f aca="false">IF(OR(NOT(設定!$D$20&lt;&gt;""),COUNTIF(単元04!$G$5:$G$164,"?*")=0),"",COUNTIF(単元04!$G$5:$G$164,設定!$G$8)/COUNTIF(単元04!$G$5:$G$164,"?*"))</f>
        <v/>
      </c>
      <c r="S10" s="122" t="str">
        <f aca="false">IF(OR(NOT(設定!$D$20&lt;&gt;""),COUNTIF(単元04!$G$5:$G$164,"?*")=0),"",COUNTIF(単元04!$G$5:$G$164,設定!$G$10)/COUNTIF(単元04!$G$5:$G$164,"?*"))</f>
        <v/>
      </c>
      <c r="T10" s="122" t="str">
        <f aca="false">IF(OR(NOT(設定!$D$20&lt;&gt;""),COUNTIF(単元04!$H$5:$H$164,"?*")=0),"",COUNTIF(単元04!$H$5:$H$164,設定!$G$8)/COUNTIF(単元04!$H$5:$H$164,"?*"))</f>
        <v/>
      </c>
      <c r="U10" s="122" t="str">
        <f aca="false">IF(OR(NOT(設定!$D$20&lt;&gt;""),COUNTIF(単元04!$H$5:$H$164,"?*")=0),"",COUNTIF(単元04!$H$5:$H$164,設定!$G$10)/COUNTIF(単元04!$H$5:$H$164,"?*"))</f>
        <v/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</row>
    <row r="11" customFormat="false" ht="21.75" hidden="false" customHeight="true" outlineLevel="0" collapsed="false">
      <c r="A11" s="13"/>
      <c r="B11" s="126" t="str">
        <f aca="true">IFERROR(INDIRECT($AZ$1&amp;"$L$6")&amp;"","")</f>
        <v/>
      </c>
      <c r="C11" s="120" t="str">
        <f aca="true">IF($B11="","",COUNTIF(INDIRECT($AZ$1&amp;"$E$5:$E$164"),$B11))</f>
        <v/>
      </c>
      <c r="D11" s="120" t="str">
        <f aca="true">IF($B11="","",COUNTIFS(INDIRECT($AZ$1&amp;"$E$5:$E$164"),$B11,INDIRECT($AZ$1&amp;"$F$5:$F$164"),設定!$G$8))</f>
        <v/>
      </c>
      <c r="E11" s="120" t="str">
        <f aca="true">IF($B11="","",COUNTIFS(INDIRECT($AZ$1&amp;"$E$5:$E$164"),$B11,INDIRECT($AZ$1&amp;"$F$5:$F$164"),設定!$G$9))</f>
        <v/>
      </c>
      <c r="F11" s="120" t="str">
        <f aca="true">IF($B11="","",COUNTIFS(INDIRECT($AZ$1&amp;"$E$5:$E$164"),$B11,INDIRECT($AZ$1&amp;"$F$5:$F$164"),設定!$G$10))</f>
        <v/>
      </c>
      <c r="G11" s="120" t="str">
        <f aca="true">IF($B11="","",COUNTIFS(INDIRECT($AZ$1&amp;"$E$5:$E$164"),$B11,INDIRECT($AZ$1&amp;"$G$5:$G$164"),設定!$G$8))</f>
        <v/>
      </c>
      <c r="H11" s="120" t="str">
        <f aca="true">IF($B11="","",COUNTIFS(INDIRECT($AZ$1&amp;"$E$5:$E$164"),$B11,INDIRECT($AZ$1&amp;"$G$5:$G$164"),設定!$G$9))</f>
        <v/>
      </c>
      <c r="I11" s="120" t="str">
        <f aca="true">IF($B11="","",COUNTIFS(INDIRECT($AZ$1&amp;"$E$5:$E$164"),$B11,INDIRECT($AZ$1&amp;"$G$5:$G$164"),設定!$G$10))</f>
        <v/>
      </c>
      <c r="J11" s="120" t="str">
        <f aca="true">IF($B11="","",COUNTIFS(INDIRECT($AZ$1&amp;"$E$5:$E$164"),$B11,INDIRECT($AZ$1&amp;"$H$5:$H$164"),設定!$G$8))</f>
        <v/>
      </c>
      <c r="K11" s="120" t="str">
        <f aca="true">IF($B11="","",COUNTIFS(INDIRECT($AZ$1&amp;"$E$5:$E$164"),$B11,INDIRECT($AZ$1&amp;"$H$5:$H$164"),設定!$G$9))</f>
        <v/>
      </c>
      <c r="L11" s="120" t="str">
        <f aca="true">IF($B11="","",COUNTIFS(INDIRECT($AZ$1&amp;"$E$5:$E$164"),$B11,INDIRECT($AZ$1&amp;"$H$5:$H$164"),設定!$G$10))</f>
        <v/>
      </c>
      <c r="M11" s="13"/>
      <c r="N11" s="58" t="str">
        <f aca="false">IF(設定!$D$21&lt;&gt;"",5,"")</f>
        <v/>
      </c>
      <c r="O11" s="121" t="str">
        <f aca="false">IF(設定!$D$21&lt;&gt;"",設定!$D$21,"")</f>
        <v/>
      </c>
      <c r="P11" s="122" t="str">
        <f aca="false">IF(OR(NOT(設定!$D$21&lt;&gt;""),COUNTIF(単元05!$F$5:$F$164,"?*")=0),"",COUNTIF(単元05!$F$5:$F$164,設定!$G$8)/COUNTIF(単元05!$F$5:$F$164,"?*"))</f>
        <v/>
      </c>
      <c r="Q11" s="122" t="str">
        <f aca="false">IF(OR(NOT(設定!$D$21&lt;&gt;""),COUNTIF(単元05!$F$5:$F$164,"?*")=0),"",COUNTIF(単元05!$F$5:$F$164,設定!$G$10)/COUNTIF(単元05!$F$5:$F$164,"?*"))</f>
        <v/>
      </c>
      <c r="R11" s="122" t="str">
        <f aca="false">IF(OR(NOT(設定!$D$21&lt;&gt;""),COUNTIF(単元05!$G$5:$G$164,"?*")=0),"",COUNTIF(単元05!$G$5:$G$164,設定!$G$8)/COUNTIF(単元05!$G$5:$G$164,"?*"))</f>
        <v/>
      </c>
      <c r="S11" s="122" t="str">
        <f aca="false">IF(OR(NOT(設定!$D$21&lt;&gt;""),COUNTIF(単元05!$G$5:$G$164,"?*")=0),"",COUNTIF(単元05!$G$5:$G$164,設定!$G$10)/COUNTIF(単元05!$G$5:$G$164,"?*"))</f>
        <v/>
      </c>
      <c r="T11" s="122" t="str">
        <f aca="false">IF(OR(NOT(設定!$D$21&lt;&gt;""),COUNTIF(単元05!$H$5:$H$164,"?*")=0),"",COUNTIF(単元05!$H$5:$H$164,設定!$G$8)/COUNTIF(単元05!$H$5:$H$164,"?*"))</f>
        <v/>
      </c>
      <c r="U11" s="122" t="str">
        <f aca="false">IF(OR(NOT(設定!$D$21&lt;&gt;""),COUNTIF(単元05!$H$5:$H$164,"?*")=0),"",COUNTIF(単元05!$H$5:$H$164,設定!$G$10)/COUNTIF(単元05!$H$5:$H$164,"?*"))</f>
        <v/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</row>
    <row r="12" customFormat="false" ht="21.75" hidden="false" customHeight="true" outlineLevel="0" collapsed="false">
      <c r="A12" s="13"/>
      <c r="B12" s="44" t="s">
        <v>158</v>
      </c>
      <c r="C12" s="42" t="n">
        <f aca="false">SUM(C7:C11)</f>
        <v>0</v>
      </c>
      <c r="D12" s="42" t="n">
        <f aca="false">SUM(D7:D11)</f>
        <v>0</v>
      </c>
      <c r="E12" s="42" t="n">
        <f aca="false">SUM(E7:E11)</f>
        <v>0</v>
      </c>
      <c r="F12" s="42" t="n">
        <f aca="false">SUM(F7:F11)</f>
        <v>0</v>
      </c>
      <c r="G12" s="42" t="n">
        <f aca="false">SUM(G7:G11)</f>
        <v>0</v>
      </c>
      <c r="H12" s="42" t="n">
        <f aca="false">SUM(H7:H11)</f>
        <v>0</v>
      </c>
      <c r="I12" s="42" t="n">
        <f aca="false">SUM(I7:I11)</f>
        <v>0</v>
      </c>
      <c r="J12" s="42" t="n">
        <f aca="false">SUM(J7:J11)</f>
        <v>0</v>
      </c>
      <c r="K12" s="42" t="n">
        <f aca="false">SUM(K7:K11)</f>
        <v>0</v>
      </c>
      <c r="L12" s="42" t="n">
        <f aca="false">SUM(L7:L11)</f>
        <v>0</v>
      </c>
      <c r="M12" s="13"/>
      <c r="N12" s="58" t="str">
        <f aca="false">IF(設定!$D$22&lt;&gt;"",6,"")</f>
        <v/>
      </c>
      <c r="O12" s="121" t="str">
        <f aca="false">IF(設定!$D$22&lt;&gt;"",設定!$D$22,"")</f>
        <v/>
      </c>
      <c r="P12" s="122" t="str">
        <f aca="false">IF(OR(NOT(設定!$D$22&lt;&gt;""),COUNTIF(単元06!$F$5:$F$164,"?*")=0),"",COUNTIF(単元06!$F$5:$F$164,設定!$G$8)/COUNTIF(単元06!$F$5:$F$164,"?*"))</f>
        <v/>
      </c>
      <c r="Q12" s="122" t="str">
        <f aca="false">IF(OR(NOT(設定!$D$22&lt;&gt;""),COUNTIF(単元06!$F$5:$F$164,"?*")=0),"",COUNTIF(単元06!$F$5:$F$164,設定!$G$10)/COUNTIF(単元06!$F$5:$F$164,"?*"))</f>
        <v/>
      </c>
      <c r="R12" s="122" t="str">
        <f aca="false">IF(OR(NOT(設定!$D$22&lt;&gt;""),COUNTIF(単元06!$G$5:$G$164,"?*")=0),"",COUNTIF(単元06!$G$5:$G$164,設定!$G$8)/COUNTIF(単元06!$G$5:$G$164,"?*"))</f>
        <v/>
      </c>
      <c r="S12" s="122" t="str">
        <f aca="false">IF(OR(NOT(設定!$D$22&lt;&gt;""),COUNTIF(単元06!$G$5:$G$164,"?*")=0),"",COUNTIF(単元06!$G$5:$G$164,設定!$G$10)/COUNTIF(単元06!$G$5:$G$164,"?*"))</f>
        <v/>
      </c>
      <c r="T12" s="122" t="str">
        <f aca="false">IF(OR(NOT(設定!$D$22&lt;&gt;""),COUNTIF(単元06!$H$5:$H$164,"?*")=0),"",COUNTIF(単元06!$H$5:$H$164,設定!$G$8)/COUNTIF(単元06!$H$5:$H$164,"?*"))</f>
        <v/>
      </c>
      <c r="U12" s="122" t="str">
        <f aca="false">IF(OR(NOT(設定!$D$22&lt;&gt;""),COUNTIF(単元06!$H$5:$H$164,"?*")=0),"",COUNTIF(単元06!$H$5:$H$164,設定!$G$10)/COUNTIF(単元06!$H$5:$H$164,"?*"))</f>
        <v/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</row>
    <row r="13" customFormat="false" ht="15" hidden="false" customHeight="false" outlineLevel="0" collapsed="false">
      <c r="A13" s="13"/>
      <c r="B13" s="127" t="s">
        <v>159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58" t="str">
        <f aca="false">IF(設定!$D$23&lt;&gt;"",7,"")</f>
        <v/>
      </c>
      <c r="O13" s="121" t="str">
        <f aca="false">IF(設定!$D$23&lt;&gt;"",設定!$D$23,"")</f>
        <v/>
      </c>
      <c r="P13" s="122" t="str">
        <f aca="false">IF(OR(NOT(設定!$D$23&lt;&gt;""),COUNTIF(単元07!$F$5:$F$164,"?*")=0),"",COUNTIF(単元07!$F$5:$F$164,設定!$G$8)/COUNTIF(単元07!$F$5:$F$164,"?*"))</f>
        <v/>
      </c>
      <c r="Q13" s="122" t="str">
        <f aca="false">IF(OR(NOT(設定!$D$23&lt;&gt;""),COUNTIF(単元07!$F$5:$F$164,"?*")=0),"",COUNTIF(単元07!$F$5:$F$164,設定!$G$10)/COUNTIF(単元07!$F$5:$F$164,"?*"))</f>
        <v/>
      </c>
      <c r="R13" s="122" t="str">
        <f aca="false">IF(OR(NOT(設定!$D$23&lt;&gt;""),COUNTIF(単元07!$G$5:$G$164,"?*")=0),"",COUNTIF(単元07!$G$5:$G$164,設定!$G$8)/COUNTIF(単元07!$G$5:$G$164,"?*"))</f>
        <v/>
      </c>
      <c r="S13" s="122" t="str">
        <f aca="false">IF(OR(NOT(設定!$D$23&lt;&gt;""),COUNTIF(単元07!$G$5:$G$164,"?*")=0),"",COUNTIF(単元07!$G$5:$G$164,設定!$G$10)/COUNTIF(単元07!$G$5:$G$164,"?*"))</f>
        <v/>
      </c>
      <c r="T13" s="122" t="str">
        <f aca="false">IF(OR(NOT(設定!$D$23&lt;&gt;""),COUNTIF(単元07!$H$5:$H$164,"?*")=0),"",COUNTIF(単元07!$H$5:$H$164,設定!$G$8)/COUNTIF(単元07!$H$5:$H$164,"?*"))</f>
        <v/>
      </c>
      <c r="U13" s="122" t="str">
        <f aca="false">IF(OR(NOT(設定!$D$23&lt;&gt;""),COUNTIF(単元07!$H$5:$H$164,"?*")=0),"",COUNTIF(単元07!$H$5:$H$164,設定!$G$10)/COUNTIF(単元07!$H$5:$H$164,"?*"))</f>
        <v/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</row>
    <row r="14" customFormat="false" ht="15" hidden="false" customHeight="false" outlineLevel="0" collapsed="false">
      <c r="A14" s="13"/>
      <c r="B14" s="16" t="s">
        <v>153</v>
      </c>
      <c r="C14" s="110" t="s">
        <v>160</v>
      </c>
      <c r="D14" s="16" t="str">
        <f aca="false">設定!$I$8</f>
        <v>知</v>
      </c>
      <c r="E14" s="16"/>
      <c r="F14" s="16"/>
      <c r="G14" s="116" t="str">
        <f aca="false">設定!$I$9</f>
        <v>思</v>
      </c>
      <c r="H14" s="116"/>
      <c r="I14" s="116"/>
      <c r="J14" s="16" t="str">
        <f aca="false">設定!$I$10</f>
        <v>態</v>
      </c>
      <c r="K14" s="16"/>
      <c r="L14" s="16"/>
      <c r="M14" s="13"/>
      <c r="N14" s="58" t="str">
        <f aca="false">IF(設定!$D$24&lt;&gt;"",8,"")</f>
        <v/>
      </c>
      <c r="O14" s="121" t="str">
        <f aca="false">IF(設定!$D$24&lt;&gt;"",設定!$D$24,"")</f>
        <v/>
      </c>
      <c r="P14" s="122" t="str">
        <f aca="false">IF(OR(NOT(設定!$D$24&lt;&gt;""),COUNTIF(単元08!$F$5:$F$164,"?*")=0),"",COUNTIF(単元08!$F$5:$F$164,設定!$G$8)/COUNTIF(単元08!$F$5:$F$164,"?*"))</f>
        <v/>
      </c>
      <c r="Q14" s="122" t="str">
        <f aca="false">IF(OR(NOT(設定!$D$24&lt;&gt;""),COUNTIF(単元08!$F$5:$F$164,"?*")=0),"",COUNTIF(単元08!$F$5:$F$164,設定!$G$10)/COUNTIF(単元08!$F$5:$F$164,"?*"))</f>
        <v/>
      </c>
      <c r="R14" s="122" t="str">
        <f aca="false">IF(OR(NOT(設定!$D$24&lt;&gt;""),COUNTIF(単元08!$G$5:$G$164,"?*")=0),"",COUNTIF(単元08!$G$5:$G$164,設定!$G$8)/COUNTIF(単元08!$G$5:$G$164,"?*"))</f>
        <v/>
      </c>
      <c r="S14" s="122" t="str">
        <f aca="false">IF(OR(NOT(設定!$D$24&lt;&gt;""),COUNTIF(単元08!$G$5:$G$164,"?*")=0),"",COUNTIF(単元08!$G$5:$G$164,設定!$G$10)/COUNTIF(単元08!$G$5:$G$164,"?*"))</f>
        <v/>
      </c>
      <c r="T14" s="122" t="str">
        <f aca="false">IF(OR(NOT(設定!$D$24&lt;&gt;""),COUNTIF(単元08!$H$5:$H$164,"?*")=0),"",COUNTIF(単元08!$H$5:$H$164,設定!$G$8)/COUNTIF(単元08!$H$5:$H$164,"?*"))</f>
        <v/>
      </c>
      <c r="U14" s="122" t="str">
        <f aca="false">IF(OR(NOT(設定!$D$24&lt;&gt;""),COUNTIF(単元08!$H$5:$H$164,"?*")=0),"",COUNTIF(単元08!$H$5:$H$164,設定!$G$10)/COUNTIF(単元08!$H$5:$H$164,"?*"))</f>
        <v/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</row>
    <row r="15" customFormat="false" ht="15" hidden="false" customHeight="false" outlineLevel="0" collapsed="false">
      <c r="A15" s="13"/>
      <c r="B15" s="16"/>
      <c r="C15" s="16"/>
      <c r="D15" s="102" t="str">
        <f aca="false">設定!$G$8&amp;""</f>
        <v>A</v>
      </c>
      <c r="E15" s="102" t="str">
        <f aca="false">設定!$G$9&amp;""</f>
        <v>B</v>
      </c>
      <c r="F15" s="102" t="str">
        <f aca="false">設定!$G$10&amp;""</f>
        <v>C</v>
      </c>
      <c r="G15" s="102" t="str">
        <f aca="false">設定!$G$8&amp;""</f>
        <v>A</v>
      </c>
      <c r="H15" s="102" t="str">
        <f aca="false">設定!$G$9&amp;""</f>
        <v>B</v>
      </c>
      <c r="I15" s="102" t="str">
        <f aca="false">設定!$G$10&amp;""</f>
        <v>C</v>
      </c>
      <c r="J15" s="102" t="str">
        <f aca="false">設定!$G$8&amp;""</f>
        <v>A</v>
      </c>
      <c r="K15" s="102" t="str">
        <f aca="false">設定!$G$9&amp;""</f>
        <v>B</v>
      </c>
      <c r="L15" s="102" t="str">
        <f aca="false">設定!$G$10&amp;""</f>
        <v>C</v>
      </c>
      <c r="M15" s="13"/>
      <c r="N15" s="58" t="str">
        <f aca="false">IF(設定!$D$25&lt;&gt;"",9,"")</f>
        <v/>
      </c>
      <c r="O15" s="121" t="str">
        <f aca="false">IF(設定!$D$25&lt;&gt;"",設定!$D$25,"")</f>
        <v/>
      </c>
      <c r="P15" s="122" t="str">
        <f aca="false">IF(OR(NOT(設定!$D$25&lt;&gt;""),COUNTIF(単元09!$F$5:$F$164,"?*")=0),"",COUNTIF(単元09!$F$5:$F$164,設定!$G$8)/COUNTIF(単元09!$F$5:$F$164,"?*"))</f>
        <v/>
      </c>
      <c r="Q15" s="122" t="str">
        <f aca="false">IF(OR(NOT(設定!$D$25&lt;&gt;""),COUNTIF(単元09!$F$5:$F$164,"?*")=0),"",COUNTIF(単元09!$F$5:$F$164,設定!$G$10)/COUNTIF(単元09!$F$5:$F$164,"?*"))</f>
        <v/>
      </c>
      <c r="R15" s="122" t="str">
        <f aca="false">IF(OR(NOT(設定!$D$25&lt;&gt;""),COUNTIF(単元09!$G$5:$G$164,"?*")=0),"",COUNTIF(単元09!$G$5:$G$164,設定!$G$8)/COUNTIF(単元09!$G$5:$G$164,"?*"))</f>
        <v/>
      </c>
      <c r="S15" s="122" t="str">
        <f aca="false">IF(OR(NOT(設定!$D$25&lt;&gt;""),COUNTIF(単元09!$G$5:$G$164,"?*")=0),"",COUNTIF(単元09!$G$5:$G$164,設定!$G$10)/COUNTIF(単元09!$G$5:$G$164,"?*"))</f>
        <v/>
      </c>
      <c r="T15" s="122" t="str">
        <f aca="false">IF(OR(NOT(設定!$D$25&lt;&gt;""),COUNTIF(単元09!$H$5:$H$164,"?*")=0),"",COUNTIF(単元09!$H$5:$H$164,設定!$G$8)/COUNTIF(単元09!$H$5:$H$164,"?*"))</f>
        <v/>
      </c>
      <c r="U15" s="122" t="str">
        <f aca="false">IF(OR(NOT(設定!$D$25&lt;&gt;""),COUNTIF(単元09!$H$5:$H$164,"?*")=0),"",COUNTIF(単元09!$H$5:$H$164,設定!$G$10)/COUNTIF(単元09!$H$5:$H$164,"?*"))</f>
        <v/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</row>
    <row r="16" customFormat="false" ht="21.75" hidden="false" customHeight="true" outlineLevel="0" collapsed="false">
      <c r="A16" s="13"/>
      <c r="B16" s="119" t="str">
        <f aca="false">B7</f>
        <v>深める</v>
      </c>
      <c r="C16" s="128" t="n">
        <f aca="false">IF(B7="","",SUM(D7:F7))</f>
        <v>0</v>
      </c>
      <c r="D16" s="129" t="str">
        <f aca="false">IF(OR($B7="",SUM(D7:F7)=0),"",D7/SUM(D7:F7))</f>
        <v/>
      </c>
      <c r="E16" s="129" t="str">
        <f aca="false">IF(OR($B7="",SUM(D7:F7)=0),"",E7/SUM(D7:F7))</f>
        <v/>
      </c>
      <c r="F16" s="129" t="str">
        <f aca="false">IF(OR($B7="",SUM(D7:F7)=0),"",F7/SUM(D7:F7))</f>
        <v/>
      </c>
      <c r="G16" s="129" t="str">
        <f aca="false">IF(OR($B7="",SUM(G7:I7)=0),"",G7/SUM(G7:I7))</f>
        <v/>
      </c>
      <c r="H16" s="129" t="str">
        <f aca="false">IF(OR($B7="",SUM(G7:I7)=0),"",H7/SUM(G7:I7))</f>
        <v/>
      </c>
      <c r="I16" s="129" t="str">
        <f aca="false">IF(OR($B7="",SUM(G7:I7)=0),"",I7/SUM(G7:I7))</f>
        <v/>
      </c>
      <c r="J16" s="129" t="str">
        <f aca="false">IF(OR($B7="",SUM(J7:L7)=0),"",J7/SUM(J7:L7))</f>
        <v/>
      </c>
      <c r="K16" s="129" t="str">
        <f aca="false">IF(OR($B7="",SUM(J7:L7)=0),"",K7/SUM(J7:L7))</f>
        <v/>
      </c>
      <c r="L16" s="129" t="str">
        <f aca="false">IF(OR($B7="",SUM(J7:L7)=0),"",L7/SUM(J7:L7))</f>
        <v/>
      </c>
      <c r="M16" s="13"/>
      <c r="N16" s="58" t="str">
        <f aca="false">IF(設定!$D$26&lt;&gt;"",10,"")</f>
        <v/>
      </c>
      <c r="O16" s="121" t="str">
        <f aca="false">IF(設定!$D$26&lt;&gt;"",設定!$D$26,"")</f>
        <v/>
      </c>
      <c r="P16" s="122" t="str">
        <f aca="false">IF(OR(NOT(設定!$D$26&lt;&gt;""),COUNTIF(単元10!$F$5:$F$164,"?*")=0),"",COUNTIF(単元10!$F$5:$F$164,設定!$G$8)/COUNTIF(単元10!$F$5:$F$164,"?*"))</f>
        <v/>
      </c>
      <c r="Q16" s="122" t="str">
        <f aca="false">IF(OR(NOT(設定!$D$26&lt;&gt;""),COUNTIF(単元10!$F$5:$F$164,"?*")=0),"",COUNTIF(単元10!$F$5:$F$164,設定!$G$10)/COUNTIF(単元10!$F$5:$F$164,"?*"))</f>
        <v/>
      </c>
      <c r="R16" s="122" t="str">
        <f aca="false">IF(OR(NOT(設定!$D$26&lt;&gt;""),COUNTIF(単元10!$G$5:$G$164,"?*")=0),"",COUNTIF(単元10!$G$5:$G$164,設定!$G$8)/COUNTIF(単元10!$G$5:$G$164,"?*"))</f>
        <v/>
      </c>
      <c r="S16" s="122" t="str">
        <f aca="false">IF(OR(NOT(設定!$D$26&lt;&gt;""),COUNTIF(単元10!$G$5:$G$164,"?*")=0),"",COUNTIF(単元10!$G$5:$G$164,設定!$G$10)/COUNTIF(単元10!$G$5:$G$164,"?*"))</f>
        <v/>
      </c>
      <c r="T16" s="122" t="str">
        <f aca="false">IF(OR(NOT(設定!$D$26&lt;&gt;""),COUNTIF(単元10!$H$5:$H$164,"?*")=0),"",COUNTIF(単元10!$H$5:$H$164,設定!$G$8)/COUNTIF(単元10!$H$5:$H$164,"?*"))</f>
        <v/>
      </c>
      <c r="U16" s="122" t="str">
        <f aca="false">IF(OR(NOT(設定!$D$26&lt;&gt;""),COUNTIF(単元10!$H$5:$H$164,"?*")=0),"",COUNTIF(単元10!$H$5:$H$164,設定!$G$10)/COUNTIF(単元10!$H$5:$H$164,"?*"))</f>
        <v/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</row>
    <row r="17" customFormat="false" ht="21.75" hidden="false" customHeight="true" outlineLevel="0" collapsed="false">
      <c r="A17" s="13"/>
      <c r="B17" s="123" t="str">
        <f aca="false">B8</f>
        <v>広げるA</v>
      </c>
      <c r="C17" s="128" t="n">
        <f aca="false">IF(B8="","",SUM(D8:F8))</f>
        <v>0</v>
      </c>
      <c r="D17" s="129" t="str">
        <f aca="false">IF(OR($B8="",SUM(D8:F8)=0),"",D8/SUM(D8:F8))</f>
        <v/>
      </c>
      <c r="E17" s="129" t="str">
        <f aca="false">IF(OR($B8="",SUM(D8:F8)=0),"",E8/SUM(D8:F8))</f>
        <v/>
      </c>
      <c r="F17" s="129" t="str">
        <f aca="false">IF(OR($B8="",SUM(D8:F8)=0),"",F8/SUM(D8:F8))</f>
        <v/>
      </c>
      <c r="G17" s="129" t="str">
        <f aca="false">IF(OR($B8="",SUM(G8:I8)=0),"",G8/SUM(G8:I8))</f>
        <v/>
      </c>
      <c r="H17" s="129" t="str">
        <f aca="false">IF(OR($B8="",SUM(G8:I8)=0),"",H8/SUM(G8:I8))</f>
        <v/>
      </c>
      <c r="I17" s="129" t="str">
        <f aca="false">IF(OR($B8="",SUM(G8:I8)=0),"",I8/SUM(G8:I8))</f>
        <v/>
      </c>
      <c r="J17" s="129" t="str">
        <f aca="false">IF(OR($B8="",SUM(J8:L8)=0),"",J8/SUM(J8:L8))</f>
        <v/>
      </c>
      <c r="K17" s="129" t="str">
        <f aca="false">IF(OR($B8="",SUM(J8:L8)=0),"",K8/SUM(J8:L8))</f>
        <v/>
      </c>
      <c r="L17" s="129" t="str">
        <f aca="false">IF(OR($B8="",SUM(J8:L8)=0),"",L8/SUM(J8:L8))</f>
        <v/>
      </c>
      <c r="M17" s="13"/>
      <c r="N17" s="58" t="str">
        <f aca="false">IF(設定!$D$27&lt;&gt;"",11,"")</f>
        <v/>
      </c>
      <c r="O17" s="121" t="str">
        <f aca="false">IF(設定!$D$27&lt;&gt;"",設定!$D$27,"")</f>
        <v/>
      </c>
      <c r="P17" s="122" t="str">
        <f aca="false">IF(OR(NOT(設定!$D$27&lt;&gt;""),COUNTIF(単元11!$F$5:$F$164,"?*")=0),"",COUNTIF(単元11!$F$5:$F$164,設定!$G$8)/COUNTIF(単元11!$F$5:$F$164,"?*"))</f>
        <v/>
      </c>
      <c r="Q17" s="122" t="str">
        <f aca="false">IF(OR(NOT(設定!$D$27&lt;&gt;""),COUNTIF(単元11!$F$5:$F$164,"?*")=0),"",COUNTIF(単元11!$F$5:$F$164,設定!$G$10)/COUNTIF(単元11!$F$5:$F$164,"?*"))</f>
        <v/>
      </c>
      <c r="R17" s="122" t="str">
        <f aca="false">IF(OR(NOT(設定!$D$27&lt;&gt;""),COUNTIF(単元11!$G$5:$G$164,"?*")=0),"",COUNTIF(単元11!$G$5:$G$164,設定!$G$8)/COUNTIF(単元11!$G$5:$G$164,"?*"))</f>
        <v/>
      </c>
      <c r="S17" s="122" t="str">
        <f aca="false">IF(OR(NOT(設定!$D$27&lt;&gt;""),COUNTIF(単元11!$G$5:$G$164,"?*")=0),"",COUNTIF(単元11!$G$5:$G$164,設定!$G$10)/COUNTIF(単元11!$G$5:$G$164,"?*"))</f>
        <v/>
      </c>
      <c r="T17" s="122" t="str">
        <f aca="false">IF(OR(NOT(設定!$D$27&lt;&gt;""),COUNTIF(単元11!$H$5:$H$164,"?*")=0),"",COUNTIF(単元11!$H$5:$H$164,設定!$G$8)/COUNTIF(単元11!$H$5:$H$164,"?*"))</f>
        <v/>
      </c>
      <c r="U17" s="122" t="str">
        <f aca="false">IF(OR(NOT(設定!$D$27&lt;&gt;""),COUNTIF(単元11!$H$5:$H$164,"?*")=0),"",COUNTIF(単元11!$H$5:$H$164,設定!$G$10)/COUNTIF(単元11!$H$5:$H$164,"?*"))</f>
        <v/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</row>
    <row r="18" customFormat="false" ht="21.75" hidden="false" customHeight="true" outlineLevel="0" collapsed="false">
      <c r="A18" s="13"/>
      <c r="B18" s="124" t="str">
        <f aca="false">B9</f>
        <v>広げるB</v>
      </c>
      <c r="C18" s="128" t="n">
        <f aca="false">IF(B9="","",SUM(D9:F9))</f>
        <v>0</v>
      </c>
      <c r="D18" s="129" t="str">
        <f aca="false">IF(OR($B9="",SUM(D9:F9)=0),"",D9/SUM(D9:F9))</f>
        <v/>
      </c>
      <c r="E18" s="129" t="str">
        <f aca="false">IF(OR($B9="",SUM(D9:F9)=0),"",E9/SUM(D9:F9))</f>
        <v/>
      </c>
      <c r="F18" s="129" t="str">
        <f aca="false">IF(OR($B9="",SUM(D9:F9)=0),"",F9/SUM(D9:F9))</f>
        <v/>
      </c>
      <c r="G18" s="129" t="str">
        <f aca="false">IF(OR($B9="",SUM(G9:I9)=0),"",G9/SUM(G9:I9))</f>
        <v/>
      </c>
      <c r="H18" s="129" t="str">
        <f aca="false">IF(OR($B9="",SUM(G9:I9)=0),"",H9/SUM(G9:I9))</f>
        <v/>
      </c>
      <c r="I18" s="129" t="str">
        <f aca="false">IF(OR($B9="",SUM(G9:I9)=0),"",I9/SUM(G9:I9))</f>
        <v/>
      </c>
      <c r="J18" s="129" t="str">
        <f aca="false">IF(OR($B9="",SUM(J9:L9)=0),"",J9/SUM(J9:L9))</f>
        <v/>
      </c>
      <c r="K18" s="129" t="str">
        <f aca="false">IF(OR($B9="",SUM(J9:L9)=0),"",K9/SUM(J9:L9))</f>
        <v/>
      </c>
      <c r="L18" s="129" t="str">
        <f aca="false">IF(OR($B9="",SUM(J9:L9)=0),"",L9/SUM(J9:L9))</f>
        <v/>
      </c>
      <c r="M18" s="13"/>
      <c r="N18" s="58" t="str">
        <f aca="false">IF(設定!$D$28&lt;&gt;"",12,"")</f>
        <v/>
      </c>
      <c r="O18" s="121" t="str">
        <f aca="false">IF(設定!$D$28&lt;&gt;"",設定!$D$28,"")</f>
        <v/>
      </c>
      <c r="P18" s="122" t="str">
        <f aca="false">IF(OR(NOT(設定!$D$28&lt;&gt;""),COUNTIF(単元12!$F$5:$F$164,"?*")=0),"",COUNTIF(単元12!$F$5:$F$164,設定!$G$8)/COUNTIF(単元12!$F$5:$F$164,"?*"))</f>
        <v/>
      </c>
      <c r="Q18" s="122" t="str">
        <f aca="false">IF(OR(NOT(設定!$D$28&lt;&gt;""),COUNTIF(単元12!$F$5:$F$164,"?*")=0),"",COUNTIF(単元12!$F$5:$F$164,設定!$G$10)/COUNTIF(単元12!$F$5:$F$164,"?*"))</f>
        <v/>
      </c>
      <c r="R18" s="122" t="str">
        <f aca="false">IF(OR(NOT(設定!$D$28&lt;&gt;""),COUNTIF(単元12!$G$5:$G$164,"?*")=0),"",COUNTIF(単元12!$G$5:$G$164,設定!$G$8)/COUNTIF(単元12!$G$5:$G$164,"?*"))</f>
        <v/>
      </c>
      <c r="S18" s="122" t="str">
        <f aca="false">IF(OR(NOT(設定!$D$28&lt;&gt;""),COUNTIF(単元12!$G$5:$G$164,"?*")=0),"",COUNTIF(単元12!$G$5:$G$164,設定!$G$10)/COUNTIF(単元12!$G$5:$G$164,"?*"))</f>
        <v/>
      </c>
      <c r="T18" s="122" t="str">
        <f aca="false">IF(OR(NOT(設定!$D$28&lt;&gt;""),COUNTIF(単元12!$H$5:$H$164,"?*")=0),"",COUNTIF(単元12!$H$5:$H$164,設定!$G$8)/COUNTIF(単元12!$H$5:$H$164,"?*"))</f>
        <v/>
      </c>
      <c r="U18" s="122" t="str">
        <f aca="false">IF(OR(NOT(設定!$D$28&lt;&gt;""),COUNTIF(単元12!$H$5:$H$164,"?*")=0),"",COUNTIF(単元12!$H$5:$H$164,設定!$G$10)/COUNTIF(単元12!$H$5:$H$164,"?*"))</f>
        <v/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</row>
    <row r="19" customFormat="false" ht="21.75" hidden="false" customHeight="true" outlineLevel="0" collapsed="false">
      <c r="A19" s="13"/>
      <c r="B19" s="125" t="str">
        <f aca="false">B10</f>
        <v>かためる</v>
      </c>
      <c r="C19" s="128" t="n">
        <f aca="false">IF(B10="","",SUM(D10:F10))</f>
        <v>0</v>
      </c>
      <c r="D19" s="129" t="str">
        <f aca="false">IF(OR($B10="",SUM(D10:F10)=0),"",D10/SUM(D10:F10))</f>
        <v/>
      </c>
      <c r="E19" s="129" t="str">
        <f aca="false">IF(OR($B10="",SUM(D10:F10)=0),"",E10/SUM(D10:F10))</f>
        <v/>
      </c>
      <c r="F19" s="129" t="str">
        <f aca="false">IF(OR($B10="",SUM(D10:F10)=0),"",F10/SUM(D10:F10))</f>
        <v/>
      </c>
      <c r="G19" s="129" t="str">
        <f aca="false">IF(OR($B10="",SUM(G10:I10)=0),"",G10/SUM(G10:I10))</f>
        <v/>
      </c>
      <c r="H19" s="129" t="str">
        <f aca="false">IF(OR($B10="",SUM(G10:I10)=0),"",H10/SUM(G10:I10))</f>
        <v/>
      </c>
      <c r="I19" s="129" t="str">
        <f aca="false">IF(OR($B10="",SUM(G10:I10)=0),"",I10/SUM(G10:I10))</f>
        <v/>
      </c>
      <c r="J19" s="129" t="str">
        <f aca="false">IF(OR($B10="",SUM(J10:L10)=0),"",J10/SUM(J10:L10))</f>
        <v/>
      </c>
      <c r="K19" s="129" t="str">
        <f aca="false">IF(OR($B10="",SUM(J10:L10)=0),"",K10/SUM(J10:L10))</f>
        <v/>
      </c>
      <c r="L19" s="129" t="str">
        <f aca="false">IF(OR($B10="",SUM(J10:L10)=0),"",L10/SUM(J10:L10))</f>
        <v/>
      </c>
      <c r="M19" s="13"/>
      <c r="N19" s="58" t="str">
        <f aca="false">IF(設定!$D$29&lt;&gt;"",13,"")</f>
        <v/>
      </c>
      <c r="O19" s="121" t="str">
        <f aca="false">IF(設定!$D$29&lt;&gt;"",設定!$D$29,"")</f>
        <v/>
      </c>
      <c r="P19" s="122" t="str">
        <f aca="false">IF(OR(NOT(設定!$D$29&lt;&gt;""),COUNTIF(単元13!$F$5:$F$164,"?*")=0),"",COUNTIF(単元13!$F$5:$F$164,設定!$G$8)/COUNTIF(単元13!$F$5:$F$164,"?*"))</f>
        <v/>
      </c>
      <c r="Q19" s="122" t="str">
        <f aca="false">IF(OR(NOT(設定!$D$29&lt;&gt;""),COUNTIF(単元13!$F$5:$F$164,"?*")=0),"",COUNTIF(単元13!$F$5:$F$164,設定!$G$10)/COUNTIF(単元13!$F$5:$F$164,"?*"))</f>
        <v/>
      </c>
      <c r="R19" s="122" t="str">
        <f aca="false">IF(OR(NOT(設定!$D$29&lt;&gt;""),COUNTIF(単元13!$G$5:$G$164,"?*")=0),"",COUNTIF(単元13!$G$5:$G$164,設定!$G$8)/COUNTIF(単元13!$G$5:$G$164,"?*"))</f>
        <v/>
      </c>
      <c r="S19" s="122" t="str">
        <f aca="false">IF(OR(NOT(設定!$D$29&lt;&gt;""),COUNTIF(単元13!$G$5:$G$164,"?*")=0),"",COUNTIF(単元13!$G$5:$G$164,設定!$G$10)/COUNTIF(単元13!$G$5:$G$164,"?*"))</f>
        <v/>
      </c>
      <c r="T19" s="122" t="str">
        <f aca="false">IF(OR(NOT(設定!$D$29&lt;&gt;""),COUNTIF(単元13!$H$5:$H$164,"?*")=0),"",COUNTIF(単元13!$H$5:$H$164,設定!$G$8)/COUNTIF(単元13!$H$5:$H$164,"?*"))</f>
        <v/>
      </c>
      <c r="U19" s="122" t="str">
        <f aca="false">IF(OR(NOT(設定!$D$29&lt;&gt;""),COUNTIF(単元13!$H$5:$H$164,"?*")=0),"",COUNTIF(単元13!$H$5:$H$164,設定!$G$10)/COUNTIF(単元13!$H$5:$H$164,"?*"))</f>
        <v/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</row>
    <row r="20" customFormat="false" ht="21.75" hidden="false" customHeight="true" outlineLevel="0" collapsed="false">
      <c r="A20" s="13"/>
      <c r="B20" s="126" t="str">
        <f aca="false">B11</f>
        <v/>
      </c>
      <c r="C20" s="128" t="str">
        <f aca="false">IF(B11="","",SUM(D11:F11))</f>
        <v/>
      </c>
      <c r="D20" s="129" t="str">
        <f aca="false">IF(OR($B11="",SUM(D11:F11)=0),"",D11/SUM(D11:F11))</f>
        <v/>
      </c>
      <c r="E20" s="129" t="str">
        <f aca="false">IF(OR($B11="",SUM(D11:F11)=0),"",E11/SUM(D11:F11))</f>
        <v/>
      </c>
      <c r="F20" s="129" t="str">
        <f aca="false">IF(OR($B11="",SUM(D11:F11)=0),"",F11/SUM(D11:F11))</f>
        <v/>
      </c>
      <c r="G20" s="129" t="str">
        <f aca="false">IF(OR($B11="",SUM(G11:I11)=0),"",G11/SUM(G11:I11))</f>
        <v/>
      </c>
      <c r="H20" s="129" t="str">
        <f aca="false">IF(OR($B11="",SUM(G11:I11)=0),"",H11/SUM(G11:I11))</f>
        <v/>
      </c>
      <c r="I20" s="129" t="str">
        <f aca="false">IF(OR($B11="",SUM(G11:I11)=0),"",I11/SUM(G11:I11))</f>
        <v/>
      </c>
      <c r="J20" s="129" t="str">
        <f aca="false">IF(OR($B11="",SUM(J11:L11)=0),"",J11/SUM(J11:L11))</f>
        <v/>
      </c>
      <c r="K20" s="129" t="str">
        <f aca="false">IF(OR($B11="",SUM(J11:L11)=0),"",K11/SUM(J11:L11))</f>
        <v/>
      </c>
      <c r="L20" s="129" t="str">
        <f aca="false">IF(OR($B11="",SUM(J11:L11)=0),"",L11/SUM(J11:L11))</f>
        <v/>
      </c>
      <c r="M20" s="13"/>
      <c r="N20" s="58" t="str">
        <f aca="false">IF(設定!$D$30&lt;&gt;"",14,"")</f>
        <v/>
      </c>
      <c r="O20" s="121" t="str">
        <f aca="false">IF(設定!$D$30&lt;&gt;"",設定!$D$30,"")</f>
        <v/>
      </c>
      <c r="P20" s="122" t="str">
        <f aca="false">IF(OR(NOT(設定!$D$30&lt;&gt;""),COUNTIF(単元14!$F$5:$F$164,"?*")=0),"",COUNTIF(単元14!$F$5:$F$164,設定!$G$8)/COUNTIF(単元14!$F$5:$F$164,"?*"))</f>
        <v/>
      </c>
      <c r="Q20" s="122" t="str">
        <f aca="false">IF(OR(NOT(設定!$D$30&lt;&gt;""),COUNTIF(単元14!$F$5:$F$164,"?*")=0),"",COUNTIF(単元14!$F$5:$F$164,設定!$G$10)/COUNTIF(単元14!$F$5:$F$164,"?*"))</f>
        <v/>
      </c>
      <c r="R20" s="122" t="str">
        <f aca="false">IF(OR(NOT(設定!$D$30&lt;&gt;""),COUNTIF(単元14!$G$5:$G$164,"?*")=0),"",COUNTIF(単元14!$G$5:$G$164,設定!$G$8)/COUNTIF(単元14!$G$5:$G$164,"?*"))</f>
        <v/>
      </c>
      <c r="S20" s="122" t="str">
        <f aca="false">IF(OR(NOT(設定!$D$30&lt;&gt;""),COUNTIF(単元14!$G$5:$G$164,"?*")=0),"",COUNTIF(単元14!$G$5:$G$164,設定!$G$10)/COUNTIF(単元14!$G$5:$G$164,"?*"))</f>
        <v/>
      </c>
      <c r="T20" s="122" t="str">
        <f aca="false">IF(OR(NOT(設定!$D$30&lt;&gt;""),COUNTIF(単元14!$H$5:$H$164,"?*")=0),"",COUNTIF(単元14!$H$5:$H$164,設定!$G$8)/COUNTIF(単元14!$H$5:$H$164,"?*"))</f>
        <v/>
      </c>
      <c r="U20" s="122" t="str">
        <f aca="false">IF(OR(NOT(設定!$D$30&lt;&gt;""),COUNTIF(単元14!$H$5:$H$164,"?*")=0),"",COUNTIF(単元14!$H$5:$H$164,設定!$G$10)/COUNTIF(単元14!$H$5:$H$164,"?*"))</f>
        <v/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</row>
    <row r="21" customFormat="false" ht="21.75" hidden="false" customHeight="true" outlineLevel="0" collapsed="false">
      <c r="A21" s="13"/>
      <c r="B21" s="44" t="str">
        <f aca="false">B12</f>
        <v>全体</v>
      </c>
      <c r="C21" s="128" t="n">
        <f aca="false">IF(B12="","",SUM(D12:F12))</f>
        <v>0</v>
      </c>
      <c r="D21" s="129" t="str">
        <f aca="false">IF(OR($B12="",SUM(D12:F12)=0),"",D12/SUM(D12:F12))</f>
        <v/>
      </c>
      <c r="E21" s="129" t="str">
        <f aca="false">IF(OR($B12="",SUM(D12:F12)=0),"",E12/SUM(D12:F12))</f>
        <v/>
      </c>
      <c r="F21" s="129" t="str">
        <f aca="false">IF(OR($B12="",SUM(D12:F12)=0),"",F12/SUM(D12:F12))</f>
        <v/>
      </c>
      <c r="G21" s="129" t="str">
        <f aca="false">IF(OR($B12="",SUM(G12:I12)=0),"",G12/SUM(G12:I12))</f>
        <v/>
      </c>
      <c r="H21" s="129" t="str">
        <f aca="false">IF(OR($B12="",SUM(G12:I12)=0),"",H12/SUM(G12:I12))</f>
        <v/>
      </c>
      <c r="I21" s="129" t="str">
        <f aca="false">IF(OR($B12="",SUM(G12:I12)=0),"",I12/SUM(G12:I12))</f>
        <v/>
      </c>
      <c r="J21" s="129" t="str">
        <f aca="false">IF(OR($B12="",SUM(J12:L12)=0),"",J12/SUM(J12:L12))</f>
        <v/>
      </c>
      <c r="K21" s="129" t="str">
        <f aca="false">IF(OR($B12="",SUM(J12:L12)=0),"",K12/SUM(J12:L12))</f>
        <v/>
      </c>
      <c r="L21" s="129" t="str">
        <f aca="false">IF(OR($B12="",SUM(J12:L12)=0),"",L12/SUM(J12:L12))</f>
        <v/>
      </c>
      <c r="M21" s="13"/>
      <c r="N21" s="58" t="str">
        <f aca="false">IF(設定!$D$31&lt;&gt;"",15,"")</f>
        <v/>
      </c>
      <c r="O21" s="121" t="str">
        <f aca="false">IF(設定!$D$31&lt;&gt;"",設定!$D$31,"")</f>
        <v/>
      </c>
      <c r="P21" s="122" t="str">
        <f aca="false">IF(OR(NOT(設定!$D$31&lt;&gt;""),COUNTIF(単元15!$F$5:$F$164,"?*")=0),"",COUNTIF(単元15!$F$5:$F$164,設定!$G$8)/COUNTIF(単元15!$F$5:$F$164,"?*"))</f>
        <v/>
      </c>
      <c r="Q21" s="122" t="str">
        <f aca="false">IF(OR(NOT(設定!$D$31&lt;&gt;""),COUNTIF(単元15!$F$5:$F$164,"?*")=0),"",COUNTIF(単元15!$F$5:$F$164,設定!$G$10)/COUNTIF(単元15!$F$5:$F$164,"?*"))</f>
        <v/>
      </c>
      <c r="R21" s="122" t="str">
        <f aca="false">IF(OR(NOT(設定!$D$31&lt;&gt;""),COUNTIF(単元15!$G$5:$G$164,"?*")=0),"",COUNTIF(単元15!$G$5:$G$164,設定!$G$8)/COUNTIF(単元15!$G$5:$G$164,"?*"))</f>
        <v/>
      </c>
      <c r="S21" s="122" t="str">
        <f aca="false">IF(OR(NOT(設定!$D$31&lt;&gt;""),COUNTIF(単元15!$G$5:$G$164,"?*")=0),"",COUNTIF(単元15!$G$5:$G$164,設定!$G$10)/COUNTIF(単元15!$G$5:$G$164,"?*"))</f>
        <v/>
      </c>
      <c r="T21" s="122" t="str">
        <f aca="false">IF(OR(NOT(設定!$D$31&lt;&gt;""),COUNTIF(単元15!$H$5:$H$164,"?*")=0),"",COUNTIF(単元15!$H$5:$H$164,設定!$G$8)/COUNTIF(単元15!$H$5:$H$164,"?*"))</f>
        <v/>
      </c>
      <c r="U21" s="122" t="str">
        <f aca="false">IF(OR(NOT(設定!$D$31&lt;&gt;""),COUNTIF(単元15!$H$5:$H$164,"?*")=0),"",COUNTIF(単元15!$H$5:$H$164,設定!$G$10)/COUNTIF(単元15!$H$5:$H$164,"?*"))</f>
        <v/>
      </c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</row>
    <row r="22" customFormat="false" ht="15" hidden="false" customHeight="false" outlineLevel="0" collapsed="false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58" t="str">
        <f aca="false">IF(設定!$D$32&lt;&gt;"",16,"")</f>
        <v/>
      </c>
      <c r="O22" s="121" t="str">
        <f aca="false">IF(設定!$D$32&lt;&gt;"",設定!$D$32,"")</f>
        <v/>
      </c>
      <c r="P22" s="122" t="str">
        <f aca="false">IF(OR(NOT(設定!$D$32&lt;&gt;""),COUNTIF(単元16!$F$5:$F$164,"?*")=0),"",COUNTIF(単元16!$F$5:$F$164,設定!$G$8)/COUNTIF(単元16!$F$5:$F$164,"?*"))</f>
        <v/>
      </c>
      <c r="Q22" s="122" t="str">
        <f aca="false">IF(OR(NOT(設定!$D$32&lt;&gt;""),COUNTIF(単元16!$F$5:$F$164,"?*")=0),"",COUNTIF(単元16!$F$5:$F$164,設定!$G$10)/COUNTIF(単元16!$F$5:$F$164,"?*"))</f>
        <v/>
      </c>
      <c r="R22" s="122" t="str">
        <f aca="false">IF(OR(NOT(設定!$D$32&lt;&gt;""),COUNTIF(単元16!$G$5:$G$164,"?*")=0),"",COUNTIF(単元16!$G$5:$G$164,設定!$G$8)/COUNTIF(単元16!$G$5:$G$164,"?*"))</f>
        <v/>
      </c>
      <c r="S22" s="122" t="str">
        <f aca="false">IF(OR(NOT(設定!$D$32&lt;&gt;""),COUNTIF(単元16!$G$5:$G$164,"?*")=0),"",COUNTIF(単元16!$G$5:$G$164,設定!$G$10)/COUNTIF(単元16!$G$5:$G$164,"?*"))</f>
        <v/>
      </c>
      <c r="T22" s="122" t="str">
        <f aca="false">IF(OR(NOT(設定!$D$32&lt;&gt;""),COUNTIF(単元16!$H$5:$H$164,"?*")=0),"",COUNTIF(単元16!$H$5:$H$164,設定!$G$8)/COUNTIF(単元16!$H$5:$H$164,"?*"))</f>
        <v/>
      </c>
      <c r="U22" s="122" t="str">
        <f aca="false">IF(OR(NOT(設定!$D$32&lt;&gt;""),COUNTIF(単元16!$H$5:$H$164,"?*")=0),"",COUNTIF(単元16!$H$5:$H$164,設定!$G$10)/COUNTIF(単元16!$H$5:$H$164,"?*"))</f>
        <v/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</row>
    <row r="23" customFormat="false" ht="15" hidden="false" customHeight="false" outlineLevel="0" collapsed="false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58" t="str">
        <f aca="false">IF(設定!$D$33&lt;&gt;"",17,"")</f>
        <v/>
      </c>
      <c r="O23" s="121" t="str">
        <f aca="false">IF(設定!$D$33&lt;&gt;"",設定!$D$33,"")</f>
        <v/>
      </c>
      <c r="P23" s="122" t="str">
        <f aca="false">IF(OR(NOT(設定!$D$33&lt;&gt;""),COUNTIF(単元17!$F$5:$F$164,"?*")=0),"",COUNTIF(単元17!$F$5:$F$164,設定!$G$8)/COUNTIF(単元17!$F$5:$F$164,"?*"))</f>
        <v/>
      </c>
      <c r="Q23" s="122" t="str">
        <f aca="false">IF(OR(NOT(設定!$D$33&lt;&gt;""),COUNTIF(単元17!$F$5:$F$164,"?*")=0),"",COUNTIF(単元17!$F$5:$F$164,設定!$G$10)/COUNTIF(単元17!$F$5:$F$164,"?*"))</f>
        <v/>
      </c>
      <c r="R23" s="122" t="str">
        <f aca="false">IF(OR(NOT(設定!$D$33&lt;&gt;""),COUNTIF(単元17!$G$5:$G$164,"?*")=0),"",COUNTIF(単元17!$G$5:$G$164,設定!$G$8)/COUNTIF(単元17!$G$5:$G$164,"?*"))</f>
        <v/>
      </c>
      <c r="S23" s="122" t="str">
        <f aca="false">IF(OR(NOT(設定!$D$33&lt;&gt;""),COUNTIF(単元17!$G$5:$G$164,"?*")=0),"",COUNTIF(単元17!$G$5:$G$164,設定!$G$10)/COUNTIF(単元17!$G$5:$G$164,"?*"))</f>
        <v/>
      </c>
      <c r="T23" s="122" t="str">
        <f aca="false">IF(OR(NOT(設定!$D$33&lt;&gt;""),COUNTIF(単元17!$H$5:$H$164,"?*")=0),"",COUNTIF(単元17!$H$5:$H$164,設定!$G$8)/COUNTIF(単元17!$H$5:$H$164,"?*"))</f>
        <v/>
      </c>
      <c r="U23" s="122" t="str">
        <f aca="false">IF(OR(NOT(設定!$D$33&lt;&gt;""),COUNTIF(単元17!$H$5:$H$164,"?*")=0),"",COUNTIF(単元17!$H$5:$H$164,設定!$G$10)/COUNTIF(単元17!$H$5:$H$164,"?*"))</f>
        <v/>
      </c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</row>
    <row r="24" customFormat="false" ht="15" hidden="false" customHeight="false" outlineLevel="0" collapsed="false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58" t="str">
        <f aca="false">IF(設定!$D$34&lt;&gt;"",18,"")</f>
        <v/>
      </c>
      <c r="O24" s="121" t="str">
        <f aca="false">IF(設定!$D$34&lt;&gt;"",設定!$D$34,"")</f>
        <v/>
      </c>
      <c r="P24" s="122" t="str">
        <f aca="false">IF(OR(NOT(設定!$D$34&lt;&gt;""),COUNTIF(単元18!$F$5:$F$164,"?*")=0),"",COUNTIF(単元18!$F$5:$F$164,設定!$G$8)/COUNTIF(単元18!$F$5:$F$164,"?*"))</f>
        <v/>
      </c>
      <c r="Q24" s="122" t="str">
        <f aca="false">IF(OR(NOT(設定!$D$34&lt;&gt;""),COUNTIF(単元18!$F$5:$F$164,"?*")=0),"",COUNTIF(単元18!$F$5:$F$164,設定!$G$10)/COUNTIF(単元18!$F$5:$F$164,"?*"))</f>
        <v/>
      </c>
      <c r="R24" s="122" t="str">
        <f aca="false">IF(OR(NOT(設定!$D$34&lt;&gt;""),COUNTIF(単元18!$G$5:$G$164,"?*")=0),"",COUNTIF(単元18!$G$5:$G$164,設定!$G$8)/COUNTIF(単元18!$G$5:$G$164,"?*"))</f>
        <v/>
      </c>
      <c r="S24" s="122" t="str">
        <f aca="false">IF(OR(NOT(設定!$D$34&lt;&gt;""),COUNTIF(単元18!$G$5:$G$164,"?*")=0),"",COUNTIF(単元18!$G$5:$G$164,設定!$G$10)/COUNTIF(単元18!$G$5:$G$164,"?*"))</f>
        <v/>
      </c>
      <c r="T24" s="122" t="str">
        <f aca="false">IF(OR(NOT(設定!$D$34&lt;&gt;""),COUNTIF(単元18!$H$5:$H$164,"?*")=0),"",COUNTIF(単元18!$H$5:$H$164,設定!$G$8)/COUNTIF(単元18!$H$5:$H$164,"?*"))</f>
        <v/>
      </c>
      <c r="U24" s="122" t="str">
        <f aca="false">IF(OR(NOT(設定!$D$34&lt;&gt;""),COUNTIF(単元18!$H$5:$H$164,"?*")=0),"",COUNTIF(単元18!$H$5:$H$164,設定!$G$10)/COUNTIF(単元18!$H$5:$H$164,"?*"))</f>
        <v/>
      </c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</row>
    <row r="25" customFormat="false" ht="15" hidden="false" customHeight="false" outlineLevel="0" collapsed="false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58" t="str">
        <f aca="false">IF(設定!$D$35&lt;&gt;"",19,"")</f>
        <v/>
      </c>
      <c r="O25" s="121" t="str">
        <f aca="false">IF(設定!$D$35&lt;&gt;"",設定!$D$35,"")</f>
        <v/>
      </c>
      <c r="P25" s="122" t="str">
        <f aca="false">IF(OR(NOT(設定!$D$35&lt;&gt;""),COUNTIF(単元19!$F$5:$F$164,"?*")=0),"",COUNTIF(単元19!$F$5:$F$164,設定!$G$8)/COUNTIF(単元19!$F$5:$F$164,"?*"))</f>
        <v/>
      </c>
      <c r="Q25" s="122" t="str">
        <f aca="false">IF(OR(NOT(設定!$D$35&lt;&gt;""),COUNTIF(単元19!$F$5:$F$164,"?*")=0),"",COUNTIF(単元19!$F$5:$F$164,設定!$G$10)/COUNTIF(単元19!$F$5:$F$164,"?*"))</f>
        <v/>
      </c>
      <c r="R25" s="122" t="str">
        <f aca="false">IF(OR(NOT(設定!$D$35&lt;&gt;""),COUNTIF(単元19!$G$5:$G$164,"?*")=0),"",COUNTIF(単元19!$G$5:$G$164,設定!$G$8)/COUNTIF(単元19!$G$5:$G$164,"?*"))</f>
        <v/>
      </c>
      <c r="S25" s="122" t="str">
        <f aca="false">IF(OR(NOT(設定!$D$35&lt;&gt;""),COUNTIF(単元19!$G$5:$G$164,"?*")=0),"",COUNTIF(単元19!$G$5:$G$164,設定!$G$10)/COUNTIF(単元19!$G$5:$G$164,"?*"))</f>
        <v/>
      </c>
      <c r="T25" s="122" t="str">
        <f aca="false">IF(OR(NOT(設定!$D$35&lt;&gt;""),COUNTIF(単元19!$H$5:$H$164,"?*")=0),"",COUNTIF(単元19!$H$5:$H$164,設定!$G$8)/COUNTIF(単元19!$H$5:$H$164,"?*"))</f>
        <v/>
      </c>
      <c r="U25" s="122" t="str">
        <f aca="false">IF(OR(NOT(設定!$D$35&lt;&gt;""),COUNTIF(単元19!$H$5:$H$164,"?*")=0),"",COUNTIF(単元19!$H$5:$H$164,設定!$G$10)/COUNTIF(単元19!$H$5:$H$164,"?*"))</f>
        <v/>
      </c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</row>
    <row r="26" customFormat="false" ht="15" hidden="false" customHeight="false" outlineLevel="0" collapsed="false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58" t="str">
        <f aca="false">IF(設定!$D$36&lt;&gt;"",20,"")</f>
        <v/>
      </c>
      <c r="O26" s="121" t="str">
        <f aca="false">IF(設定!$D$36&lt;&gt;"",設定!$D$36,"")</f>
        <v/>
      </c>
      <c r="P26" s="122" t="str">
        <f aca="false">IF(OR(NOT(設定!$D$36&lt;&gt;""),COUNTIF(単元20!$F$5:$F$164,"?*")=0),"",COUNTIF(単元20!$F$5:$F$164,設定!$G$8)/COUNTIF(単元20!$F$5:$F$164,"?*"))</f>
        <v/>
      </c>
      <c r="Q26" s="122" t="str">
        <f aca="false">IF(OR(NOT(設定!$D$36&lt;&gt;""),COUNTIF(単元20!$F$5:$F$164,"?*")=0),"",COUNTIF(単元20!$F$5:$F$164,設定!$G$10)/COUNTIF(単元20!$F$5:$F$164,"?*"))</f>
        <v/>
      </c>
      <c r="R26" s="122" t="str">
        <f aca="false">IF(OR(NOT(設定!$D$36&lt;&gt;""),COUNTIF(単元20!$G$5:$G$164,"?*")=0),"",COUNTIF(単元20!$G$5:$G$164,設定!$G$8)/COUNTIF(単元20!$G$5:$G$164,"?*"))</f>
        <v/>
      </c>
      <c r="S26" s="122" t="str">
        <f aca="false">IF(OR(NOT(設定!$D$36&lt;&gt;""),COUNTIF(単元20!$G$5:$G$164,"?*")=0),"",COUNTIF(単元20!$G$5:$G$164,設定!$G$10)/COUNTIF(単元20!$G$5:$G$164,"?*"))</f>
        <v/>
      </c>
      <c r="T26" s="122" t="str">
        <f aca="false">IF(OR(NOT(設定!$D$36&lt;&gt;""),COUNTIF(単元20!$H$5:$H$164,"?*")=0),"",COUNTIF(単元20!$H$5:$H$164,設定!$G$8)/COUNTIF(単元20!$H$5:$H$164,"?*"))</f>
        <v/>
      </c>
      <c r="U26" s="122" t="str">
        <f aca="false">IF(OR(NOT(設定!$D$36&lt;&gt;""),COUNTIF(単元20!$H$5:$H$164,"?*")=0),"",COUNTIF(単元20!$H$5:$H$164,設定!$G$10)/COUNTIF(単元20!$H$5:$H$164,"?*"))</f>
        <v/>
      </c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</row>
    <row r="27" customFormat="false" ht="15" hidden="false" customHeight="false" outlineLevel="0" collapsed="false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</row>
    <row r="28" customFormat="false" ht="15" hidden="false" customHeight="false" outlineLevel="0" collapsed="false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</row>
    <row r="29" customFormat="false" ht="15" hidden="false" customHeight="false" outlineLevel="0" collapsed="false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09" t="s">
        <v>161</v>
      </c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</row>
    <row r="30" customFormat="false" ht="15" hidden="false" customHeight="false" outlineLevel="0" collapsed="false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6" t="s">
        <v>153</v>
      </c>
      <c r="O30" s="16"/>
      <c r="P30" s="130" t="str">
        <f aca="false">設定!$I$8</f>
        <v>知</v>
      </c>
      <c r="Q30" s="130" t="str">
        <f aca="false">設定!$I$9</f>
        <v>思</v>
      </c>
      <c r="R30" s="131" t="s">
        <v>162</v>
      </c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</row>
    <row r="31" customFormat="false" ht="15" hidden="false" customHeight="false" outlineLevel="0" collapsed="false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2" t="str">
        <f aca="false">$B$7</f>
        <v>深める</v>
      </c>
      <c r="O31" s="132"/>
      <c r="P31" s="129" t="str">
        <f aca="true">IFERROR(IF($B$7="","",AVERAGEIFS(INDIRECT($AZ$1&amp;"$R$5:$R$164"),INDIRECT($AZ$1&amp;"$E$5:$E$164"),$B$7)/IF(INDIRECT($AZ$1&amp;"$R$2")="",100,INDIRECT($AZ$1&amp;"$R$2"))),"")</f>
        <v/>
      </c>
      <c r="Q31" s="129" t="str">
        <f aca="true">IFERROR(IF($B$7="","",AVERAGEIFS(INDIRECT($AZ$1&amp;"$S$5:$S$164"),INDIRECT($AZ$1&amp;"$E$5:$E$164"),$B$7)/IF(INDIRECT($AZ$1&amp;"$S$2")="",100,INDIRECT($AZ$1&amp;"$S$2"))),"")</f>
        <v/>
      </c>
      <c r="R31" s="128" t="n">
        <f aca="true">IF($B$7="","",COUNTIFS(INDIRECT($AZ$1&amp;"$E$5:$E$164"),$B$7,INDIRECT($AZ$1&amp;"$R$5:$R$164"),"&lt;&gt;"))</f>
        <v>0</v>
      </c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</row>
    <row r="32" customFormat="false" ht="15" hidden="false" customHeight="false" outlineLevel="0" collapsed="fals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3" t="str">
        <f aca="false">$B$8</f>
        <v>広げるA</v>
      </c>
      <c r="O32" s="133"/>
      <c r="P32" s="129" t="str">
        <f aca="true">IFERROR(IF($B$8="","",AVERAGEIFS(INDIRECT($AZ$1&amp;"$R$5:$R$164"),INDIRECT($AZ$1&amp;"$E$5:$E$164"),$B$8)/IF(INDIRECT($AZ$1&amp;"$R$2")="",100,INDIRECT($AZ$1&amp;"$R$2"))),"")</f>
        <v/>
      </c>
      <c r="Q32" s="129" t="str">
        <f aca="true">IFERROR(IF($B$8="","",AVERAGEIFS(INDIRECT($AZ$1&amp;"$S$5:$S$164"),INDIRECT($AZ$1&amp;"$E$5:$E$164"),$B$8)/IF(INDIRECT($AZ$1&amp;"$S$2")="",100,INDIRECT($AZ$1&amp;"$S$2"))),"")</f>
        <v/>
      </c>
      <c r="R32" s="128" t="n">
        <f aca="true">IF($B$8="","",COUNTIFS(INDIRECT($AZ$1&amp;"$E$5:$E$164"),$B$8,INDIRECT($AZ$1&amp;"$R$5:$R$164"),"&lt;&gt;"))</f>
        <v>0</v>
      </c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</row>
    <row r="33" customFormat="false" ht="15" hidden="false" customHeight="false" outlineLevel="0" collapsed="fals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4" t="str">
        <f aca="false">$B$9</f>
        <v>広げるB</v>
      </c>
      <c r="O33" s="134"/>
      <c r="P33" s="129" t="str">
        <f aca="true">IFERROR(IF($B$9="","",AVERAGEIFS(INDIRECT($AZ$1&amp;"$R$5:$R$164"),INDIRECT($AZ$1&amp;"$E$5:$E$164"),$B$9)/IF(INDIRECT($AZ$1&amp;"$R$2")="",100,INDIRECT($AZ$1&amp;"$R$2"))),"")</f>
        <v/>
      </c>
      <c r="Q33" s="129" t="str">
        <f aca="true">IFERROR(IF($B$9="","",AVERAGEIFS(INDIRECT($AZ$1&amp;"$S$5:$S$164"),INDIRECT($AZ$1&amp;"$E$5:$E$164"),$B$9)/IF(INDIRECT($AZ$1&amp;"$S$2")="",100,INDIRECT($AZ$1&amp;"$S$2"))),"")</f>
        <v/>
      </c>
      <c r="R33" s="128" t="n">
        <f aca="true">IF($B$9="","",COUNTIFS(INDIRECT($AZ$1&amp;"$E$5:$E$164"),$B$9,INDIRECT($AZ$1&amp;"$R$5:$R$164"),"&lt;&gt;"))</f>
        <v>0</v>
      </c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</row>
    <row r="34" customFormat="false" ht="15" hidden="false" customHeight="false" outlineLevel="0" collapsed="fals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5" t="str">
        <f aca="false">$B$10</f>
        <v>かためる</v>
      </c>
      <c r="O34" s="135"/>
      <c r="P34" s="129" t="str">
        <f aca="true">IFERROR(IF($B$10="","",AVERAGEIFS(INDIRECT($AZ$1&amp;"$R$5:$R$164"),INDIRECT($AZ$1&amp;"$E$5:$E$164"),$B$10)/IF(INDIRECT($AZ$1&amp;"$R$2")="",100,INDIRECT($AZ$1&amp;"$R$2"))),"")</f>
        <v/>
      </c>
      <c r="Q34" s="129" t="str">
        <f aca="true">IFERROR(IF($B$10="","",AVERAGEIFS(INDIRECT($AZ$1&amp;"$S$5:$S$164"),INDIRECT($AZ$1&amp;"$E$5:$E$164"),$B$10)/IF(INDIRECT($AZ$1&amp;"$S$2")="",100,INDIRECT($AZ$1&amp;"$S$2"))),"")</f>
        <v/>
      </c>
      <c r="R34" s="128" t="n">
        <f aca="true">IF($B$10="","",COUNTIFS(INDIRECT($AZ$1&amp;"$E$5:$E$164"),$B$10,INDIRECT($AZ$1&amp;"$R$5:$R$164"),"&lt;&gt;"))</f>
        <v>0</v>
      </c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</row>
    <row r="35" customFormat="false" ht="15" hidden="false" customHeight="false" outlineLevel="0" collapsed="fals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6" t="str">
        <f aca="false">$B$11</f>
        <v/>
      </c>
      <c r="O35" s="136"/>
      <c r="P35" s="129" t="str">
        <f aca="true">IFERROR(IF($B$11="","",AVERAGEIFS(INDIRECT($AZ$1&amp;"$R$5:$R$164"),INDIRECT($AZ$1&amp;"$E$5:$E$164"),$B$11)/IF(INDIRECT($AZ$1&amp;"$R$2")="",100,INDIRECT($AZ$1&amp;"$R$2"))),"")</f>
        <v/>
      </c>
      <c r="Q35" s="129" t="str">
        <f aca="true">IFERROR(IF($B$11="","",AVERAGEIFS(INDIRECT($AZ$1&amp;"$S$5:$S$164"),INDIRECT($AZ$1&amp;"$E$5:$E$164"),$B$11)/IF(INDIRECT($AZ$1&amp;"$S$2")="",100,INDIRECT($AZ$1&amp;"$S$2"))),"")</f>
        <v/>
      </c>
      <c r="R35" s="128" t="str">
        <f aca="true">IF($B$11="","",COUNTIFS(INDIRECT($AZ$1&amp;"$E$5:$E$164"),$B$11,INDIRECT($AZ$1&amp;"$R$5:$R$164"),"&lt;&gt;"))</f>
        <v/>
      </c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</row>
    <row r="36" customFormat="false" ht="15" hidden="false" customHeight="false" outlineLevel="0" collapsed="fals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7" t="s">
        <v>158</v>
      </c>
      <c r="O36" s="137"/>
      <c r="P36" s="129" t="str">
        <f aca="true">IFERROR(IF("x"="","",AVERAGEIFS(INDIRECT($AZ$1&amp;"$R$5:$R$164"),INDIRECT($AZ$1&amp;"$E$5:$E$164"),"?*")/IF(INDIRECT($AZ$1&amp;"$R$2")="",100,INDIRECT($AZ$1&amp;"$R$2"))),"")</f>
        <v/>
      </c>
      <c r="Q36" s="129" t="str">
        <f aca="true">IFERROR(IF("x"="","",AVERAGEIFS(INDIRECT($AZ$1&amp;"$S$5:$S$164"),INDIRECT($AZ$1&amp;"$E$5:$E$164"),"?*")/IF(INDIRECT($AZ$1&amp;"$S$2")="",100,INDIRECT($AZ$1&amp;"$S$2"))),"")</f>
        <v/>
      </c>
      <c r="R36" s="128" t="n">
        <f aca="true">IF("x"="","",COUNTIFS(INDIRECT($AZ$1&amp;"$E$5:$E$164"),"?*",INDIRECT($AZ$1&amp;"$R$5:$R$164"),"&lt;&gt;"))</f>
        <v>0</v>
      </c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</row>
    <row r="37" customFormat="false" ht="15" hidden="false" customHeight="false" outlineLevel="0" collapsed="fals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4" t="s">
        <v>163</v>
      </c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</row>
  </sheetData>
  <sheetProtection sheet="true" formatColumns="false" formatRows="false"/>
  <mergeCells count="24">
    <mergeCell ref="A1:L1"/>
    <mergeCell ref="C2:L2"/>
    <mergeCell ref="B5:B6"/>
    <mergeCell ref="C5:C6"/>
    <mergeCell ref="D5:F5"/>
    <mergeCell ref="G5:I5"/>
    <mergeCell ref="J5:L5"/>
    <mergeCell ref="N5:N6"/>
    <mergeCell ref="O5:O6"/>
    <mergeCell ref="P5:Q5"/>
    <mergeCell ref="R5:S5"/>
    <mergeCell ref="T5:U5"/>
    <mergeCell ref="B14:B15"/>
    <mergeCell ref="C14:C15"/>
    <mergeCell ref="D14:F14"/>
    <mergeCell ref="G14:I14"/>
    <mergeCell ref="J14:L14"/>
    <mergeCell ref="N30:O30"/>
    <mergeCell ref="N31:O31"/>
    <mergeCell ref="N32:O32"/>
    <mergeCell ref="N33:O33"/>
    <mergeCell ref="N34:O34"/>
    <mergeCell ref="N35:O35"/>
    <mergeCell ref="N36:O36"/>
  </mergeCells>
  <conditionalFormatting sqref="B7:L11">
    <cfRule type="expression" priority="2" aboveAverage="0" equalAverage="0" bottom="0" percent="0" rank="0" text="" dxfId="32">
      <formula>$B7=""</formula>
    </cfRule>
  </conditionalFormatting>
  <conditionalFormatting sqref="B16:L20">
    <cfRule type="expression" priority="3" aboveAverage="0" equalAverage="0" bottom="0" percent="0" rank="0" text="" dxfId="32">
      <formula>$B16=""</formula>
    </cfRule>
  </conditionalFormatting>
  <conditionalFormatting sqref="D16:D21">
    <cfRule type="expression" priority="4" aboveAverage="0" equalAverage="0" bottom="0" percent="0" rank="0" text="" dxfId="33">
      <formula>AND(D16&lt;&gt;"",D16&gt;=0.5)</formula>
    </cfRule>
  </conditionalFormatting>
  <conditionalFormatting sqref="F16:F21">
    <cfRule type="expression" priority="5" aboveAverage="0" equalAverage="0" bottom="0" percent="0" rank="0" text="" dxfId="12">
      <formula>AND(F16&lt;&gt;"",F16&gt;=0.2)</formula>
    </cfRule>
  </conditionalFormatting>
  <conditionalFormatting sqref="G16:G21">
    <cfRule type="expression" priority="6" aboveAverage="0" equalAverage="0" bottom="0" percent="0" rank="0" text="" dxfId="33">
      <formula>AND(G16&lt;&gt;"",G16&gt;=0.5)</formula>
    </cfRule>
  </conditionalFormatting>
  <conditionalFormatting sqref="I16:I21">
    <cfRule type="expression" priority="7" aboveAverage="0" equalAverage="0" bottom="0" percent="0" rank="0" text="" dxfId="12">
      <formula>AND(I16&lt;&gt;"",I16&gt;=0.2)</formula>
    </cfRule>
  </conditionalFormatting>
  <conditionalFormatting sqref="J16:J21">
    <cfRule type="expression" priority="8" aboveAverage="0" equalAverage="0" bottom="0" percent="0" rank="0" text="" dxfId="33">
      <formula>AND(J16&lt;&gt;"",J16&gt;=0.5)</formula>
    </cfRule>
  </conditionalFormatting>
  <conditionalFormatting sqref="L16:L21">
    <cfRule type="expression" priority="9" aboveAverage="0" equalAverage="0" bottom="0" percent="0" rank="0" text="" dxfId="12">
      <formula>AND(L16&lt;&gt;"",L16&gt;=0.2)</formula>
    </cfRule>
  </conditionalFormatting>
  <conditionalFormatting sqref="N7:U26">
    <cfRule type="expression" priority="10" aboveAverage="0" equalAverage="0" bottom="0" percent="0" rank="0" text="" dxfId="8">
      <formula>$O7&lt;&gt;""</formula>
    </cfRule>
  </conditionalFormatting>
  <conditionalFormatting sqref="N31:R35">
    <cfRule type="expression" priority="11" aboveAverage="0" equalAverage="0" bottom="0" percent="0" rank="0" text="" dxfId="32">
      <formula>$N31=""</formula>
    </cfRule>
  </conditionalFormatting>
  <dataValidations count="1">
    <dataValidation allowBlank="false" error="一覧から選んでください。" errorStyle="stop" errorTitle="入力エラー" operator="between" showDropDown="false" showErrorMessage="true" showInputMessage="false" sqref="B2" type="list">
      <formula1>"1,2,3,4,5,6,7,8,9,10,11,12,13,14,15,16,17,18,19,20"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U16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5"/>
    <col collapsed="false" customWidth="true" hidden="false" outlineLevel="0" max="3" min="3" style="0" width="17"/>
    <col collapsed="false" customWidth="true" hidden="false" outlineLevel="0" max="4" min="4" style="0" width="11"/>
    <col collapsed="false" customWidth="true" hidden="false" outlineLevel="0" max="5" min="5" style="0" width="12"/>
    <col collapsed="false" customWidth="true" hidden="false" outlineLevel="0" max="8" min="6" style="0" width="6"/>
    <col collapsed="false" customWidth="true" hidden="false" outlineLevel="0" max="9" min="9" style="0" width="55"/>
    <col collapsed="false" customWidth="true" hidden="true" outlineLevel="0" max="10" min="10" style="0" width="3"/>
    <col collapsed="false" customWidth="true" hidden="false" outlineLevel="0" max="11" min="11" style="0" width="5"/>
    <col collapsed="false" customWidth="true" hidden="false" outlineLevel="0" max="12" min="12" style="0" width="14"/>
    <col collapsed="false" customWidth="true" hidden="false" outlineLevel="0" max="13" min="13" style="0" width="13"/>
    <col collapsed="false" customWidth="true" hidden="false" outlineLevel="0" max="14" min="14" style="0" width="7"/>
    <col collapsed="false" customWidth="true" hidden="false" outlineLevel="0" max="15" min="15" style="0" width="2"/>
    <col collapsed="false" customWidth="true" hidden="false" outlineLevel="0" max="16" min="16" style="0" width="9"/>
    <col collapsed="false" customWidth="true" hidden="false" outlineLevel="0" max="17" min="17" style="0" width="12"/>
    <col collapsed="false" customWidth="true" hidden="false" outlineLevel="0" max="19" min="18" style="0" width="7"/>
    <col collapsed="false" customWidth="true" hidden="false" outlineLevel="0" max="21" min="20" style="0" width="6"/>
  </cols>
  <sheetData>
    <row r="1" customFormat="false" ht="33.75" hidden="false" customHeight="true" outlineLevel="0" collapsed="false">
      <c r="A1" s="14" t="str">
        <f aca="false">"単元1　"&amp;IF(設定!$D$17="","（設定シートで単元名を入力）",設定!$D$17)&amp;IF(設定!$C$17="","","　／　"&amp;設定!$C$17&amp;IF(ISNUMBER(設定!$C$17),"学期",""))</f>
        <v>単元1　（設定シートで単元名を入力）</v>
      </c>
      <c r="B1" s="14"/>
      <c r="C1" s="14"/>
      <c r="D1" s="14"/>
      <c r="E1" s="14"/>
      <c r="F1" s="14"/>
      <c r="G1" s="14"/>
      <c r="H1" s="14"/>
      <c r="I1" s="14"/>
      <c r="J1" s="13"/>
      <c r="K1" s="13"/>
      <c r="L1" s="16" t="s">
        <v>153</v>
      </c>
      <c r="M1" s="16" t="s">
        <v>68</v>
      </c>
      <c r="N1" s="16" t="s">
        <v>128</v>
      </c>
      <c r="O1" s="13"/>
      <c r="P1" s="13"/>
      <c r="Q1" s="13"/>
      <c r="R1" s="131" t="s">
        <v>154</v>
      </c>
      <c r="S1" s="131"/>
      <c r="T1" s="131"/>
      <c r="U1" s="131"/>
    </row>
    <row r="2" customFormat="false" ht="25.5" hidden="false" customHeight="true" outlineLevel="0" collapsed="false">
      <c r="A2" s="16" t="s">
        <v>131</v>
      </c>
      <c r="B2" s="16"/>
      <c r="C2" s="138" t="s">
        <v>164</v>
      </c>
      <c r="D2" s="139" t="str">
        <f aca="false">IF($C$2="習熟度別","← D列「コース」で一人ずつ選びます",IF($C$2="前の単元と同じ","← 前の単元のコースをそのまま使います","← 在籍学級のまま分かれます"))</f>
        <v>← D列「コース」で一人ずつ選びます</v>
      </c>
      <c r="E2" s="139"/>
      <c r="F2" s="139"/>
      <c r="G2" s="139"/>
      <c r="H2" s="139"/>
      <c r="I2" s="139"/>
      <c r="J2" s="13"/>
      <c r="K2" s="13"/>
      <c r="L2" s="119" t="str">
        <f aca="false">IF($C$2="学級ごと",IF(設定!$B$8="","",設定!$B$8&amp;""),IF(設定!$D$8="","",設定!$D$8&amp;""))</f>
        <v>深める</v>
      </c>
      <c r="M2" s="39"/>
      <c r="N2" s="140" t="n">
        <f aca="false">IF($L2="","",COUNTIF($E$5:$E$164,$L2))</f>
        <v>0</v>
      </c>
      <c r="O2" s="13"/>
      <c r="P2" s="13"/>
      <c r="Q2" s="13"/>
      <c r="R2" s="141" t="n">
        <v>100</v>
      </c>
      <c r="S2" s="141" t="n">
        <v>100</v>
      </c>
      <c r="T2" s="142" t="s">
        <v>165</v>
      </c>
      <c r="U2" s="142"/>
    </row>
    <row r="3" customFormat="false" ht="17.15" hidden="false" customHeight="false" outlineLevel="0" collapsed="false">
      <c r="A3" s="4" t="s">
        <v>166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23" t="str">
        <f aca="false">IF($C$2="学級ごと",IF(設定!$B$9="","",設定!$B$9&amp;""),IF(設定!$D$9="","",設定!$D$9&amp;""))</f>
        <v>広げるA</v>
      </c>
      <c r="M3" s="39"/>
      <c r="N3" s="140" t="n">
        <f aca="false">IF($L3="","",COUNTIF($E$5:$E$164,$L3))</f>
        <v>0</v>
      </c>
      <c r="O3" s="13"/>
      <c r="P3" s="143" t="s">
        <v>167</v>
      </c>
      <c r="Q3" s="13"/>
      <c r="R3" s="144" t="s">
        <v>168</v>
      </c>
      <c r="S3" s="13"/>
      <c r="T3" s="13"/>
      <c r="U3" s="13"/>
    </row>
    <row r="4" customFormat="false" ht="30" hidden="false" customHeight="true" outlineLevel="0" collapsed="false">
      <c r="A4" s="16" t="s">
        <v>121</v>
      </c>
      <c r="B4" s="16" t="s">
        <v>122</v>
      </c>
      <c r="C4" s="16" t="s">
        <v>123</v>
      </c>
      <c r="D4" s="145" t="s">
        <v>153</v>
      </c>
      <c r="E4" s="16" t="s">
        <v>169</v>
      </c>
      <c r="F4" s="146" t="str">
        <f aca="false">設定!$I$8</f>
        <v>知</v>
      </c>
      <c r="G4" s="146" t="str">
        <f aca="false">設定!$I$9</f>
        <v>思</v>
      </c>
      <c r="H4" s="146" t="str">
        <f aca="false">設定!$I$10</f>
        <v>態</v>
      </c>
      <c r="I4" s="146" t="s">
        <v>107</v>
      </c>
      <c r="J4" s="16"/>
      <c r="K4" s="110" t="s">
        <v>170</v>
      </c>
      <c r="L4" s="124" t="str">
        <f aca="false">IF($C$2="学級ごと",IF(設定!$B$10="","",設定!$B$10&amp;""),IF(設定!$D$10="","",設定!$D$10&amp;""))</f>
        <v>広げるB</v>
      </c>
      <c r="M4" s="39"/>
      <c r="N4" s="140" t="n">
        <f aca="false">IF($L4="","",COUNTIF($E$5:$E$164,$L4))</f>
        <v>0</v>
      </c>
      <c r="O4" s="13"/>
      <c r="P4" s="147" t="s">
        <v>171</v>
      </c>
      <c r="Q4" s="147" t="s">
        <v>172</v>
      </c>
      <c r="R4" s="131" t="str">
        <f aca="false">設定!$I$8&amp;"得点"</f>
        <v>知得点</v>
      </c>
      <c r="S4" s="131" t="str">
        <f aca="false">設定!$I$9&amp;"得点"</f>
        <v>思得点</v>
      </c>
      <c r="T4" s="148" t="str">
        <f aca="false">設定!$I$8&amp;"目安"</f>
        <v>知目安</v>
      </c>
      <c r="U4" s="148" t="str">
        <f aca="false">設定!$I$9&amp;"目安"</f>
        <v>思目安</v>
      </c>
    </row>
    <row r="5" customFormat="false" ht="21" hidden="false" customHeight="true" outlineLevel="0" collapsed="false">
      <c r="A5" s="91" t="str">
        <f aca="false">IF(名簿!$D5="","",名簿!$B5&amp;"")</f>
        <v/>
      </c>
      <c r="B5" s="91" t="str">
        <f aca="false">IF(名簿!$D5="","",名簿!$C5)</f>
        <v/>
      </c>
      <c r="C5" s="59" t="str">
        <f aca="false">IF(名簿!$D5="","",名簿!$D5&amp;IF(名簿!$F5="転出","（転出）",""))</f>
        <v/>
      </c>
      <c r="D5" s="149"/>
      <c r="E5" s="61" t="str">
        <f aca="false">IF(OR($C5="",名簿!$F5="転出"),"",IF($C$2="学級ごと",$A5,$D5&amp;""))</f>
        <v/>
      </c>
      <c r="F5" s="150"/>
      <c r="G5" s="150"/>
      <c r="H5" s="150"/>
      <c r="I5" s="151"/>
      <c r="J5" s="41" t="str">
        <f aca="false">IF($E5="","",$E5&amp;"|"&amp;COUNTIF($E$5:$E5,$E5))</f>
        <v/>
      </c>
      <c r="K5" s="40" t="str">
        <f aca="false">IF($I5="","",LEN($I5))</f>
        <v/>
      </c>
      <c r="L5" s="125" t="str">
        <f aca="false">IF($C$2="学級ごと",IF(設定!$B$11="","",設定!$B$11&amp;""),IF(設定!$D$11="","",設定!$D$11&amp;""))</f>
        <v>かためる</v>
      </c>
      <c r="M5" s="39"/>
      <c r="N5" s="140" t="n">
        <f aca="false">IF($L5="","",COUNTIF($E$5:$E$164,$L5))</f>
        <v>0</v>
      </c>
      <c r="O5" s="13"/>
      <c r="P5" s="152"/>
      <c r="Q5" s="149"/>
      <c r="R5" s="152"/>
      <c r="S5" s="152"/>
      <c r="T5" s="62" t="str">
        <f aca="false">IF(OR($C5="",R5=""),"",IF(R5/IF($R$2="",100,$R$2)&gt;=設定!$I$28,設定!$G$8,IF(R5/IF($R$2="",100,$R$2)&lt;設定!$I$29,設定!$G$10,設定!$G$9)))</f>
        <v/>
      </c>
      <c r="U5" s="62" t="str">
        <f aca="false">IF(OR($C5="",S5=""),"",IF(S5/IF($S$2="",100,$S$2)&gt;=設定!$I$28,設定!$G$8,IF(S5/IF($S$2="",100,$S$2)&lt;設定!$I$29,設定!$G$10,設定!$G$9)))</f>
        <v/>
      </c>
    </row>
    <row r="6" customFormat="false" ht="21" hidden="false" customHeight="true" outlineLevel="0" collapsed="false">
      <c r="A6" s="91" t="str">
        <f aca="false">IF(名簿!$D6="","",名簿!$B6&amp;"")</f>
        <v/>
      </c>
      <c r="B6" s="91" t="str">
        <f aca="false">IF(名簿!$D6="","",名簿!$C6)</f>
        <v/>
      </c>
      <c r="C6" s="59" t="str">
        <f aca="false">IF(名簿!$D6="","",名簿!$D6&amp;IF(名簿!$F6="転出","（転出）",""))</f>
        <v/>
      </c>
      <c r="D6" s="149"/>
      <c r="E6" s="61" t="str">
        <f aca="false">IF(OR($C6="",名簿!$F6="転出"),"",IF($C$2="学級ごと",$A6,$D6&amp;""))</f>
        <v/>
      </c>
      <c r="F6" s="150"/>
      <c r="G6" s="150"/>
      <c r="H6" s="150"/>
      <c r="I6" s="151"/>
      <c r="J6" s="41" t="str">
        <f aca="false">IF($E6="","",$E6&amp;"|"&amp;COUNTIF($E$5:$E6,$E6))</f>
        <v/>
      </c>
      <c r="K6" s="40" t="str">
        <f aca="false">IF($I6="","",LEN($I6))</f>
        <v/>
      </c>
      <c r="L6" s="126" t="str">
        <f aca="false">IF($C$2="学級ごと",IF(設定!$B$12="","",設定!$B$12&amp;""),IF(設定!$D$12="","",設定!$D$12&amp;""))</f>
        <v/>
      </c>
      <c r="M6" s="39"/>
      <c r="N6" s="153" t="str">
        <f aca="false">IF($L6="","",COUNTIF($E$5:$E$164,$L6))</f>
        <v/>
      </c>
      <c r="O6" s="13"/>
      <c r="P6" s="152"/>
      <c r="Q6" s="149"/>
      <c r="R6" s="152"/>
      <c r="S6" s="152"/>
      <c r="T6" s="62" t="str">
        <f aca="false">IF(OR($C6="",R6=""),"",IF(R6/IF($R$2="",100,$R$2)&gt;=設定!$I$28,設定!$G$8,IF(R6/IF($R$2="",100,$R$2)&lt;設定!$I$29,設定!$G$10,設定!$G$9)))</f>
        <v/>
      </c>
      <c r="U6" s="62" t="str">
        <f aca="false">IF(OR($C6="",S6=""),"",IF(S6/IF($S$2="",100,$S$2)&gt;=設定!$I$28,設定!$G$8,IF(S6/IF($S$2="",100,$S$2)&lt;設定!$I$29,設定!$G$10,設定!$G$9)))</f>
        <v/>
      </c>
    </row>
    <row r="7" customFormat="false" ht="21" hidden="false" customHeight="true" outlineLevel="0" collapsed="false">
      <c r="A7" s="91" t="str">
        <f aca="false">IF(名簿!$D7="","",名簿!$B7&amp;"")</f>
        <v/>
      </c>
      <c r="B7" s="91" t="str">
        <f aca="false">IF(名簿!$D7="","",名簿!$C7)</f>
        <v/>
      </c>
      <c r="C7" s="59" t="str">
        <f aca="false">IF(名簿!$D7="","",名簿!$D7&amp;IF(名簿!$F7="転出","（転出）",""))</f>
        <v/>
      </c>
      <c r="D7" s="149"/>
      <c r="E7" s="61" t="str">
        <f aca="false">IF(OR($C7="",名簿!$F7="転出"),"",IF($C$2="学級ごと",$A7,$D7&amp;""))</f>
        <v/>
      </c>
      <c r="F7" s="150"/>
      <c r="G7" s="150"/>
      <c r="H7" s="150"/>
      <c r="I7" s="151"/>
      <c r="J7" s="41" t="str">
        <f aca="false">IF($E7="","",$E7&amp;"|"&amp;COUNTIF($E$5:$E7,$E7))</f>
        <v/>
      </c>
      <c r="K7" s="40" t="str">
        <f aca="false">IF($I7="","",LEN($I7))</f>
        <v/>
      </c>
      <c r="L7" s="154" t="s">
        <v>133</v>
      </c>
      <c r="M7" s="155" t="s">
        <v>173</v>
      </c>
      <c r="N7" s="156" t="n">
        <f aca="false">SUMPRODUCT(($C$5:$C$164&lt;&gt;"")*(名簿!$F$5:$F$164&lt;&gt;"転出")*($E$5:$E$164=""))</f>
        <v>0</v>
      </c>
      <c r="O7" s="13"/>
      <c r="P7" s="152"/>
      <c r="Q7" s="149"/>
      <c r="R7" s="152"/>
      <c r="S7" s="152"/>
      <c r="T7" s="62" t="str">
        <f aca="false">IF(OR($C7="",R7=""),"",IF(R7/IF($R$2="",100,$R$2)&gt;=設定!$I$28,設定!$G$8,IF(R7/IF($R$2="",100,$R$2)&lt;設定!$I$29,設定!$G$10,設定!$G$9)))</f>
        <v/>
      </c>
      <c r="U7" s="62" t="str">
        <f aca="false">IF(OR($C7="",S7=""),"",IF(S7/IF($S$2="",100,$S$2)&gt;=設定!$I$28,設定!$G$8,IF(S7/IF($S$2="",100,$S$2)&lt;設定!$I$29,設定!$G$10,設定!$G$9)))</f>
        <v/>
      </c>
    </row>
    <row r="8" customFormat="false" ht="21" hidden="false" customHeight="true" outlineLevel="0" collapsed="false">
      <c r="A8" s="91" t="str">
        <f aca="false">IF(名簿!$D8="","",名簿!$B8&amp;"")</f>
        <v/>
      </c>
      <c r="B8" s="91" t="str">
        <f aca="false">IF(名簿!$D8="","",名簿!$C8)</f>
        <v/>
      </c>
      <c r="C8" s="59" t="str">
        <f aca="false">IF(名簿!$D8="","",名簿!$D8&amp;IF(名簿!$F8="転出","（転出）",""))</f>
        <v/>
      </c>
      <c r="D8" s="149"/>
      <c r="E8" s="61" t="str">
        <f aca="false">IF(OR($C8="",名簿!$F8="転出"),"",IF($C$2="学級ごと",$A8,$D8&amp;""))</f>
        <v/>
      </c>
      <c r="F8" s="150"/>
      <c r="G8" s="150"/>
      <c r="H8" s="150"/>
      <c r="I8" s="151"/>
      <c r="J8" s="41" t="str">
        <f aca="false">IF($E8="","",$E8&amp;"|"&amp;COUNTIF($E$5:$E8,$E8))</f>
        <v/>
      </c>
      <c r="K8" s="40" t="str">
        <f aca="false">IF($I8="","",LEN($I8))</f>
        <v/>
      </c>
      <c r="L8" s="157" t="s">
        <v>174</v>
      </c>
      <c r="M8" s="158" t="s">
        <v>175</v>
      </c>
      <c r="N8" s="159" t="n">
        <f aca="false">SUMPRODUCT(($E$5:$E$164&lt;&gt;"")*(($F$5:$F$164="")+($G$5:$G$164="")+($H$5:$H$164="")&gt;0))</f>
        <v>0</v>
      </c>
      <c r="O8" s="13"/>
      <c r="P8" s="152"/>
      <c r="Q8" s="149"/>
      <c r="R8" s="152"/>
      <c r="S8" s="152"/>
      <c r="T8" s="62" t="str">
        <f aca="false">IF(OR($C8="",R8=""),"",IF(R8/IF($R$2="",100,$R$2)&gt;=設定!$I$28,設定!$G$8,IF(R8/IF($R$2="",100,$R$2)&lt;設定!$I$29,設定!$G$10,設定!$G$9)))</f>
        <v/>
      </c>
      <c r="U8" s="62" t="str">
        <f aca="false">IF(OR($C8="",S8=""),"",IF(S8/IF($S$2="",100,$S$2)&gt;=設定!$I$28,設定!$G$8,IF(S8/IF($S$2="",100,$S$2)&lt;設定!$I$29,設定!$G$10,設定!$G$9)))</f>
        <v/>
      </c>
    </row>
    <row r="9" customFormat="false" ht="21" hidden="false" customHeight="true" outlineLevel="0" collapsed="false">
      <c r="A9" s="91" t="str">
        <f aca="false">IF(名簿!$D9="","",名簿!$B9&amp;"")</f>
        <v/>
      </c>
      <c r="B9" s="91" t="str">
        <f aca="false">IF(名簿!$D9="","",名簿!$C9)</f>
        <v/>
      </c>
      <c r="C9" s="59" t="str">
        <f aca="false">IF(名簿!$D9="","",名簿!$D9&amp;IF(名簿!$F9="転出","（転出）",""))</f>
        <v/>
      </c>
      <c r="D9" s="149"/>
      <c r="E9" s="61" t="str">
        <f aca="false">IF(OR($C9="",名簿!$F9="転出"),"",IF($C$2="学級ごと",$A9,$D9&amp;""))</f>
        <v/>
      </c>
      <c r="F9" s="150"/>
      <c r="G9" s="150"/>
      <c r="H9" s="150"/>
      <c r="I9" s="151"/>
      <c r="J9" s="41" t="str">
        <f aca="false">IF($E9="","",$E9&amp;"|"&amp;COUNTIF($E$5:$E9,$E9))</f>
        <v/>
      </c>
      <c r="K9" s="40" t="str">
        <f aca="false">IF($I9="","",LEN($I9))</f>
        <v/>
      </c>
      <c r="L9" s="13"/>
      <c r="M9" s="13"/>
      <c r="N9" s="13"/>
      <c r="O9" s="13"/>
      <c r="P9" s="152"/>
      <c r="Q9" s="149"/>
      <c r="R9" s="152"/>
      <c r="S9" s="152"/>
      <c r="T9" s="62" t="str">
        <f aca="false">IF(OR($C9="",R9=""),"",IF(R9/IF($R$2="",100,$R$2)&gt;=設定!$I$28,設定!$G$8,IF(R9/IF($R$2="",100,$R$2)&lt;設定!$I$29,設定!$G$10,設定!$G$9)))</f>
        <v/>
      </c>
      <c r="U9" s="62" t="str">
        <f aca="false">IF(OR($C9="",S9=""),"",IF(S9/IF($S$2="",100,$S$2)&gt;=設定!$I$28,設定!$G$8,IF(S9/IF($S$2="",100,$S$2)&lt;設定!$I$29,設定!$G$10,設定!$G$9)))</f>
        <v/>
      </c>
    </row>
    <row r="10" customFormat="false" ht="21" hidden="false" customHeight="true" outlineLevel="0" collapsed="false">
      <c r="A10" s="91" t="str">
        <f aca="false">IF(名簿!$D10="","",名簿!$B10&amp;"")</f>
        <v/>
      </c>
      <c r="B10" s="91" t="str">
        <f aca="false">IF(名簿!$D10="","",名簿!$C10)</f>
        <v/>
      </c>
      <c r="C10" s="59" t="str">
        <f aca="false">IF(名簿!$D10="","",名簿!$D10&amp;IF(名簿!$F10="転出","（転出）",""))</f>
        <v/>
      </c>
      <c r="D10" s="149"/>
      <c r="E10" s="61" t="str">
        <f aca="false">IF(OR($C10="",名簿!$F10="転出"),"",IF($C$2="学級ごと",$A10,$D10&amp;""))</f>
        <v/>
      </c>
      <c r="F10" s="150"/>
      <c r="G10" s="150"/>
      <c r="H10" s="150"/>
      <c r="I10" s="151"/>
      <c r="J10" s="41" t="str">
        <f aca="false">IF($E10="","",$E10&amp;"|"&amp;COUNTIF($E$5:$E10,$E10))</f>
        <v/>
      </c>
      <c r="K10" s="40" t="str">
        <f aca="false">IF($I10="","",LEN($I10))</f>
        <v/>
      </c>
      <c r="L10" s="13"/>
      <c r="M10" s="13"/>
      <c r="N10" s="13"/>
      <c r="O10" s="13"/>
      <c r="P10" s="152"/>
      <c r="Q10" s="149"/>
      <c r="R10" s="152"/>
      <c r="S10" s="152"/>
      <c r="T10" s="62" t="str">
        <f aca="false">IF(OR($C10="",R10=""),"",IF(R10/IF($R$2="",100,$R$2)&gt;=設定!$I$28,設定!$G$8,IF(R10/IF($R$2="",100,$R$2)&lt;設定!$I$29,設定!$G$10,設定!$G$9)))</f>
        <v/>
      </c>
      <c r="U10" s="62" t="str">
        <f aca="false">IF(OR($C10="",S10=""),"",IF(S10/IF($S$2="",100,$S$2)&gt;=設定!$I$28,設定!$G$8,IF(S10/IF($S$2="",100,$S$2)&lt;設定!$I$29,設定!$G$10,設定!$G$9)))</f>
        <v/>
      </c>
    </row>
    <row r="11" customFormat="false" ht="21" hidden="false" customHeight="true" outlineLevel="0" collapsed="false">
      <c r="A11" s="91" t="str">
        <f aca="false">IF(名簿!$D11="","",名簿!$B11&amp;"")</f>
        <v/>
      </c>
      <c r="B11" s="91" t="str">
        <f aca="false">IF(名簿!$D11="","",名簿!$C11)</f>
        <v/>
      </c>
      <c r="C11" s="59" t="str">
        <f aca="false">IF(名簿!$D11="","",名簿!$D11&amp;IF(名簿!$F11="転出","（転出）",""))</f>
        <v/>
      </c>
      <c r="D11" s="149"/>
      <c r="E11" s="61" t="str">
        <f aca="false">IF(OR($C11="",名簿!$F11="転出"),"",IF($C$2="学級ごと",$A11,$D11&amp;""))</f>
        <v/>
      </c>
      <c r="F11" s="150"/>
      <c r="G11" s="150"/>
      <c r="H11" s="150"/>
      <c r="I11" s="151"/>
      <c r="J11" s="41" t="str">
        <f aca="false">IF($E11="","",$E11&amp;"|"&amp;COUNTIF($E$5:$E11,$E11))</f>
        <v/>
      </c>
      <c r="K11" s="40" t="str">
        <f aca="false">IF($I11="","",LEN($I11))</f>
        <v/>
      </c>
      <c r="L11" s="13"/>
      <c r="M11" s="13"/>
      <c r="N11" s="13"/>
      <c r="O11" s="13"/>
      <c r="P11" s="152"/>
      <c r="Q11" s="149"/>
      <c r="R11" s="152"/>
      <c r="S11" s="152"/>
      <c r="T11" s="62" t="str">
        <f aca="false">IF(OR($C11="",R11=""),"",IF(R11/IF($R$2="",100,$R$2)&gt;=設定!$I$28,設定!$G$8,IF(R11/IF($R$2="",100,$R$2)&lt;設定!$I$29,設定!$G$10,設定!$G$9)))</f>
        <v/>
      </c>
      <c r="U11" s="62" t="str">
        <f aca="false">IF(OR($C11="",S11=""),"",IF(S11/IF($S$2="",100,$S$2)&gt;=設定!$I$28,設定!$G$8,IF(S11/IF($S$2="",100,$S$2)&lt;設定!$I$29,設定!$G$10,設定!$G$9)))</f>
        <v/>
      </c>
    </row>
    <row r="12" customFormat="false" ht="21" hidden="false" customHeight="true" outlineLevel="0" collapsed="false">
      <c r="A12" s="91" t="str">
        <f aca="false">IF(名簿!$D12="","",名簿!$B12&amp;"")</f>
        <v/>
      </c>
      <c r="B12" s="91" t="str">
        <f aca="false">IF(名簿!$D12="","",名簿!$C12)</f>
        <v/>
      </c>
      <c r="C12" s="59" t="str">
        <f aca="false">IF(名簿!$D12="","",名簿!$D12&amp;IF(名簿!$F12="転出","（転出）",""))</f>
        <v/>
      </c>
      <c r="D12" s="149"/>
      <c r="E12" s="61" t="str">
        <f aca="false">IF(OR($C12="",名簿!$F12="転出"),"",IF($C$2="学級ごと",$A12,$D12&amp;""))</f>
        <v/>
      </c>
      <c r="F12" s="150"/>
      <c r="G12" s="150"/>
      <c r="H12" s="150"/>
      <c r="I12" s="151"/>
      <c r="J12" s="41" t="str">
        <f aca="false">IF($E12="","",$E12&amp;"|"&amp;COUNTIF($E$5:$E12,$E12))</f>
        <v/>
      </c>
      <c r="K12" s="40" t="str">
        <f aca="false">IF($I12="","",LEN($I12))</f>
        <v/>
      </c>
      <c r="L12" s="13"/>
      <c r="M12" s="13"/>
      <c r="N12" s="13"/>
      <c r="O12" s="13"/>
      <c r="P12" s="152"/>
      <c r="Q12" s="149"/>
      <c r="R12" s="152"/>
      <c r="S12" s="152"/>
      <c r="T12" s="62" t="str">
        <f aca="false">IF(OR($C12="",R12=""),"",IF(R12/IF($R$2="",100,$R$2)&gt;=設定!$I$28,設定!$G$8,IF(R12/IF($R$2="",100,$R$2)&lt;設定!$I$29,設定!$G$10,設定!$G$9)))</f>
        <v/>
      </c>
      <c r="U12" s="62" t="str">
        <f aca="false">IF(OR($C12="",S12=""),"",IF(S12/IF($S$2="",100,$S$2)&gt;=設定!$I$28,設定!$G$8,IF(S12/IF($S$2="",100,$S$2)&lt;設定!$I$29,設定!$G$10,設定!$G$9)))</f>
        <v/>
      </c>
    </row>
    <row r="13" customFormat="false" ht="21" hidden="false" customHeight="true" outlineLevel="0" collapsed="false">
      <c r="A13" s="91" t="str">
        <f aca="false">IF(名簿!$D13="","",名簿!$B13&amp;"")</f>
        <v/>
      </c>
      <c r="B13" s="91" t="str">
        <f aca="false">IF(名簿!$D13="","",名簿!$C13)</f>
        <v/>
      </c>
      <c r="C13" s="59" t="str">
        <f aca="false">IF(名簿!$D13="","",名簿!$D13&amp;IF(名簿!$F13="転出","（転出）",""))</f>
        <v/>
      </c>
      <c r="D13" s="149"/>
      <c r="E13" s="61" t="str">
        <f aca="false">IF(OR($C13="",名簿!$F13="転出"),"",IF($C$2="学級ごと",$A13,$D13&amp;""))</f>
        <v/>
      </c>
      <c r="F13" s="150"/>
      <c r="G13" s="150"/>
      <c r="H13" s="150"/>
      <c r="I13" s="151"/>
      <c r="J13" s="41" t="str">
        <f aca="false">IF($E13="","",$E13&amp;"|"&amp;COUNTIF($E$5:$E13,$E13))</f>
        <v/>
      </c>
      <c r="K13" s="40" t="str">
        <f aca="false">IF($I13="","",LEN($I13))</f>
        <v/>
      </c>
      <c r="L13" s="13"/>
      <c r="M13" s="13"/>
      <c r="N13" s="13"/>
      <c r="O13" s="13"/>
      <c r="P13" s="152"/>
      <c r="Q13" s="149"/>
      <c r="R13" s="152"/>
      <c r="S13" s="152"/>
      <c r="T13" s="62" t="str">
        <f aca="false">IF(OR($C13="",R13=""),"",IF(R13/IF($R$2="",100,$R$2)&gt;=設定!$I$28,設定!$G$8,IF(R13/IF($R$2="",100,$R$2)&lt;設定!$I$29,設定!$G$10,設定!$G$9)))</f>
        <v/>
      </c>
      <c r="U13" s="62" t="str">
        <f aca="false">IF(OR($C13="",S13=""),"",IF(S13/IF($S$2="",100,$S$2)&gt;=設定!$I$28,設定!$G$8,IF(S13/IF($S$2="",100,$S$2)&lt;設定!$I$29,設定!$G$10,設定!$G$9)))</f>
        <v/>
      </c>
    </row>
    <row r="14" customFormat="false" ht="21" hidden="false" customHeight="true" outlineLevel="0" collapsed="false">
      <c r="A14" s="91" t="str">
        <f aca="false">IF(名簿!$D14="","",名簿!$B14&amp;"")</f>
        <v/>
      </c>
      <c r="B14" s="91" t="str">
        <f aca="false">IF(名簿!$D14="","",名簿!$C14)</f>
        <v/>
      </c>
      <c r="C14" s="59" t="str">
        <f aca="false">IF(名簿!$D14="","",名簿!$D14&amp;IF(名簿!$F14="転出","（転出）",""))</f>
        <v/>
      </c>
      <c r="D14" s="149"/>
      <c r="E14" s="61" t="str">
        <f aca="false">IF(OR($C14="",名簿!$F14="転出"),"",IF($C$2="学級ごと",$A14,$D14&amp;""))</f>
        <v/>
      </c>
      <c r="F14" s="150"/>
      <c r="G14" s="150"/>
      <c r="H14" s="150"/>
      <c r="I14" s="151"/>
      <c r="J14" s="41" t="str">
        <f aca="false">IF($E14="","",$E14&amp;"|"&amp;COUNTIF($E$5:$E14,$E14))</f>
        <v/>
      </c>
      <c r="K14" s="40" t="str">
        <f aca="false">IF($I14="","",LEN($I14))</f>
        <v/>
      </c>
      <c r="L14" s="13"/>
      <c r="M14" s="13"/>
      <c r="N14" s="13"/>
      <c r="O14" s="13"/>
      <c r="P14" s="152"/>
      <c r="Q14" s="149"/>
      <c r="R14" s="152"/>
      <c r="S14" s="152"/>
      <c r="T14" s="62" t="str">
        <f aca="false">IF(OR($C14="",R14=""),"",IF(R14/IF($R$2="",100,$R$2)&gt;=設定!$I$28,設定!$G$8,IF(R14/IF($R$2="",100,$R$2)&lt;設定!$I$29,設定!$G$10,設定!$G$9)))</f>
        <v/>
      </c>
      <c r="U14" s="62" t="str">
        <f aca="false">IF(OR($C14="",S14=""),"",IF(S14/IF($S$2="",100,$S$2)&gt;=設定!$I$28,設定!$G$8,IF(S14/IF($S$2="",100,$S$2)&lt;設定!$I$29,設定!$G$10,設定!$G$9)))</f>
        <v/>
      </c>
    </row>
    <row r="15" customFormat="false" ht="21" hidden="false" customHeight="true" outlineLevel="0" collapsed="false">
      <c r="A15" s="91" t="str">
        <f aca="false">IF(名簿!$D15="","",名簿!$B15&amp;"")</f>
        <v/>
      </c>
      <c r="B15" s="91" t="str">
        <f aca="false">IF(名簿!$D15="","",名簿!$C15)</f>
        <v/>
      </c>
      <c r="C15" s="59" t="str">
        <f aca="false">IF(名簿!$D15="","",名簿!$D15&amp;IF(名簿!$F15="転出","（転出）",""))</f>
        <v/>
      </c>
      <c r="D15" s="149"/>
      <c r="E15" s="61" t="str">
        <f aca="false">IF(OR($C15="",名簿!$F15="転出"),"",IF($C$2="学級ごと",$A15,$D15&amp;""))</f>
        <v/>
      </c>
      <c r="F15" s="150"/>
      <c r="G15" s="150"/>
      <c r="H15" s="150"/>
      <c r="I15" s="151"/>
      <c r="J15" s="41" t="str">
        <f aca="false">IF($E15="","",$E15&amp;"|"&amp;COUNTIF($E$5:$E15,$E15))</f>
        <v/>
      </c>
      <c r="K15" s="40" t="str">
        <f aca="false">IF($I15="","",LEN($I15))</f>
        <v/>
      </c>
      <c r="L15" s="13"/>
      <c r="M15" s="13"/>
      <c r="N15" s="13"/>
      <c r="O15" s="13"/>
      <c r="P15" s="152"/>
      <c r="Q15" s="149"/>
      <c r="R15" s="152"/>
      <c r="S15" s="152"/>
      <c r="T15" s="62" t="str">
        <f aca="false">IF(OR($C15="",R15=""),"",IF(R15/IF($R$2="",100,$R$2)&gt;=設定!$I$28,設定!$G$8,IF(R15/IF($R$2="",100,$R$2)&lt;設定!$I$29,設定!$G$10,設定!$G$9)))</f>
        <v/>
      </c>
      <c r="U15" s="62" t="str">
        <f aca="false">IF(OR($C15="",S15=""),"",IF(S15/IF($S$2="",100,$S$2)&gt;=設定!$I$28,設定!$G$8,IF(S15/IF($S$2="",100,$S$2)&lt;設定!$I$29,設定!$G$10,設定!$G$9)))</f>
        <v/>
      </c>
    </row>
    <row r="16" customFormat="false" ht="21" hidden="false" customHeight="true" outlineLevel="0" collapsed="false">
      <c r="A16" s="91" t="str">
        <f aca="false">IF(名簿!$D16="","",名簿!$B16&amp;"")</f>
        <v/>
      </c>
      <c r="B16" s="91" t="str">
        <f aca="false">IF(名簿!$D16="","",名簿!$C16)</f>
        <v/>
      </c>
      <c r="C16" s="59" t="str">
        <f aca="false">IF(名簿!$D16="","",名簿!$D16&amp;IF(名簿!$F16="転出","（転出）",""))</f>
        <v/>
      </c>
      <c r="D16" s="149"/>
      <c r="E16" s="61" t="str">
        <f aca="false">IF(OR($C16="",名簿!$F16="転出"),"",IF($C$2="学級ごと",$A16,$D16&amp;""))</f>
        <v/>
      </c>
      <c r="F16" s="150"/>
      <c r="G16" s="150"/>
      <c r="H16" s="150"/>
      <c r="I16" s="151"/>
      <c r="J16" s="41" t="str">
        <f aca="false">IF($E16="","",$E16&amp;"|"&amp;COUNTIF($E$5:$E16,$E16))</f>
        <v/>
      </c>
      <c r="K16" s="40" t="str">
        <f aca="false">IF($I16="","",LEN($I16))</f>
        <v/>
      </c>
      <c r="L16" s="13"/>
      <c r="M16" s="13"/>
      <c r="N16" s="13"/>
      <c r="O16" s="13"/>
      <c r="P16" s="152"/>
      <c r="Q16" s="149"/>
      <c r="R16" s="152"/>
      <c r="S16" s="152"/>
      <c r="T16" s="62" t="str">
        <f aca="false">IF(OR($C16="",R16=""),"",IF(R16/IF($R$2="",100,$R$2)&gt;=設定!$I$28,設定!$G$8,IF(R16/IF($R$2="",100,$R$2)&lt;設定!$I$29,設定!$G$10,設定!$G$9)))</f>
        <v/>
      </c>
      <c r="U16" s="62" t="str">
        <f aca="false">IF(OR($C16="",S16=""),"",IF(S16/IF($S$2="",100,$S$2)&gt;=設定!$I$28,設定!$G$8,IF(S16/IF($S$2="",100,$S$2)&lt;設定!$I$29,設定!$G$10,設定!$G$9)))</f>
        <v/>
      </c>
    </row>
    <row r="17" customFormat="false" ht="21" hidden="false" customHeight="true" outlineLevel="0" collapsed="false">
      <c r="A17" s="91" t="str">
        <f aca="false">IF(名簿!$D17="","",名簿!$B17&amp;"")</f>
        <v/>
      </c>
      <c r="B17" s="91" t="str">
        <f aca="false">IF(名簿!$D17="","",名簿!$C17)</f>
        <v/>
      </c>
      <c r="C17" s="59" t="str">
        <f aca="false">IF(名簿!$D17="","",名簿!$D17&amp;IF(名簿!$F17="転出","（転出）",""))</f>
        <v/>
      </c>
      <c r="D17" s="149"/>
      <c r="E17" s="61" t="str">
        <f aca="false">IF(OR($C17="",名簿!$F17="転出"),"",IF($C$2="学級ごと",$A17,$D17&amp;""))</f>
        <v/>
      </c>
      <c r="F17" s="150"/>
      <c r="G17" s="150"/>
      <c r="H17" s="150"/>
      <c r="I17" s="151"/>
      <c r="J17" s="41" t="str">
        <f aca="false">IF($E17="","",$E17&amp;"|"&amp;COUNTIF($E$5:$E17,$E17))</f>
        <v/>
      </c>
      <c r="K17" s="40" t="str">
        <f aca="false">IF($I17="","",LEN($I17))</f>
        <v/>
      </c>
      <c r="L17" s="13"/>
      <c r="M17" s="13"/>
      <c r="N17" s="13"/>
      <c r="O17" s="13"/>
      <c r="P17" s="152"/>
      <c r="Q17" s="149"/>
      <c r="R17" s="152"/>
      <c r="S17" s="152"/>
      <c r="T17" s="62" t="str">
        <f aca="false">IF(OR($C17="",R17=""),"",IF(R17/IF($R$2="",100,$R$2)&gt;=設定!$I$28,設定!$G$8,IF(R17/IF($R$2="",100,$R$2)&lt;設定!$I$29,設定!$G$10,設定!$G$9)))</f>
        <v/>
      </c>
      <c r="U17" s="62" t="str">
        <f aca="false">IF(OR($C17="",S17=""),"",IF(S17/IF($S$2="",100,$S$2)&gt;=設定!$I$28,設定!$G$8,IF(S17/IF($S$2="",100,$S$2)&lt;設定!$I$29,設定!$G$10,設定!$G$9)))</f>
        <v/>
      </c>
    </row>
    <row r="18" customFormat="false" ht="21" hidden="false" customHeight="true" outlineLevel="0" collapsed="false">
      <c r="A18" s="91" t="str">
        <f aca="false">IF(名簿!$D18="","",名簿!$B18&amp;"")</f>
        <v/>
      </c>
      <c r="B18" s="91" t="str">
        <f aca="false">IF(名簿!$D18="","",名簿!$C18)</f>
        <v/>
      </c>
      <c r="C18" s="59" t="str">
        <f aca="false">IF(名簿!$D18="","",名簿!$D18&amp;IF(名簿!$F18="転出","（転出）",""))</f>
        <v/>
      </c>
      <c r="D18" s="149"/>
      <c r="E18" s="61" t="str">
        <f aca="false">IF(OR($C18="",名簿!$F18="転出"),"",IF($C$2="学級ごと",$A18,$D18&amp;""))</f>
        <v/>
      </c>
      <c r="F18" s="150"/>
      <c r="G18" s="150"/>
      <c r="H18" s="150"/>
      <c r="I18" s="151"/>
      <c r="J18" s="41" t="str">
        <f aca="false">IF($E18="","",$E18&amp;"|"&amp;COUNTIF($E$5:$E18,$E18))</f>
        <v/>
      </c>
      <c r="K18" s="40" t="str">
        <f aca="false">IF($I18="","",LEN($I18))</f>
        <v/>
      </c>
      <c r="L18" s="13"/>
      <c r="M18" s="13"/>
      <c r="N18" s="13"/>
      <c r="O18" s="13"/>
      <c r="P18" s="152"/>
      <c r="Q18" s="149"/>
      <c r="R18" s="152"/>
      <c r="S18" s="152"/>
      <c r="T18" s="62" t="str">
        <f aca="false">IF(OR($C18="",R18=""),"",IF(R18/IF($R$2="",100,$R$2)&gt;=設定!$I$28,設定!$G$8,IF(R18/IF($R$2="",100,$R$2)&lt;設定!$I$29,設定!$G$10,設定!$G$9)))</f>
        <v/>
      </c>
      <c r="U18" s="62" t="str">
        <f aca="false">IF(OR($C18="",S18=""),"",IF(S18/IF($S$2="",100,$S$2)&gt;=設定!$I$28,設定!$G$8,IF(S18/IF($S$2="",100,$S$2)&lt;設定!$I$29,設定!$G$10,設定!$G$9)))</f>
        <v/>
      </c>
    </row>
    <row r="19" customFormat="false" ht="21" hidden="false" customHeight="true" outlineLevel="0" collapsed="false">
      <c r="A19" s="91" t="str">
        <f aca="false">IF(名簿!$D19="","",名簿!$B19&amp;"")</f>
        <v/>
      </c>
      <c r="B19" s="91" t="str">
        <f aca="false">IF(名簿!$D19="","",名簿!$C19)</f>
        <v/>
      </c>
      <c r="C19" s="59" t="str">
        <f aca="false">IF(名簿!$D19="","",名簿!$D19&amp;IF(名簿!$F19="転出","（転出）",""))</f>
        <v/>
      </c>
      <c r="D19" s="149"/>
      <c r="E19" s="61" t="str">
        <f aca="false">IF(OR($C19="",名簿!$F19="転出"),"",IF($C$2="学級ごと",$A19,$D19&amp;""))</f>
        <v/>
      </c>
      <c r="F19" s="150"/>
      <c r="G19" s="150"/>
      <c r="H19" s="150"/>
      <c r="I19" s="151"/>
      <c r="J19" s="41" t="str">
        <f aca="false">IF($E19="","",$E19&amp;"|"&amp;COUNTIF($E$5:$E19,$E19))</f>
        <v/>
      </c>
      <c r="K19" s="40" t="str">
        <f aca="false">IF($I19="","",LEN($I19))</f>
        <v/>
      </c>
      <c r="L19" s="13"/>
      <c r="M19" s="13"/>
      <c r="N19" s="13"/>
      <c r="O19" s="13"/>
      <c r="P19" s="152"/>
      <c r="Q19" s="149"/>
      <c r="R19" s="152"/>
      <c r="S19" s="152"/>
      <c r="T19" s="62" t="str">
        <f aca="false">IF(OR($C19="",R19=""),"",IF(R19/IF($R$2="",100,$R$2)&gt;=設定!$I$28,設定!$G$8,IF(R19/IF($R$2="",100,$R$2)&lt;設定!$I$29,設定!$G$10,設定!$G$9)))</f>
        <v/>
      </c>
      <c r="U19" s="62" t="str">
        <f aca="false">IF(OR($C19="",S19=""),"",IF(S19/IF($S$2="",100,$S$2)&gt;=設定!$I$28,設定!$G$8,IF(S19/IF($S$2="",100,$S$2)&lt;設定!$I$29,設定!$G$10,設定!$G$9)))</f>
        <v/>
      </c>
    </row>
    <row r="20" customFormat="false" ht="21" hidden="false" customHeight="true" outlineLevel="0" collapsed="false">
      <c r="A20" s="91" t="str">
        <f aca="false">IF(名簿!$D20="","",名簿!$B20&amp;"")</f>
        <v/>
      </c>
      <c r="B20" s="91" t="str">
        <f aca="false">IF(名簿!$D20="","",名簿!$C20)</f>
        <v/>
      </c>
      <c r="C20" s="59" t="str">
        <f aca="false">IF(名簿!$D20="","",名簿!$D20&amp;IF(名簿!$F20="転出","（転出）",""))</f>
        <v/>
      </c>
      <c r="D20" s="149"/>
      <c r="E20" s="61" t="str">
        <f aca="false">IF(OR($C20="",名簿!$F20="転出"),"",IF($C$2="学級ごと",$A20,$D20&amp;""))</f>
        <v/>
      </c>
      <c r="F20" s="150"/>
      <c r="G20" s="150"/>
      <c r="H20" s="150"/>
      <c r="I20" s="151"/>
      <c r="J20" s="41" t="str">
        <f aca="false">IF($E20="","",$E20&amp;"|"&amp;COUNTIF($E$5:$E20,$E20))</f>
        <v/>
      </c>
      <c r="K20" s="40" t="str">
        <f aca="false">IF($I20="","",LEN($I20))</f>
        <v/>
      </c>
      <c r="L20" s="13"/>
      <c r="M20" s="13"/>
      <c r="N20" s="13"/>
      <c r="O20" s="13"/>
      <c r="P20" s="152"/>
      <c r="Q20" s="149"/>
      <c r="R20" s="152"/>
      <c r="S20" s="152"/>
      <c r="T20" s="62" t="str">
        <f aca="false">IF(OR($C20="",R20=""),"",IF(R20/IF($R$2="",100,$R$2)&gt;=設定!$I$28,設定!$G$8,IF(R20/IF($R$2="",100,$R$2)&lt;設定!$I$29,設定!$G$10,設定!$G$9)))</f>
        <v/>
      </c>
      <c r="U20" s="62" t="str">
        <f aca="false">IF(OR($C20="",S20=""),"",IF(S20/IF($S$2="",100,$S$2)&gt;=設定!$I$28,設定!$G$8,IF(S20/IF($S$2="",100,$S$2)&lt;設定!$I$29,設定!$G$10,設定!$G$9)))</f>
        <v/>
      </c>
    </row>
    <row r="21" customFormat="false" ht="21" hidden="false" customHeight="true" outlineLevel="0" collapsed="false">
      <c r="A21" s="91" t="str">
        <f aca="false">IF(名簿!$D21="","",名簿!$B21&amp;"")</f>
        <v/>
      </c>
      <c r="B21" s="91" t="str">
        <f aca="false">IF(名簿!$D21="","",名簿!$C21)</f>
        <v/>
      </c>
      <c r="C21" s="59" t="str">
        <f aca="false">IF(名簿!$D21="","",名簿!$D21&amp;IF(名簿!$F21="転出","（転出）",""))</f>
        <v/>
      </c>
      <c r="D21" s="149"/>
      <c r="E21" s="61" t="str">
        <f aca="false">IF(OR($C21="",名簿!$F21="転出"),"",IF($C$2="学級ごと",$A21,$D21&amp;""))</f>
        <v/>
      </c>
      <c r="F21" s="150"/>
      <c r="G21" s="150"/>
      <c r="H21" s="150"/>
      <c r="I21" s="151"/>
      <c r="J21" s="41" t="str">
        <f aca="false">IF($E21="","",$E21&amp;"|"&amp;COUNTIF($E$5:$E21,$E21))</f>
        <v/>
      </c>
      <c r="K21" s="40" t="str">
        <f aca="false">IF($I21="","",LEN($I21))</f>
        <v/>
      </c>
      <c r="L21" s="13"/>
      <c r="M21" s="13"/>
      <c r="N21" s="13"/>
      <c r="O21" s="13"/>
      <c r="P21" s="152"/>
      <c r="Q21" s="149"/>
      <c r="R21" s="152"/>
      <c r="S21" s="152"/>
      <c r="T21" s="62" t="str">
        <f aca="false">IF(OR($C21="",R21=""),"",IF(R21/IF($R$2="",100,$R$2)&gt;=設定!$I$28,設定!$G$8,IF(R21/IF($R$2="",100,$R$2)&lt;設定!$I$29,設定!$G$10,設定!$G$9)))</f>
        <v/>
      </c>
      <c r="U21" s="62" t="str">
        <f aca="false">IF(OR($C21="",S21=""),"",IF(S21/IF($S$2="",100,$S$2)&gt;=設定!$I$28,設定!$G$8,IF(S21/IF($S$2="",100,$S$2)&lt;設定!$I$29,設定!$G$10,設定!$G$9)))</f>
        <v/>
      </c>
    </row>
    <row r="22" customFormat="false" ht="21" hidden="false" customHeight="true" outlineLevel="0" collapsed="false">
      <c r="A22" s="91" t="str">
        <f aca="false">IF(名簿!$D22="","",名簿!$B22&amp;"")</f>
        <v/>
      </c>
      <c r="B22" s="91" t="str">
        <f aca="false">IF(名簿!$D22="","",名簿!$C22)</f>
        <v/>
      </c>
      <c r="C22" s="59" t="str">
        <f aca="false">IF(名簿!$D22="","",名簿!$D22&amp;IF(名簿!$F22="転出","（転出）",""))</f>
        <v/>
      </c>
      <c r="D22" s="149"/>
      <c r="E22" s="61" t="str">
        <f aca="false">IF(OR($C22="",名簿!$F22="転出"),"",IF($C$2="学級ごと",$A22,$D22&amp;""))</f>
        <v/>
      </c>
      <c r="F22" s="150"/>
      <c r="G22" s="150"/>
      <c r="H22" s="150"/>
      <c r="I22" s="151"/>
      <c r="J22" s="41" t="str">
        <f aca="false">IF($E22="","",$E22&amp;"|"&amp;COUNTIF($E$5:$E22,$E22))</f>
        <v/>
      </c>
      <c r="K22" s="40" t="str">
        <f aca="false">IF($I22="","",LEN($I22))</f>
        <v/>
      </c>
      <c r="L22" s="13"/>
      <c r="M22" s="13"/>
      <c r="N22" s="13"/>
      <c r="O22" s="13"/>
      <c r="P22" s="152"/>
      <c r="Q22" s="149"/>
      <c r="R22" s="152"/>
      <c r="S22" s="152"/>
      <c r="T22" s="62" t="str">
        <f aca="false">IF(OR($C22="",R22=""),"",IF(R22/IF($R$2="",100,$R$2)&gt;=設定!$I$28,設定!$G$8,IF(R22/IF($R$2="",100,$R$2)&lt;設定!$I$29,設定!$G$10,設定!$G$9)))</f>
        <v/>
      </c>
      <c r="U22" s="62" t="str">
        <f aca="false">IF(OR($C22="",S22=""),"",IF(S22/IF($S$2="",100,$S$2)&gt;=設定!$I$28,設定!$G$8,IF(S22/IF($S$2="",100,$S$2)&lt;設定!$I$29,設定!$G$10,設定!$G$9)))</f>
        <v/>
      </c>
    </row>
    <row r="23" customFormat="false" ht="21" hidden="false" customHeight="true" outlineLevel="0" collapsed="false">
      <c r="A23" s="91" t="str">
        <f aca="false">IF(名簿!$D23="","",名簿!$B23&amp;"")</f>
        <v/>
      </c>
      <c r="B23" s="91" t="str">
        <f aca="false">IF(名簿!$D23="","",名簿!$C23)</f>
        <v/>
      </c>
      <c r="C23" s="59" t="str">
        <f aca="false">IF(名簿!$D23="","",名簿!$D23&amp;IF(名簿!$F23="転出","（転出）",""))</f>
        <v/>
      </c>
      <c r="D23" s="149"/>
      <c r="E23" s="61" t="str">
        <f aca="false">IF(OR($C23="",名簿!$F23="転出"),"",IF($C$2="学級ごと",$A23,$D23&amp;""))</f>
        <v/>
      </c>
      <c r="F23" s="150"/>
      <c r="G23" s="150"/>
      <c r="H23" s="150"/>
      <c r="I23" s="151"/>
      <c r="J23" s="41" t="str">
        <f aca="false">IF($E23="","",$E23&amp;"|"&amp;COUNTIF($E$5:$E23,$E23))</f>
        <v/>
      </c>
      <c r="K23" s="40" t="str">
        <f aca="false">IF($I23="","",LEN($I23))</f>
        <v/>
      </c>
      <c r="L23" s="13"/>
      <c r="M23" s="13"/>
      <c r="N23" s="13"/>
      <c r="O23" s="13"/>
      <c r="P23" s="152"/>
      <c r="Q23" s="149"/>
      <c r="R23" s="152"/>
      <c r="S23" s="152"/>
      <c r="T23" s="62" t="str">
        <f aca="false">IF(OR($C23="",R23=""),"",IF(R23/IF($R$2="",100,$R$2)&gt;=設定!$I$28,設定!$G$8,IF(R23/IF($R$2="",100,$R$2)&lt;設定!$I$29,設定!$G$10,設定!$G$9)))</f>
        <v/>
      </c>
      <c r="U23" s="62" t="str">
        <f aca="false">IF(OR($C23="",S23=""),"",IF(S23/IF($S$2="",100,$S$2)&gt;=設定!$I$28,設定!$G$8,IF(S23/IF($S$2="",100,$S$2)&lt;設定!$I$29,設定!$G$10,設定!$G$9)))</f>
        <v/>
      </c>
    </row>
    <row r="24" customFormat="false" ht="21" hidden="false" customHeight="true" outlineLevel="0" collapsed="false">
      <c r="A24" s="91" t="str">
        <f aca="false">IF(名簿!$D24="","",名簿!$B24&amp;"")</f>
        <v/>
      </c>
      <c r="B24" s="91" t="str">
        <f aca="false">IF(名簿!$D24="","",名簿!$C24)</f>
        <v/>
      </c>
      <c r="C24" s="59" t="str">
        <f aca="false">IF(名簿!$D24="","",名簿!$D24&amp;IF(名簿!$F24="転出","（転出）",""))</f>
        <v/>
      </c>
      <c r="D24" s="149"/>
      <c r="E24" s="61" t="str">
        <f aca="false">IF(OR($C24="",名簿!$F24="転出"),"",IF($C$2="学級ごと",$A24,$D24&amp;""))</f>
        <v/>
      </c>
      <c r="F24" s="150"/>
      <c r="G24" s="150"/>
      <c r="H24" s="150"/>
      <c r="I24" s="151"/>
      <c r="J24" s="41" t="str">
        <f aca="false">IF($E24="","",$E24&amp;"|"&amp;COUNTIF($E$5:$E24,$E24))</f>
        <v/>
      </c>
      <c r="K24" s="40" t="str">
        <f aca="false">IF($I24="","",LEN($I24))</f>
        <v/>
      </c>
      <c r="L24" s="13"/>
      <c r="M24" s="13"/>
      <c r="N24" s="13"/>
      <c r="O24" s="13"/>
      <c r="P24" s="152"/>
      <c r="Q24" s="149"/>
      <c r="R24" s="152"/>
      <c r="S24" s="152"/>
      <c r="T24" s="62" t="str">
        <f aca="false">IF(OR($C24="",R24=""),"",IF(R24/IF($R$2="",100,$R$2)&gt;=設定!$I$28,設定!$G$8,IF(R24/IF($R$2="",100,$R$2)&lt;設定!$I$29,設定!$G$10,設定!$G$9)))</f>
        <v/>
      </c>
      <c r="U24" s="62" t="str">
        <f aca="false">IF(OR($C24="",S24=""),"",IF(S24/IF($S$2="",100,$S$2)&gt;=設定!$I$28,設定!$G$8,IF(S24/IF($S$2="",100,$S$2)&lt;設定!$I$29,設定!$G$10,設定!$G$9)))</f>
        <v/>
      </c>
    </row>
    <row r="25" customFormat="false" ht="21" hidden="false" customHeight="true" outlineLevel="0" collapsed="false">
      <c r="A25" s="91" t="str">
        <f aca="false">IF(名簿!$D25="","",名簿!$B25&amp;"")</f>
        <v/>
      </c>
      <c r="B25" s="91" t="str">
        <f aca="false">IF(名簿!$D25="","",名簿!$C25)</f>
        <v/>
      </c>
      <c r="C25" s="59" t="str">
        <f aca="false">IF(名簿!$D25="","",名簿!$D25&amp;IF(名簿!$F25="転出","（転出）",""))</f>
        <v/>
      </c>
      <c r="D25" s="149"/>
      <c r="E25" s="61" t="str">
        <f aca="false">IF(OR($C25="",名簿!$F25="転出"),"",IF($C$2="学級ごと",$A25,$D25&amp;""))</f>
        <v/>
      </c>
      <c r="F25" s="150"/>
      <c r="G25" s="150"/>
      <c r="H25" s="150"/>
      <c r="I25" s="151"/>
      <c r="J25" s="41" t="str">
        <f aca="false">IF($E25="","",$E25&amp;"|"&amp;COUNTIF($E$5:$E25,$E25))</f>
        <v/>
      </c>
      <c r="K25" s="40" t="str">
        <f aca="false">IF($I25="","",LEN($I25))</f>
        <v/>
      </c>
      <c r="L25" s="13"/>
      <c r="M25" s="13"/>
      <c r="N25" s="13"/>
      <c r="O25" s="13"/>
      <c r="P25" s="152"/>
      <c r="Q25" s="149"/>
      <c r="R25" s="152"/>
      <c r="S25" s="152"/>
      <c r="T25" s="62" t="str">
        <f aca="false">IF(OR($C25="",R25=""),"",IF(R25/IF($R$2="",100,$R$2)&gt;=設定!$I$28,設定!$G$8,IF(R25/IF($R$2="",100,$R$2)&lt;設定!$I$29,設定!$G$10,設定!$G$9)))</f>
        <v/>
      </c>
      <c r="U25" s="62" t="str">
        <f aca="false">IF(OR($C25="",S25=""),"",IF(S25/IF($S$2="",100,$S$2)&gt;=設定!$I$28,設定!$G$8,IF(S25/IF($S$2="",100,$S$2)&lt;設定!$I$29,設定!$G$10,設定!$G$9)))</f>
        <v/>
      </c>
    </row>
    <row r="26" customFormat="false" ht="21" hidden="false" customHeight="true" outlineLevel="0" collapsed="false">
      <c r="A26" s="91" t="str">
        <f aca="false">IF(名簿!$D26="","",名簿!$B26&amp;"")</f>
        <v/>
      </c>
      <c r="B26" s="91" t="str">
        <f aca="false">IF(名簿!$D26="","",名簿!$C26)</f>
        <v/>
      </c>
      <c r="C26" s="59" t="str">
        <f aca="false">IF(名簿!$D26="","",名簿!$D26&amp;IF(名簿!$F26="転出","（転出）",""))</f>
        <v/>
      </c>
      <c r="D26" s="149"/>
      <c r="E26" s="61" t="str">
        <f aca="false">IF(OR($C26="",名簿!$F26="転出"),"",IF($C$2="学級ごと",$A26,$D26&amp;""))</f>
        <v/>
      </c>
      <c r="F26" s="150"/>
      <c r="G26" s="150"/>
      <c r="H26" s="150"/>
      <c r="I26" s="151"/>
      <c r="J26" s="41" t="str">
        <f aca="false">IF($E26="","",$E26&amp;"|"&amp;COUNTIF($E$5:$E26,$E26))</f>
        <v/>
      </c>
      <c r="K26" s="40" t="str">
        <f aca="false">IF($I26="","",LEN($I26))</f>
        <v/>
      </c>
      <c r="L26" s="13"/>
      <c r="M26" s="13"/>
      <c r="N26" s="13"/>
      <c r="O26" s="13"/>
      <c r="P26" s="152"/>
      <c r="Q26" s="149"/>
      <c r="R26" s="152"/>
      <c r="S26" s="152"/>
      <c r="T26" s="62" t="str">
        <f aca="false">IF(OR($C26="",R26=""),"",IF(R26/IF($R$2="",100,$R$2)&gt;=設定!$I$28,設定!$G$8,IF(R26/IF($R$2="",100,$R$2)&lt;設定!$I$29,設定!$G$10,設定!$G$9)))</f>
        <v/>
      </c>
      <c r="U26" s="62" t="str">
        <f aca="false">IF(OR($C26="",S26=""),"",IF(S26/IF($S$2="",100,$S$2)&gt;=設定!$I$28,設定!$G$8,IF(S26/IF($S$2="",100,$S$2)&lt;設定!$I$29,設定!$G$10,設定!$G$9)))</f>
        <v/>
      </c>
    </row>
    <row r="27" customFormat="false" ht="21" hidden="false" customHeight="true" outlineLevel="0" collapsed="false">
      <c r="A27" s="91" t="str">
        <f aca="false">IF(名簿!$D27="","",名簿!$B27&amp;"")</f>
        <v/>
      </c>
      <c r="B27" s="91" t="str">
        <f aca="false">IF(名簿!$D27="","",名簿!$C27)</f>
        <v/>
      </c>
      <c r="C27" s="59" t="str">
        <f aca="false">IF(名簿!$D27="","",名簿!$D27&amp;IF(名簿!$F27="転出","（転出）",""))</f>
        <v/>
      </c>
      <c r="D27" s="149"/>
      <c r="E27" s="61" t="str">
        <f aca="false">IF(OR($C27="",名簿!$F27="転出"),"",IF($C$2="学級ごと",$A27,$D27&amp;""))</f>
        <v/>
      </c>
      <c r="F27" s="150"/>
      <c r="G27" s="150"/>
      <c r="H27" s="150"/>
      <c r="I27" s="151"/>
      <c r="J27" s="41" t="str">
        <f aca="false">IF($E27="","",$E27&amp;"|"&amp;COUNTIF($E$5:$E27,$E27))</f>
        <v/>
      </c>
      <c r="K27" s="40" t="str">
        <f aca="false">IF($I27="","",LEN($I27))</f>
        <v/>
      </c>
      <c r="L27" s="13"/>
      <c r="M27" s="13"/>
      <c r="N27" s="13"/>
      <c r="O27" s="13"/>
      <c r="P27" s="152"/>
      <c r="Q27" s="149"/>
      <c r="R27" s="152"/>
      <c r="S27" s="152"/>
      <c r="T27" s="62" t="str">
        <f aca="false">IF(OR($C27="",R27=""),"",IF(R27/IF($R$2="",100,$R$2)&gt;=設定!$I$28,設定!$G$8,IF(R27/IF($R$2="",100,$R$2)&lt;設定!$I$29,設定!$G$10,設定!$G$9)))</f>
        <v/>
      </c>
      <c r="U27" s="62" t="str">
        <f aca="false">IF(OR($C27="",S27=""),"",IF(S27/IF($S$2="",100,$S$2)&gt;=設定!$I$28,設定!$G$8,IF(S27/IF($S$2="",100,$S$2)&lt;設定!$I$29,設定!$G$10,設定!$G$9)))</f>
        <v/>
      </c>
    </row>
    <row r="28" customFormat="false" ht="21" hidden="false" customHeight="true" outlineLevel="0" collapsed="false">
      <c r="A28" s="91" t="str">
        <f aca="false">IF(名簿!$D28="","",名簿!$B28&amp;"")</f>
        <v/>
      </c>
      <c r="B28" s="91" t="str">
        <f aca="false">IF(名簿!$D28="","",名簿!$C28)</f>
        <v/>
      </c>
      <c r="C28" s="59" t="str">
        <f aca="false">IF(名簿!$D28="","",名簿!$D28&amp;IF(名簿!$F28="転出","（転出）",""))</f>
        <v/>
      </c>
      <c r="D28" s="149"/>
      <c r="E28" s="61" t="str">
        <f aca="false">IF(OR($C28="",名簿!$F28="転出"),"",IF($C$2="学級ごと",$A28,$D28&amp;""))</f>
        <v/>
      </c>
      <c r="F28" s="150"/>
      <c r="G28" s="150"/>
      <c r="H28" s="150"/>
      <c r="I28" s="151"/>
      <c r="J28" s="41" t="str">
        <f aca="false">IF($E28="","",$E28&amp;"|"&amp;COUNTIF($E$5:$E28,$E28))</f>
        <v/>
      </c>
      <c r="K28" s="40" t="str">
        <f aca="false">IF($I28="","",LEN($I28))</f>
        <v/>
      </c>
      <c r="L28" s="13"/>
      <c r="M28" s="13"/>
      <c r="N28" s="13"/>
      <c r="O28" s="13"/>
      <c r="P28" s="152"/>
      <c r="Q28" s="149"/>
      <c r="R28" s="152"/>
      <c r="S28" s="152"/>
      <c r="T28" s="62" t="str">
        <f aca="false">IF(OR($C28="",R28=""),"",IF(R28/IF($R$2="",100,$R$2)&gt;=設定!$I$28,設定!$G$8,IF(R28/IF($R$2="",100,$R$2)&lt;設定!$I$29,設定!$G$10,設定!$G$9)))</f>
        <v/>
      </c>
      <c r="U28" s="62" t="str">
        <f aca="false">IF(OR($C28="",S28=""),"",IF(S28/IF($S$2="",100,$S$2)&gt;=設定!$I$28,設定!$G$8,IF(S28/IF($S$2="",100,$S$2)&lt;設定!$I$29,設定!$G$10,設定!$G$9)))</f>
        <v/>
      </c>
    </row>
    <row r="29" customFormat="false" ht="21" hidden="false" customHeight="true" outlineLevel="0" collapsed="false">
      <c r="A29" s="91" t="str">
        <f aca="false">IF(名簿!$D29="","",名簿!$B29&amp;"")</f>
        <v/>
      </c>
      <c r="B29" s="91" t="str">
        <f aca="false">IF(名簿!$D29="","",名簿!$C29)</f>
        <v/>
      </c>
      <c r="C29" s="59" t="str">
        <f aca="false">IF(名簿!$D29="","",名簿!$D29&amp;IF(名簿!$F29="転出","（転出）",""))</f>
        <v/>
      </c>
      <c r="D29" s="149"/>
      <c r="E29" s="61" t="str">
        <f aca="false">IF(OR($C29="",名簿!$F29="転出"),"",IF($C$2="学級ごと",$A29,$D29&amp;""))</f>
        <v/>
      </c>
      <c r="F29" s="150"/>
      <c r="G29" s="150"/>
      <c r="H29" s="150"/>
      <c r="I29" s="151"/>
      <c r="J29" s="41" t="str">
        <f aca="false">IF($E29="","",$E29&amp;"|"&amp;COUNTIF($E$5:$E29,$E29))</f>
        <v/>
      </c>
      <c r="K29" s="40" t="str">
        <f aca="false">IF($I29="","",LEN($I29))</f>
        <v/>
      </c>
      <c r="L29" s="13"/>
      <c r="M29" s="13"/>
      <c r="N29" s="13"/>
      <c r="O29" s="13"/>
      <c r="P29" s="152"/>
      <c r="Q29" s="149"/>
      <c r="R29" s="152"/>
      <c r="S29" s="152"/>
      <c r="T29" s="62" t="str">
        <f aca="false">IF(OR($C29="",R29=""),"",IF(R29/IF($R$2="",100,$R$2)&gt;=設定!$I$28,設定!$G$8,IF(R29/IF($R$2="",100,$R$2)&lt;設定!$I$29,設定!$G$10,設定!$G$9)))</f>
        <v/>
      </c>
      <c r="U29" s="62" t="str">
        <f aca="false">IF(OR($C29="",S29=""),"",IF(S29/IF($S$2="",100,$S$2)&gt;=設定!$I$28,設定!$G$8,IF(S29/IF($S$2="",100,$S$2)&lt;設定!$I$29,設定!$G$10,設定!$G$9)))</f>
        <v/>
      </c>
    </row>
    <row r="30" customFormat="false" ht="21" hidden="false" customHeight="true" outlineLevel="0" collapsed="false">
      <c r="A30" s="91" t="str">
        <f aca="false">IF(名簿!$D30="","",名簿!$B30&amp;"")</f>
        <v/>
      </c>
      <c r="B30" s="91" t="str">
        <f aca="false">IF(名簿!$D30="","",名簿!$C30)</f>
        <v/>
      </c>
      <c r="C30" s="59" t="str">
        <f aca="false">IF(名簿!$D30="","",名簿!$D30&amp;IF(名簿!$F30="転出","（転出）",""))</f>
        <v/>
      </c>
      <c r="D30" s="149"/>
      <c r="E30" s="61" t="str">
        <f aca="false">IF(OR($C30="",名簿!$F30="転出"),"",IF($C$2="学級ごと",$A30,$D30&amp;""))</f>
        <v/>
      </c>
      <c r="F30" s="150"/>
      <c r="G30" s="150"/>
      <c r="H30" s="150"/>
      <c r="I30" s="151"/>
      <c r="J30" s="41" t="str">
        <f aca="false">IF($E30="","",$E30&amp;"|"&amp;COUNTIF($E$5:$E30,$E30))</f>
        <v/>
      </c>
      <c r="K30" s="40" t="str">
        <f aca="false">IF($I30="","",LEN($I30))</f>
        <v/>
      </c>
      <c r="L30" s="13"/>
      <c r="M30" s="13"/>
      <c r="N30" s="13"/>
      <c r="O30" s="13"/>
      <c r="P30" s="152"/>
      <c r="Q30" s="149"/>
      <c r="R30" s="152"/>
      <c r="S30" s="152"/>
      <c r="T30" s="62" t="str">
        <f aca="false">IF(OR($C30="",R30=""),"",IF(R30/IF($R$2="",100,$R$2)&gt;=設定!$I$28,設定!$G$8,IF(R30/IF($R$2="",100,$R$2)&lt;設定!$I$29,設定!$G$10,設定!$G$9)))</f>
        <v/>
      </c>
      <c r="U30" s="62" t="str">
        <f aca="false">IF(OR($C30="",S30=""),"",IF(S30/IF($S$2="",100,$S$2)&gt;=設定!$I$28,設定!$G$8,IF(S30/IF($S$2="",100,$S$2)&lt;設定!$I$29,設定!$G$10,設定!$G$9)))</f>
        <v/>
      </c>
    </row>
    <row r="31" customFormat="false" ht="21" hidden="false" customHeight="true" outlineLevel="0" collapsed="false">
      <c r="A31" s="91" t="str">
        <f aca="false">IF(名簿!$D31="","",名簿!$B31&amp;"")</f>
        <v/>
      </c>
      <c r="B31" s="91" t="str">
        <f aca="false">IF(名簿!$D31="","",名簿!$C31)</f>
        <v/>
      </c>
      <c r="C31" s="59" t="str">
        <f aca="false">IF(名簿!$D31="","",名簿!$D31&amp;IF(名簿!$F31="転出","（転出）",""))</f>
        <v/>
      </c>
      <c r="D31" s="149"/>
      <c r="E31" s="61" t="str">
        <f aca="false">IF(OR($C31="",名簿!$F31="転出"),"",IF($C$2="学級ごと",$A31,$D31&amp;""))</f>
        <v/>
      </c>
      <c r="F31" s="150"/>
      <c r="G31" s="150"/>
      <c r="H31" s="150"/>
      <c r="I31" s="151"/>
      <c r="J31" s="41" t="str">
        <f aca="false">IF($E31="","",$E31&amp;"|"&amp;COUNTIF($E$5:$E31,$E31))</f>
        <v/>
      </c>
      <c r="K31" s="40" t="str">
        <f aca="false">IF($I31="","",LEN($I31))</f>
        <v/>
      </c>
      <c r="L31" s="13"/>
      <c r="M31" s="13"/>
      <c r="N31" s="13"/>
      <c r="O31" s="13"/>
      <c r="P31" s="152"/>
      <c r="Q31" s="149"/>
      <c r="R31" s="152"/>
      <c r="S31" s="152"/>
      <c r="T31" s="62" t="str">
        <f aca="false">IF(OR($C31="",R31=""),"",IF(R31/IF($R$2="",100,$R$2)&gt;=設定!$I$28,設定!$G$8,IF(R31/IF($R$2="",100,$R$2)&lt;設定!$I$29,設定!$G$10,設定!$G$9)))</f>
        <v/>
      </c>
      <c r="U31" s="62" t="str">
        <f aca="false">IF(OR($C31="",S31=""),"",IF(S31/IF($S$2="",100,$S$2)&gt;=設定!$I$28,設定!$G$8,IF(S31/IF($S$2="",100,$S$2)&lt;設定!$I$29,設定!$G$10,設定!$G$9)))</f>
        <v/>
      </c>
    </row>
    <row r="32" customFormat="false" ht="21" hidden="false" customHeight="true" outlineLevel="0" collapsed="false">
      <c r="A32" s="91" t="str">
        <f aca="false">IF(名簿!$D32="","",名簿!$B32&amp;"")</f>
        <v/>
      </c>
      <c r="B32" s="91" t="str">
        <f aca="false">IF(名簿!$D32="","",名簿!$C32)</f>
        <v/>
      </c>
      <c r="C32" s="59" t="str">
        <f aca="false">IF(名簿!$D32="","",名簿!$D32&amp;IF(名簿!$F32="転出","（転出）",""))</f>
        <v/>
      </c>
      <c r="D32" s="149"/>
      <c r="E32" s="61" t="str">
        <f aca="false">IF(OR($C32="",名簿!$F32="転出"),"",IF($C$2="学級ごと",$A32,$D32&amp;""))</f>
        <v/>
      </c>
      <c r="F32" s="150"/>
      <c r="G32" s="150"/>
      <c r="H32" s="150"/>
      <c r="I32" s="151"/>
      <c r="J32" s="41" t="str">
        <f aca="false">IF($E32="","",$E32&amp;"|"&amp;COUNTIF($E$5:$E32,$E32))</f>
        <v/>
      </c>
      <c r="K32" s="40" t="str">
        <f aca="false">IF($I32="","",LEN($I32))</f>
        <v/>
      </c>
      <c r="L32" s="13"/>
      <c r="M32" s="13"/>
      <c r="N32" s="13"/>
      <c r="O32" s="13"/>
      <c r="P32" s="152"/>
      <c r="Q32" s="149"/>
      <c r="R32" s="152"/>
      <c r="S32" s="152"/>
      <c r="T32" s="62" t="str">
        <f aca="false">IF(OR($C32="",R32=""),"",IF(R32/IF($R$2="",100,$R$2)&gt;=設定!$I$28,設定!$G$8,IF(R32/IF($R$2="",100,$R$2)&lt;設定!$I$29,設定!$G$10,設定!$G$9)))</f>
        <v/>
      </c>
      <c r="U32" s="62" t="str">
        <f aca="false">IF(OR($C32="",S32=""),"",IF(S32/IF($S$2="",100,$S$2)&gt;=設定!$I$28,設定!$G$8,IF(S32/IF($S$2="",100,$S$2)&lt;設定!$I$29,設定!$G$10,設定!$G$9)))</f>
        <v/>
      </c>
    </row>
    <row r="33" customFormat="false" ht="21" hidden="false" customHeight="true" outlineLevel="0" collapsed="false">
      <c r="A33" s="91" t="str">
        <f aca="false">IF(名簿!$D33="","",名簿!$B33&amp;"")</f>
        <v/>
      </c>
      <c r="B33" s="91" t="str">
        <f aca="false">IF(名簿!$D33="","",名簿!$C33)</f>
        <v/>
      </c>
      <c r="C33" s="59" t="str">
        <f aca="false">IF(名簿!$D33="","",名簿!$D33&amp;IF(名簿!$F33="転出","（転出）",""))</f>
        <v/>
      </c>
      <c r="D33" s="149"/>
      <c r="E33" s="61" t="str">
        <f aca="false">IF(OR($C33="",名簿!$F33="転出"),"",IF($C$2="学級ごと",$A33,$D33&amp;""))</f>
        <v/>
      </c>
      <c r="F33" s="150"/>
      <c r="G33" s="150"/>
      <c r="H33" s="150"/>
      <c r="I33" s="151"/>
      <c r="J33" s="41" t="str">
        <f aca="false">IF($E33="","",$E33&amp;"|"&amp;COUNTIF($E$5:$E33,$E33))</f>
        <v/>
      </c>
      <c r="K33" s="40" t="str">
        <f aca="false">IF($I33="","",LEN($I33))</f>
        <v/>
      </c>
      <c r="L33" s="13"/>
      <c r="M33" s="13"/>
      <c r="N33" s="13"/>
      <c r="O33" s="13"/>
      <c r="P33" s="152"/>
      <c r="Q33" s="149"/>
      <c r="R33" s="152"/>
      <c r="S33" s="152"/>
      <c r="T33" s="62" t="str">
        <f aca="false">IF(OR($C33="",R33=""),"",IF(R33/IF($R$2="",100,$R$2)&gt;=設定!$I$28,設定!$G$8,IF(R33/IF($R$2="",100,$R$2)&lt;設定!$I$29,設定!$G$10,設定!$G$9)))</f>
        <v/>
      </c>
      <c r="U33" s="62" t="str">
        <f aca="false">IF(OR($C33="",S33=""),"",IF(S33/IF($S$2="",100,$S$2)&gt;=設定!$I$28,設定!$G$8,IF(S33/IF($S$2="",100,$S$2)&lt;設定!$I$29,設定!$G$10,設定!$G$9)))</f>
        <v/>
      </c>
    </row>
    <row r="34" customFormat="false" ht="21" hidden="false" customHeight="true" outlineLevel="0" collapsed="false">
      <c r="A34" s="91" t="str">
        <f aca="false">IF(名簿!$D34="","",名簿!$B34&amp;"")</f>
        <v/>
      </c>
      <c r="B34" s="91" t="str">
        <f aca="false">IF(名簿!$D34="","",名簿!$C34)</f>
        <v/>
      </c>
      <c r="C34" s="59" t="str">
        <f aca="false">IF(名簿!$D34="","",名簿!$D34&amp;IF(名簿!$F34="転出","（転出）",""))</f>
        <v/>
      </c>
      <c r="D34" s="149"/>
      <c r="E34" s="61" t="str">
        <f aca="false">IF(OR($C34="",名簿!$F34="転出"),"",IF($C$2="学級ごと",$A34,$D34&amp;""))</f>
        <v/>
      </c>
      <c r="F34" s="150"/>
      <c r="G34" s="150"/>
      <c r="H34" s="150"/>
      <c r="I34" s="151"/>
      <c r="J34" s="41" t="str">
        <f aca="false">IF($E34="","",$E34&amp;"|"&amp;COUNTIF($E$5:$E34,$E34))</f>
        <v/>
      </c>
      <c r="K34" s="40" t="str">
        <f aca="false">IF($I34="","",LEN($I34))</f>
        <v/>
      </c>
      <c r="L34" s="13"/>
      <c r="M34" s="13"/>
      <c r="N34" s="13"/>
      <c r="O34" s="13"/>
      <c r="P34" s="152"/>
      <c r="Q34" s="149"/>
      <c r="R34" s="152"/>
      <c r="S34" s="152"/>
      <c r="T34" s="62" t="str">
        <f aca="false">IF(OR($C34="",R34=""),"",IF(R34/IF($R$2="",100,$R$2)&gt;=設定!$I$28,設定!$G$8,IF(R34/IF($R$2="",100,$R$2)&lt;設定!$I$29,設定!$G$10,設定!$G$9)))</f>
        <v/>
      </c>
      <c r="U34" s="62" t="str">
        <f aca="false">IF(OR($C34="",S34=""),"",IF(S34/IF($S$2="",100,$S$2)&gt;=設定!$I$28,設定!$G$8,IF(S34/IF($S$2="",100,$S$2)&lt;設定!$I$29,設定!$G$10,設定!$G$9)))</f>
        <v/>
      </c>
    </row>
    <row r="35" customFormat="false" ht="21" hidden="false" customHeight="true" outlineLevel="0" collapsed="false">
      <c r="A35" s="91" t="str">
        <f aca="false">IF(名簿!$D35="","",名簿!$B35&amp;"")</f>
        <v/>
      </c>
      <c r="B35" s="91" t="str">
        <f aca="false">IF(名簿!$D35="","",名簿!$C35)</f>
        <v/>
      </c>
      <c r="C35" s="59" t="str">
        <f aca="false">IF(名簿!$D35="","",名簿!$D35&amp;IF(名簿!$F35="転出","（転出）",""))</f>
        <v/>
      </c>
      <c r="D35" s="149"/>
      <c r="E35" s="61" t="str">
        <f aca="false">IF(OR($C35="",名簿!$F35="転出"),"",IF($C$2="学級ごと",$A35,$D35&amp;""))</f>
        <v/>
      </c>
      <c r="F35" s="150"/>
      <c r="G35" s="150"/>
      <c r="H35" s="150"/>
      <c r="I35" s="151"/>
      <c r="J35" s="41" t="str">
        <f aca="false">IF($E35="","",$E35&amp;"|"&amp;COUNTIF($E$5:$E35,$E35))</f>
        <v/>
      </c>
      <c r="K35" s="40" t="str">
        <f aca="false">IF($I35="","",LEN($I35))</f>
        <v/>
      </c>
      <c r="L35" s="13"/>
      <c r="M35" s="13"/>
      <c r="N35" s="13"/>
      <c r="O35" s="13"/>
      <c r="P35" s="152"/>
      <c r="Q35" s="149"/>
      <c r="R35" s="152"/>
      <c r="S35" s="152"/>
      <c r="T35" s="62" t="str">
        <f aca="false">IF(OR($C35="",R35=""),"",IF(R35/IF($R$2="",100,$R$2)&gt;=設定!$I$28,設定!$G$8,IF(R35/IF($R$2="",100,$R$2)&lt;設定!$I$29,設定!$G$10,設定!$G$9)))</f>
        <v/>
      </c>
      <c r="U35" s="62" t="str">
        <f aca="false">IF(OR($C35="",S35=""),"",IF(S35/IF($S$2="",100,$S$2)&gt;=設定!$I$28,設定!$G$8,IF(S35/IF($S$2="",100,$S$2)&lt;設定!$I$29,設定!$G$10,設定!$G$9)))</f>
        <v/>
      </c>
    </row>
    <row r="36" customFormat="false" ht="21" hidden="false" customHeight="true" outlineLevel="0" collapsed="false">
      <c r="A36" s="91" t="str">
        <f aca="false">IF(名簿!$D36="","",名簿!$B36&amp;"")</f>
        <v/>
      </c>
      <c r="B36" s="91" t="str">
        <f aca="false">IF(名簿!$D36="","",名簿!$C36)</f>
        <v/>
      </c>
      <c r="C36" s="59" t="str">
        <f aca="false">IF(名簿!$D36="","",名簿!$D36&amp;IF(名簿!$F36="転出","（転出）",""))</f>
        <v/>
      </c>
      <c r="D36" s="149"/>
      <c r="E36" s="61" t="str">
        <f aca="false">IF(OR($C36="",名簿!$F36="転出"),"",IF($C$2="学級ごと",$A36,$D36&amp;""))</f>
        <v/>
      </c>
      <c r="F36" s="150"/>
      <c r="G36" s="150"/>
      <c r="H36" s="150"/>
      <c r="I36" s="151"/>
      <c r="J36" s="41" t="str">
        <f aca="false">IF($E36="","",$E36&amp;"|"&amp;COUNTIF($E$5:$E36,$E36))</f>
        <v/>
      </c>
      <c r="K36" s="40" t="str">
        <f aca="false">IF($I36="","",LEN($I36))</f>
        <v/>
      </c>
      <c r="L36" s="13"/>
      <c r="M36" s="13"/>
      <c r="N36" s="13"/>
      <c r="O36" s="13"/>
      <c r="P36" s="152"/>
      <c r="Q36" s="149"/>
      <c r="R36" s="152"/>
      <c r="S36" s="152"/>
      <c r="T36" s="62" t="str">
        <f aca="false">IF(OR($C36="",R36=""),"",IF(R36/IF($R$2="",100,$R$2)&gt;=設定!$I$28,設定!$G$8,IF(R36/IF($R$2="",100,$R$2)&lt;設定!$I$29,設定!$G$10,設定!$G$9)))</f>
        <v/>
      </c>
      <c r="U36" s="62" t="str">
        <f aca="false">IF(OR($C36="",S36=""),"",IF(S36/IF($S$2="",100,$S$2)&gt;=設定!$I$28,設定!$G$8,IF(S36/IF($S$2="",100,$S$2)&lt;設定!$I$29,設定!$G$10,設定!$G$9)))</f>
        <v/>
      </c>
    </row>
    <row r="37" customFormat="false" ht="21" hidden="false" customHeight="true" outlineLevel="0" collapsed="false">
      <c r="A37" s="91" t="str">
        <f aca="false">IF(名簿!$D37="","",名簿!$B37&amp;"")</f>
        <v/>
      </c>
      <c r="B37" s="91" t="str">
        <f aca="false">IF(名簿!$D37="","",名簿!$C37)</f>
        <v/>
      </c>
      <c r="C37" s="59" t="str">
        <f aca="false">IF(名簿!$D37="","",名簿!$D37&amp;IF(名簿!$F37="転出","（転出）",""))</f>
        <v/>
      </c>
      <c r="D37" s="149"/>
      <c r="E37" s="61" t="str">
        <f aca="false">IF(OR($C37="",名簿!$F37="転出"),"",IF($C$2="学級ごと",$A37,$D37&amp;""))</f>
        <v/>
      </c>
      <c r="F37" s="150"/>
      <c r="G37" s="150"/>
      <c r="H37" s="150"/>
      <c r="I37" s="151"/>
      <c r="J37" s="41" t="str">
        <f aca="false">IF($E37="","",$E37&amp;"|"&amp;COUNTIF($E$5:$E37,$E37))</f>
        <v/>
      </c>
      <c r="K37" s="40" t="str">
        <f aca="false">IF($I37="","",LEN($I37))</f>
        <v/>
      </c>
      <c r="L37" s="13"/>
      <c r="M37" s="13"/>
      <c r="N37" s="13"/>
      <c r="O37" s="13"/>
      <c r="P37" s="152"/>
      <c r="Q37" s="149"/>
      <c r="R37" s="152"/>
      <c r="S37" s="152"/>
      <c r="T37" s="62" t="str">
        <f aca="false">IF(OR($C37="",R37=""),"",IF(R37/IF($R$2="",100,$R$2)&gt;=設定!$I$28,設定!$G$8,IF(R37/IF($R$2="",100,$R$2)&lt;設定!$I$29,設定!$G$10,設定!$G$9)))</f>
        <v/>
      </c>
      <c r="U37" s="62" t="str">
        <f aca="false">IF(OR($C37="",S37=""),"",IF(S37/IF($S$2="",100,$S$2)&gt;=設定!$I$28,設定!$G$8,IF(S37/IF($S$2="",100,$S$2)&lt;設定!$I$29,設定!$G$10,設定!$G$9)))</f>
        <v/>
      </c>
    </row>
    <row r="38" customFormat="false" ht="21" hidden="false" customHeight="true" outlineLevel="0" collapsed="false">
      <c r="A38" s="91" t="str">
        <f aca="false">IF(名簿!$D38="","",名簿!$B38&amp;"")</f>
        <v/>
      </c>
      <c r="B38" s="91" t="str">
        <f aca="false">IF(名簿!$D38="","",名簿!$C38)</f>
        <v/>
      </c>
      <c r="C38" s="59" t="str">
        <f aca="false">IF(名簿!$D38="","",名簿!$D38&amp;IF(名簿!$F38="転出","（転出）",""))</f>
        <v/>
      </c>
      <c r="D38" s="149"/>
      <c r="E38" s="61" t="str">
        <f aca="false">IF(OR($C38="",名簿!$F38="転出"),"",IF($C$2="学級ごと",$A38,$D38&amp;""))</f>
        <v/>
      </c>
      <c r="F38" s="150"/>
      <c r="G38" s="150"/>
      <c r="H38" s="150"/>
      <c r="I38" s="151"/>
      <c r="J38" s="41" t="str">
        <f aca="false">IF($E38="","",$E38&amp;"|"&amp;COUNTIF($E$5:$E38,$E38))</f>
        <v/>
      </c>
      <c r="K38" s="40" t="str">
        <f aca="false">IF($I38="","",LEN($I38))</f>
        <v/>
      </c>
      <c r="L38" s="13"/>
      <c r="M38" s="13"/>
      <c r="N38" s="13"/>
      <c r="O38" s="13"/>
      <c r="P38" s="152"/>
      <c r="Q38" s="149"/>
      <c r="R38" s="152"/>
      <c r="S38" s="152"/>
      <c r="T38" s="62" t="str">
        <f aca="false">IF(OR($C38="",R38=""),"",IF(R38/IF($R$2="",100,$R$2)&gt;=設定!$I$28,設定!$G$8,IF(R38/IF($R$2="",100,$R$2)&lt;設定!$I$29,設定!$G$10,設定!$G$9)))</f>
        <v/>
      </c>
      <c r="U38" s="62" t="str">
        <f aca="false">IF(OR($C38="",S38=""),"",IF(S38/IF($S$2="",100,$S$2)&gt;=設定!$I$28,設定!$G$8,IF(S38/IF($S$2="",100,$S$2)&lt;設定!$I$29,設定!$G$10,設定!$G$9)))</f>
        <v/>
      </c>
    </row>
    <row r="39" customFormat="false" ht="21" hidden="false" customHeight="true" outlineLevel="0" collapsed="false">
      <c r="A39" s="91" t="str">
        <f aca="false">IF(名簿!$D39="","",名簿!$B39&amp;"")</f>
        <v/>
      </c>
      <c r="B39" s="91" t="str">
        <f aca="false">IF(名簿!$D39="","",名簿!$C39)</f>
        <v/>
      </c>
      <c r="C39" s="59" t="str">
        <f aca="false">IF(名簿!$D39="","",名簿!$D39&amp;IF(名簿!$F39="転出","（転出）",""))</f>
        <v/>
      </c>
      <c r="D39" s="149"/>
      <c r="E39" s="61" t="str">
        <f aca="false">IF(OR($C39="",名簿!$F39="転出"),"",IF($C$2="学級ごと",$A39,$D39&amp;""))</f>
        <v/>
      </c>
      <c r="F39" s="150"/>
      <c r="G39" s="150"/>
      <c r="H39" s="150"/>
      <c r="I39" s="151"/>
      <c r="J39" s="41" t="str">
        <f aca="false">IF($E39="","",$E39&amp;"|"&amp;COUNTIF($E$5:$E39,$E39))</f>
        <v/>
      </c>
      <c r="K39" s="40" t="str">
        <f aca="false">IF($I39="","",LEN($I39))</f>
        <v/>
      </c>
      <c r="L39" s="13"/>
      <c r="M39" s="13"/>
      <c r="N39" s="13"/>
      <c r="O39" s="13"/>
      <c r="P39" s="152"/>
      <c r="Q39" s="149"/>
      <c r="R39" s="152"/>
      <c r="S39" s="152"/>
      <c r="T39" s="62" t="str">
        <f aca="false">IF(OR($C39="",R39=""),"",IF(R39/IF($R$2="",100,$R$2)&gt;=設定!$I$28,設定!$G$8,IF(R39/IF($R$2="",100,$R$2)&lt;設定!$I$29,設定!$G$10,設定!$G$9)))</f>
        <v/>
      </c>
      <c r="U39" s="62" t="str">
        <f aca="false">IF(OR($C39="",S39=""),"",IF(S39/IF($S$2="",100,$S$2)&gt;=設定!$I$28,設定!$G$8,IF(S39/IF($S$2="",100,$S$2)&lt;設定!$I$29,設定!$G$10,設定!$G$9)))</f>
        <v/>
      </c>
    </row>
    <row r="40" customFormat="false" ht="21" hidden="false" customHeight="true" outlineLevel="0" collapsed="false">
      <c r="A40" s="91" t="str">
        <f aca="false">IF(名簿!$D40="","",名簿!$B40&amp;"")</f>
        <v/>
      </c>
      <c r="B40" s="91" t="str">
        <f aca="false">IF(名簿!$D40="","",名簿!$C40)</f>
        <v/>
      </c>
      <c r="C40" s="59" t="str">
        <f aca="false">IF(名簿!$D40="","",名簿!$D40&amp;IF(名簿!$F40="転出","（転出）",""))</f>
        <v/>
      </c>
      <c r="D40" s="149"/>
      <c r="E40" s="61" t="str">
        <f aca="false">IF(OR($C40="",名簿!$F40="転出"),"",IF($C$2="学級ごと",$A40,$D40&amp;""))</f>
        <v/>
      </c>
      <c r="F40" s="150"/>
      <c r="G40" s="150"/>
      <c r="H40" s="150"/>
      <c r="I40" s="151"/>
      <c r="J40" s="41" t="str">
        <f aca="false">IF($E40="","",$E40&amp;"|"&amp;COUNTIF($E$5:$E40,$E40))</f>
        <v/>
      </c>
      <c r="K40" s="40" t="str">
        <f aca="false">IF($I40="","",LEN($I40))</f>
        <v/>
      </c>
      <c r="L40" s="13"/>
      <c r="M40" s="13"/>
      <c r="N40" s="13"/>
      <c r="O40" s="13"/>
      <c r="P40" s="152"/>
      <c r="Q40" s="149"/>
      <c r="R40" s="152"/>
      <c r="S40" s="152"/>
      <c r="T40" s="62" t="str">
        <f aca="false">IF(OR($C40="",R40=""),"",IF(R40/IF($R$2="",100,$R$2)&gt;=設定!$I$28,設定!$G$8,IF(R40/IF($R$2="",100,$R$2)&lt;設定!$I$29,設定!$G$10,設定!$G$9)))</f>
        <v/>
      </c>
      <c r="U40" s="62" t="str">
        <f aca="false">IF(OR($C40="",S40=""),"",IF(S40/IF($S$2="",100,$S$2)&gt;=設定!$I$28,設定!$G$8,IF(S40/IF($S$2="",100,$S$2)&lt;設定!$I$29,設定!$G$10,設定!$G$9)))</f>
        <v/>
      </c>
    </row>
    <row r="41" customFormat="false" ht="21" hidden="false" customHeight="true" outlineLevel="0" collapsed="false">
      <c r="A41" s="91" t="str">
        <f aca="false">IF(名簿!$D41="","",名簿!$B41&amp;"")</f>
        <v/>
      </c>
      <c r="B41" s="91" t="str">
        <f aca="false">IF(名簿!$D41="","",名簿!$C41)</f>
        <v/>
      </c>
      <c r="C41" s="59" t="str">
        <f aca="false">IF(名簿!$D41="","",名簿!$D41&amp;IF(名簿!$F41="転出","（転出）",""))</f>
        <v/>
      </c>
      <c r="D41" s="149"/>
      <c r="E41" s="61" t="str">
        <f aca="false">IF(OR($C41="",名簿!$F41="転出"),"",IF($C$2="学級ごと",$A41,$D41&amp;""))</f>
        <v/>
      </c>
      <c r="F41" s="150"/>
      <c r="G41" s="150"/>
      <c r="H41" s="150"/>
      <c r="I41" s="151"/>
      <c r="J41" s="41" t="str">
        <f aca="false">IF($E41="","",$E41&amp;"|"&amp;COUNTIF($E$5:$E41,$E41))</f>
        <v/>
      </c>
      <c r="K41" s="40" t="str">
        <f aca="false">IF($I41="","",LEN($I41))</f>
        <v/>
      </c>
      <c r="L41" s="13"/>
      <c r="M41" s="13"/>
      <c r="N41" s="13"/>
      <c r="O41" s="13"/>
      <c r="P41" s="152"/>
      <c r="Q41" s="149"/>
      <c r="R41" s="152"/>
      <c r="S41" s="152"/>
      <c r="T41" s="62" t="str">
        <f aca="false">IF(OR($C41="",R41=""),"",IF(R41/IF($R$2="",100,$R$2)&gt;=設定!$I$28,設定!$G$8,IF(R41/IF($R$2="",100,$R$2)&lt;設定!$I$29,設定!$G$10,設定!$G$9)))</f>
        <v/>
      </c>
      <c r="U41" s="62" t="str">
        <f aca="false">IF(OR($C41="",S41=""),"",IF(S41/IF($S$2="",100,$S$2)&gt;=設定!$I$28,設定!$G$8,IF(S41/IF($S$2="",100,$S$2)&lt;設定!$I$29,設定!$G$10,設定!$G$9)))</f>
        <v/>
      </c>
    </row>
    <row r="42" customFormat="false" ht="21" hidden="false" customHeight="true" outlineLevel="0" collapsed="false">
      <c r="A42" s="91" t="str">
        <f aca="false">IF(名簿!$D42="","",名簿!$B42&amp;"")</f>
        <v/>
      </c>
      <c r="B42" s="91" t="str">
        <f aca="false">IF(名簿!$D42="","",名簿!$C42)</f>
        <v/>
      </c>
      <c r="C42" s="59" t="str">
        <f aca="false">IF(名簿!$D42="","",名簿!$D42&amp;IF(名簿!$F42="転出","（転出）",""))</f>
        <v/>
      </c>
      <c r="D42" s="149"/>
      <c r="E42" s="61" t="str">
        <f aca="false">IF(OR($C42="",名簿!$F42="転出"),"",IF($C$2="学級ごと",$A42,$D42&amp;""))</f>
        <v/>
      </c>
      <c r="F42" s="150"/>
      <c r="G42" s="150"/>
      <c r="H42" s="150"/>
      <c r="I42" s="151"/>
      <c r="J42" s="41" t="str">
        <f aca="false">IF($E42="","",$E42&amp;"|"&amp;COUNTIF($E$5:$E42,$E42))</f>
        <v/>
      </c>
      <c r="K42" s="40" t="str">
        <f aca="false">IF($I42="","",LEN($I42))</f>
        <v/>
      </c>
      <c r="L42" s="13"/>
      <c r="M42" s="13"/>
      <c r="N42" s="13"/>
      <c r="O42" s="13"/>
      <c r="P42" s="152"/>
      <c r="Q42" s="149"/>
      <c r="R42" s="152"/>
      <c r="S42" s="152"/>
      <c r="T42" s="62" t="str">
        <f aca="false">IF(OR($C42="",R42=""),"",IF(R42/IF($R$2="",100,$R$2)&gt;=設定!$I$28,設定!$G$8,IF(R42/IF($R$2="",100,$R$2)&lt;設定!$I$29,設定!$G$10,設定!$G$9)))</f>
        <v/>
      </c>
      <c r="U42" s="62" t="str">
        <f aca="false">IF(OR($C42="",S42=""),"",IF(S42/IF($S$2="",100,$S$2)&gt;=設定!$I$28,設定!$G$8,IF(S42/IF($S$2="",100,$S$2)&lt;設定!$I$29,設定!$G$10,設定!$G$9)))</f>
        <v/>
      </c>
    </row>
    <row r="43" customFormat="false" ht="21" hidden="false" customHeight="true" outlineLevel="0" collapsed="false">
      <c r="A43" s="91" t="str">
        <f aca="false">IF(名簿!$D43="","",名簿!$B43&amp;"")</f>
        <v/>
      </c>
      <c r="B43" s="91" t="str">
        <f aca="false">IF(名簿!$D43="","",名簿!$C43)</f>
        <v/>
      </c>
      <c r="C43" s="59" t="str">
        <f aca="false">IF(名簿!$D43="","",名簿!$D43&amp;IF(名簿!$F43="転出","（転出）",""))</f>
        <v/>
      </c>
      <c r="D43" s="149"/>
      <c r="E43" s="61" t="str">
        <f aca="false">IF(OR($C43="",名簿!$F43="転出"),"",IF($C$2="学級ごと",$A43,$D43&amp;""))</f>
        <v/>
      </c>
      <c r="F43" s="150"/>
      <c r="G43" s="150"/>
      <c r="H43" s="150"/>
      <c r="I43" s="151"/>
      <c r="J43" s="41" t="str">
        <f aca="false">IF($E43="","",$E43&amp;"|"&amp;COUNTIF($E$5:$E43,$E43))</f>
        <v/>
      </c>
      <c r="K43" s="40" t="str">
        <f aca="false">IF($I43="","",LEN($I43))</f>
        <v/>
      </c>
      <c r="L43" s="13"/>
      <c r="M43" s="13"/>
      <c r="N43" s="13"/>
      <c r="O43" s="13"/>
      <c r="P43" s="152"/>
      <c r="Q43" s="149"/>
      <c r="R43" s="152"/>
      <c r="S43" s="152"/>
      <c r="T43" s="62" t="str">
        <f aca="false">IF(OR($C43="",R43=""),"",IF(R43/IF($R$2="",100,$R$2)&gt;=設定!$I$28,設定!$G$8,IF(R43/IF($R$2="",100,$R$2)&lt;設定!$I$29,設定!$G$10,設定!$G$9)))</f>
        <v/>
      </c>
      <c r="U43" s="62" t="str">
        <f aca="false">IF(OR($C43="",S43=""),"",IF(S43/IF($S$2="",100,$S$2)&gt;=設定!$I$28,設定!$G$8,IF(S43/IF($S$2="",100,$S$2)&lt;設定!$I$29,設定!$G$10,設定!$G$9)))</f>
        <v/>
      </c>
    </row>
    <row r="44" customFormat="false" ht="21" hidden="false" customHeight="true" outlineLevel="0" collapsed="false">
      <c r="A44" s="91" t="str">
        <f aca="false">IF(名簿!$D44="","",名簿!$B44&amp;"")</f>
        <v/>
      </c>
      <c r="B44" s="91" t="str">
        <f aca="false">IF(名簿!$D44="","",名簿!$C44)</f>
        <v/>
      </c>
      <c r="C44" s="59" t="str">
        <f aca="false">IF(名簿!$D44="","",名簿!$D44&amp;IF(名簿!$F44="転出","（転出）",""))</f>
        <v/>
      </c>
      <c r="D44" s="149"/>
      <c r="E44" s="61" t="str">
        <f aca="false">IF(OR($C44="",名簿!$F44="転出"),"",IF($C$2="学級ごと",$A44,$D44&amp;""))</f>
        <v/>
      </c>
      <c r="F44" s="150"/>
      <c r="G44" s="150"/>
      <c r="H44" s="150"/>
      <c r="I44" s="151"/>
      <c r="J44" s="41" t="str">
        <f aca="false">IF($E44="","",$E44&amp;"|"&amp;COUNTIF($E$5:$E44,$E44))</f>
        <v/>
      </c>
      <c r="K44" s="40" t="str">
        <f aca="false">IF($I44="","",LEN($I44))</f>
        <v/>
      </c>
      <c r="L44" s="13"/>
      <c r="M44" s="13"/>
      <c r="N44" s="13"/>
      <c r="O44" s="13"/>
      <c r="P44" s="152"/>
      <c r="Q44" s="149"/>
      <c r="R44" s="152"/>
      <c r="S44" s="152"/>
      <c r="T44" s="62" t="str">
        <f aca="false">IF(OR($C44="",R44=""),"",IF(R44/IF($R$2="",100,$R$2)&gt;=設定!$I$28,設定!$G$8,IF(R44/IF($R$2="",100,$R$2)&lt;設定!$I$29,設定!$G$10,設定!$G$9)))</f>
        <v/>
      </c>
      <c r="U44" s="62" t="str">
        <f aca="false">IF(OR($C44="",S44=""),"",IF(S44/IF($S$2="",100,$S$2)&gt;=設定!$I$28,設定!$G$8,IF(S44/IF($S$2="",100,$S$2)&lt;設定!$I$29,設定!$G$10,設定!$G$9)))</f>
        <v/>
      </c>
    </row>
    <row r="45" customFormat="false" ht="21" hidden="false" customHeight="true" outlineLevel="0" collapsed="false">
      <c r="A45" s="91" t="str">
        <f aca="false">IF(名簿!$D45="","",名簿!$B45&amp;"")</f>
        <v/>
      </c>
      <c r="B45" s="91" t="str">
        <f aca="false">IF(名簿!$D45="","",名簿!$C45)</f>
        <v/>
      </c>
      <c r="C45" s="59" t="str">
        <f aca="false">IF(名簿!$D45="","",名簿!$D45&amp;IF(名簿!$F45="転出","（転出）",""))</f>
        <v/>
      </c>
      <c r="D45" s="149"/>
      <c r="E45" s="61" t="str">
        <f aca="false">IF(OR($C45="",名簿!$F45="転出"),"",IF($C$2="学級ごと",$A45,$D45&amp;""))</f>
        <v/>
      </c>
      <c r="F45" s="150"/>
      <c r="G45" s="150"/>
      <c r="H45" s="150"/>
      <c r="I45" s="151"/>
      <c r="J45" s="41" t="str">
        <f aca="false">IF($E45="","",$E45&amp;"|"&amp;COUNTIF($E$5:$E45,$E45))</f>
        <v/>
      </c>
      <c r="K45" s="40" t="str">
        <f aca="false">IF($I45="","",LEN($I45))</f>
        <v/>
      </c>
      <c r="L45" s="13"/>
      <c r="M45" s="13"/>
      <c r="N45" s="13"/>
      <c r="O45" s="13"/>
      <c r="P45" s="152"/>
      <c r="Q45" s="149"/>
      <c r="R45" s="152"/>
      <c r="S45" s="152"/>
      <c r="T45" s="62" t="str">
        <f aca="false">IF(OR($C45="",R45=""),"",IF(R45/IF($R$2="",100,$R$2)&gt;=設定!$I$28,設定!$G$8,IF(R45/IF($R$2="",100,$R$2)&lt;設定!$I$29,設定!$G$10,設定!$G$9)))</f>
        <v/>
      </c>
      <c r="U45" s="62" t="str">
        <f aca="false">IF(OR($C45="",S45=""),"",IF(S45/IF($S$2="",100,$S$2)&gt;=設定!$I$28,設定!$G$8,IF(S45/IF($S$2="",100,$S$2)&lt;設定!$I$29,設定!$G$10,設定!$G$9)))</f>
        <v/>
      </c>
    </row>
    <row r="46" customFormat="false" ht="21" hidden="false" customHeight="true" outlineLevel="0" collapsed="false">
      <c r="A46" s="91" t="str">
        <f aca="false">IF(名簿!$D46="","",名簿!$B46&amp;"")</f>
        <v/>
      </c>
      <c r="B46" s="91" t="str">
        <f aca="false">IF(名簿!$D46="","",名簿!$C46)</f>
        <v/>
      </c>
      <c r="C46" s="59" t="str">
        <f aca="false">IF(名簿!$D46="","",名簿!$D46&amp;IF(名簿!$F46="転出","（転出）",""))</f>
        <v/>
      </c>
      <c r="D46" s="149"/>
      <c r="E46" s="61" t="str">
        <f aca="false">IF(OR($C46="",名簿!$F46="転出"),"",IF($C$2="学級ごと",$A46,$D46&amp;""))</f>
        <v/>
      </c>
      <c r="F46" s="150"/>
      <c r="G46" s="150"/>
      <c r="H46" s="150"/>
      <c r="I46" s="151"/>
      <c r="J46" s="41" t="str">
        <f aca="false">IF($E46="","",$E46&amp;"|"&amp;COUNTIF($E$5:$E46,$E46))</f>
        <v/>
      </c>
      <c r="K46" s="40" t="str">
        <f aca="false">IF($I46="","",LEN($I46))</f>
        <v/>
      </c>
      <c r="L46" s="13"/>
      <c r="M46" s="13"/>
      <c r="N46" s="13"/>
      <c r="O46" s="13"/>
      <c r="P46" s="152"/>
      <c r="Q46" s="149"/>
      <c r="R46" s="152"/>
      <c r="S46" s="152"/>
      <c r="T46" s="62" t="str">
        <f aca="false">IF(OR($C46="",R46=""),"",IF(R46/IF($R$2="",100,$R$2)&gt;=設定!$I$28,設定!$G$8,IF(R46/IF($R$2="",100,$R$2)&lt;設定!$I$29,設定!$G$10,設定!$G$9)))</f>
        <v/>
      </c>
      <c r="U46" s="62" t="str">
        <f aca="false">IF(OR($C46="",S46=""),"",IF(S46/IF($S$2="",100,$S$2)&gt;=設定!$I$28,設定!$G$8,IF(S46/IF($S$2="",100,$S$2)&lt;設定!$I$29,設定!$G$10,設定!$G$9)))</f>
        <v/>
      </c>
    </row>
    <row r="47" customFormat="false" ht="21" hidden="false" customHeight="true" outlineLevel="0" collapsed="false">
      <c r="A47" s="91" t="str">
        <f aca="false">IF(名簿!$D47="","",名簿!$B47&amp;"")</f>
        <v/>
      </c>
      <c r="B47" s="91" t="str">
        <f aca="false">IF(名簿!$D47="","",名簿!$C47)</f>
        <v/>
      </c>
      <c r="C47" s="59" t="str">
        <f aca="false">IF(名簿!$D47="","",名簿!$D47&amp;IF(名簿!$F47="転出","（転出）",""))</f>
        <v/>
      </c>
      <c r="D47" s="149"/>
      <c r="E47" s="61" t="str">
        <f aca="false">IF(OR($C47="",名簿!$F47="転出"),"",IF($C$2="学級ごと",$A47,$D47&amp;""))</f>
        <v/>
      </c>
      <c r="F47" s="150"/>
      <c r="G47" s="150"/>
      <c r="H47" s="150"/>
      <c r="I47" s="151"/>
      <c r="J47" s="41" t="str">
        <f aca="false">IF($E47="","",$E47&amp;"|"&amp;COUNTIF($E$5:$E47,$E47))</f>
        <v/>
      </c>
      <c r="K47" s="40" t="str">
        <f aca="false">IF($I47="","",LEN($I47))</f>
        <v/>
      </c>
      <c r="L47" s="13"/>
      <c r="M47" s="13"/>
      <c r="N47" s="13"/>
      <c r="O47" s="13"/>
      <c r="P47" s="152"/>
      <c r="Q47" s="149"/>
      <c r="R47" s="152"/>
      <c r="S47" s="152"/>
      <c r="T47" s="62" t="str">
        <f aca="false">IF(OR($C47="",R47=""),"",IF(R47/IF($R$2="",100,$R$2)&gt;=設定!$I$28,設定!$G$8,IF(R47/IF($R$2="",100,$R$2)&lt;設定!$I$29,設定!$G$10,設定!$G$9)))</f>
        <v/>
      </c>
      <c r="U47" s="62" t="str">
        <f aca="false">IF(OR($C47="",S47=""),"",IF(S47/IF($S$2="",100,$S$2)&gt;=設定!$I$28,設定!$G$8,IF(S47/IF($S$2="",100,$S$2)&lt;設定!$I$29,設定!$G$10,設定!$G$9)))</f>
        <v/>
      </c>
    </row>
    <row r="48" customFormat="false" ht="21" hidden="false" customHeight="true" outlineLevel="0" collapsed="false">
      <c r="A48" s="91" t="str">
        <f aca="false">IF(名簿!$D48="","",名簿!$B48&amp;"")</f>
        <v/>
      </c>
      <c r="B48" s="91" t="str">
        <f aca="false">IF(名簿!$D48="","",名簿!$C48)</f>
        <v/>
      </c>
      <c r="C48" s="59" t="str">
        <f aca="false">IF(名簿!$D48="","",名簿!$D48&amp;IF(名簿!$F48="転出","（転出）",""))</f>
        <v/>
      </c>
      <c r="D48" s="149"/>
      <c r="E48" s="61" t="str">
        <f aca="false">IF(OR($C48="",名簿!$F48="転出"),"",IF($C$2="学級ごと",$A48,$D48&amp;""))</f>
        <v/>
      </c>
      <c r="F48" s="150"/>
      <c r="G48" s="150"/>
      <c r="H48" s="150"/>
      <c r="I48" s="151"/>
      <c r="J48" s="41" t="str">
        <f aca="false">IF($E48="","",$E48&amp;"|"&amp;COUNTIF($E$5:$E48,$E48))</f>
        <v/>
      </c>
      <c r="K48" s="40" t="str">
        <f aca="false">IF($I48="","",LEN($I48))</f>
        <v/>
      </c>
      <c r="L48" s="13"/>
      <c r="M48" s="13"/>
      <c r="N48" s="13"/>
      <c r="O48" s="13"/>
      <c r="P48" s="152"/>
      <c r="Q48" s="149"/>
      <c r="R48" s="152"/>
      <c r="S48" s="152"/>
      <c r="T48" s="62" t="str">
        <f aca="false">IF(OR($C48="",R48=""),"",IF(R48/IF($R$2="",100,$R$2)&gt;=設定!$I$28,設定!$G$8,IF(R48/IF($R$2="",100,$R$2)&lt;設定!$I$29,設定!$G$10,設定!$G$9)))</f>
        <v/>
      </c>
      <c r="U48" s="62" t="str">
        <f aca="false">IF(OR($C48="",S48=""),"",IF(S48/IF($S$2="",100,$S$2)&gt;=設定!$I$28,設定!$G$8,IF(S48/IF($S$2="",100,$S$2)&lt;設定!$I$29,設定!$G$10,設定!$G$9)))</f>
        <v/>
      </c>
    </row>
    <row r="49" customFormat="false" ht="21" hidden="false" customHeight="true" outlineLevel="0" collapsed="false">
      <c r="A49" s="91" t="str">
        <f aca="false">IF(名簿!$D49="","",名簿!$B49&amp;"")</f>
        <v/>
      </c>
      <c r="B49" s="91" t="str">
        <f aca="false">IF(名簿!$D49="","",名簿!$C49)</f>
        <v/>
      </c>
      <c r="C49" s="59" t="str">
        <f aca="false">IF(名簿!$D49="","",名簿!$D49&amp;IF(名簿!$F49="転出","（転出）",""))</f>
        <v/>
      </c>
      <c r="D49" s="149"/>
      <c r="E49" s="61" t="str">
        <f aca="false">IF(OR($C49="",名簿!$F49="転出"),"",IF($C$2="学級ごと",$A49,$D49&amp;""))</f>
        <v/>
      </c>
      <c r="F49" s="150"/>
      <c r="G49" s="150"/>
      <c r="H49" s="150"/>
      <c r="I49" s="151"/>
      <c r="J49" s="41" t="str">
        <f aca="false">IF($E49="","",$E49&amp;"|"&amp;COUNTIF($E$5:$E49,$E49))</f>
        <v/>
      </c>
      <c r="K49" s="40" t="str">
        <f aca="false">IF($I49="","",LEN($I49))</f>
        <v/>
      </c>
      <c r="L49" s="13"/>
      <c r="M49" s="13"/>
      <c r="N49" s="13"/>
      <c r="O49" s="13"/>
      <c r="P49" s="152"/>
      <c r="Q49" s="149"/>
      <c r="R49" s="152"/>
      <c r="S49" s="152"/>
      <c r="T49" s="62" t="str">
        <f aca="false">IF(OR($C49="",R49=""),"",IF(R49/IF($R$2="",100,$R$2)&gt;=設定!$I$28,設定!$G$8,IF(R49/IF($R$2="",100,$R$2)&lt;設定!$I$29,設定!$G$10,設定!$G$9)))</f>
        <v/>
      </c>
      <c r="U49" s="62" t="str">
        <f aca="false">IF(OR($C49="",S49=""),"",IF(S49/IF($S$2="",100,$S$2)&gt;=設定!$I$28,設定!$G$8,IF(S49/IF($S$2="",100,$S$2)&lt;設定!$I$29,設定!$G$10,設定!$G$9)))</f>
        <v/>
      </c>
    </row>
    <row r="50" customFormat="false" ht="21" hidden="false" customHeight="true" outlineLevel="0" collapsed="false">
      <c r="A50" s="91" t="str">
        <f aca="false">IF(名簿!$D50="","",名簿!$B50&amp;"")</f>
        <v/>
      </c>
      <c r="B50" s="91" t="str">
        <f aca="false">IF(名簿!$D50="","",名簿!$C50)</f>
        <v/>
      </c>
      <c r="C50" s="59" t="str">
        <f aca="false">IF(名簿!$D50="","",名簿!$D50&amp;IF(名簿!$F50="転出","（転出）",""))</f>
        <v/>
      </c>
      <c r="D50" s="149"/>
      <c r="E50" s="61" t="str">
        <f aca="false">IF(OR($C50="",名簿!$F50="転出"),"",IF($C$2="学級ごと",$A50,$D50&amp;""))</f>
        <v/>
      </c>
      <c r="F50" s="150"/>
      <c r="G50" s="150"/>
      <c r="H50" s="150"/>
      <c r="I50" s="151"/>
      <c r="J50" s="41" t="str">
        <f aca="false">IF($E50="","",$E50&amp;"|"&amp;COUNTIF($E$5:$E50,$E50))</f>
        <v/>
      </c>
      <c r="K50" s="40" t="str">
        <f aca="false">IF($I50="","",LEN($I50))</f>
        <v/>
      </c>
      <c r="L50" s="13"/>
      <c r="M50" s="13"/>
      <c r="N50" s="13"/>
      <c r="O50" s="13"/>
      <c r="P50" s="152"/>
      <c r="Q50" s="149"/>
      <c r="R50" s="152"/>
      <c r="S50" s="152"/>
      <c r="T50" s="62" t="str">
        <f aca="false">IF(OR($C50="",R50=""),"",IF(R50/IF($R$2="",100,$R$2)&gt;=設定!$I$28,設定!$G$8,IF(R50/IF($R$2="",100,$R$2)&lt;設定!$I$29,設定!$G$10,設定!$G$9)))</f>
        <v/>
      </c>
      <c r="U50" s="62" t="str">
        <f aca="false">IF(OR($C50="",S50=""),"",IF(S50/IF($S$2="",100,$S$2)&gt;=設定!$I$28,設定!$G$8,IF(S50/IF($S$2="",100,$S$2)&lt;設定!$I$29,設定!$G$10,設定!$G$9)))</f>
        <v/>
      </c>
    </row>
    <row r="51" customFormat="false" ht="21" hidden="false" customHeight="true" outlineLevel="0" collapsed="false">
      <c r="A51" s="91" t="str">
        <f aca="false">IF(名簿!$D51="","",名簿!$B51&amp;"")</f>
        <v/>
      </c>
      <c r="B51" s="91" t="str">
        <f aca="false">IF(名簿!$D51="","",名簿!$C51)</f>
        <v/>
      </c>
      <c r="C51" s="59" t="str">
        <f aca="false">IF(名簿!$D51="","",名簿!$D51&amp;IF(名簿!$F51="転出","（転出）",""))</f>
        <v/>
      </c>
      <c r="D51" s="149"/>
      <c r="E51" s="61" t="str">
        <f aca="false">IF(OR($C51="",名簿!$F51="転出"),"",IF($C$2="学級ごと",$A51,$D51&amp;""))</f>
        <v/>
      </c>
      <c r="F51" s="150"/>
      <c r="G51" s="150"/>
      <c r="H51" s="150"/>
      <c r="I51" s="151"/>
      <c r="J51" s="41" t="str">
        <f aca="false">IF($E51="","",$E51&amp;"|"&amp;COUNTIF($E$5:$E51,$E51))</f>
        <v/>
      </c>
      <c r="K51" s="40" t="str">
        <f aca="false">IF($I51="","",LEN($I51))</f>
        <v/>
      </c>
      <c r="L51" s="13"/>
      <c r="M51" s="13"/>
      <c r="N51" s="13"/>
      <c r="O51" s="13"/>
      <c r="P51" s="152"/>
      <c r="Q51" s="149"/>
      <c r="R51" s="152"/>
      <c r="S51" s="152"/>
      <c r="T51" s="62" t="str">
        <f aca="false">IF(OR($C51="",R51=""),"",IF(R51/IF($R$2="",100,$R$2)&gt;=設定!$I$28,設定!$G$8,IF(R51/IF($R$2="",100,$R$2)&lt;設定!$I$29,設定!$G$10,設定!$G$9)))</f>
        <v/>
      </c>
      <c r="U51" s="62" t="str">
        <f aca="false">IF(OR($C51="",S51=""),"",IF(S51/IF($S$2="",100,$S$2)&gt;=設定!$I$28,設定!$G$8,IF(S51/IF($S$2="",100,$S$2)&lt;設定!$I$29,設定!$G$10,設定!$G$9)))</f>
        <v/>
      </c>
    </row>
    <row r="52" customFormat="false" ht="21" hidden="false" customHeight="true" outlineLevel="0" collapsed="false">
      <c r="A52" s="91" t="str">
        <f aca="false">IF(名簿!$D52="","",名簿!$B52&amp;"")</f>
        <v/>
      </c>
      <c r="B52" s="91" t="str">
        <f aca="false">IF(名簿!$D52="","",名簿!$C52)</f>
        <v/>
      </c>
      <c r="C52" s="59" t="str">
        <f aca="false">IF(名簿!$D52="","",名簿!$D52&amp;IF(名簿!$F52="転出","（転出）",""))</f>
        <v/>
      </c>
      <c r="D52" s="149"/>
      <c r="E52" s="61" t="str">
        <f aca="false">IF(OR($C52="",名簿!$F52="転出"),"",IF($C$2="学級ごと",$A52,$D52&amp;""))</f>
        <v/>
      </c>
      <c r="F52" s="150"/>
      <c r="G52" s="150"/>
      <c r="H52" s="150"/>
      <c r="I52" s="151"/>
      <c r="J52" s="41" t="str">
        <f aca="false">IF($E52="","",$E52&amp;"|"&amp;COUNTIF($E$5:$E52,$E52))</f>
        <v/>
      </c>
      <c r="K52" s="40" t="str">
        <f aca="false">IF($I52="","",LEN($I52))</f>
        <v/>
      </c>
      <c r="L52" s="13"/>
      <c r="M52" s="13"/>
      <c r="N52" s="13"/>
      <c r="O52" s="13"/>
      <c r="P52" s="152"/>
      <c r="Q52" s="149"/>
      <c r="R52" s="152"/>
      <c r="S52" s="152"/>
      <c r="T52" s="62" t="str">
        <f aca="false">IF(OR($C52="",R52=""),"",IF(R52/IF($R$2="",100,$R$2)&gt;=設定!$I$28,設定!$G$8,IF(R52/IF($R$2="",100,$R$2)&lt;設定!$I$29,設定!$G$10,設定!$G$9)))</f>
        <v/>
      </c>
      <c r="U52" s="62" t="str">
        <f aca="false">IF(OR($C52="",S52=""),"",IF(S52/IF($S$2="",100,$S$2)&gt;=設定!$I$28,設定!$G$8,IF(S52/IF($S$2="",100,$S$2)&lt;設定!$I$29,設定!$G$10,設定!$G$9)))</f>
        <v/>
      </c>
    </row>
    <row r="53" customFormat="false" ht="21" hidden="false" customHeight="true" outlineLevel="0" collapsed="false">
      <c r="A53" s="91" t="str">
        <f aca="false">IF(名簿!$D53="","",名簿!$B53&amp;"")</f>
        <v/>
      </c>
      <c r="B53" s="91" t="str">
        <f aca="false">IF(名簿!$D53="","",名簿!$C53)</f>
        <v/>
      </c>
      <c r="C53" s="59" t="str">
        <f aca="false">IF(名簿!$D53="","",名簿!$D53&amp;IF(名簿!$F53="転出","（転出）",""))</f>
        <v/>
      </c>
      <c r="D53" s="149"/>
      <c r="E53" s="61" t="str">
        <f aca="false">IF(OR($C53="",名簿!$F53="転出"),"",IF($C$2="学級ごと",$A53,$D53&amp;""))</f>
        <v/>
      </c>
      <c r="F53" s="150"/>
      <c r="G53" s="150"/>
      <c r="H53" s="150"/>
      <c r="I53" s="151"/>
      <c r="J53" s="41" t="str">
        <f aca="false">IF($E53="","",$E53&amp;"|"&amp;COUNTIF($E$5:$E53,$E53))</f>
        <v/>
      </c>
      <c r="K53" s="40" t="str">
        <f aca="false">IF($I53="","",LEN($I53))</f>
        <v/>
      </c>
      <c r="L53" s="13"/>
      <c r="M53" s="13"/>
      <c r="N53" s="13"/>
      <c r="O53" s="13"/>
      <c r="P53" s="152"/>
      <c r="Q53" s="149"/>
      <c r="R53" s="152"/>
      <c r="S53" s="152"/>
      <c r="T53" s="62" t="str">
        <f aca="false">IF(OR($C53="",R53=""),"",IF(R53/IF($R$2="",100,$R$2)&gt;=設定!$I$28,設定!$G$8,IF(R53/IF($R$2="",100,$R$2)&lt;設定!$I$29,設定!$G$10,設定!$G$9)))</f>
        <v/>
      </c>
      <c r="U53" s="62" t="str">
        <f aca="false">IF(OR($C53="",S53=""),"",IF(S53/IF($S$2="",100,$S$2)&gt;=設定!$I$28,設定!$G$8,IF(S53/IF($S$2="",100,$S$2)&lt;設定!$I$29,設定!$G$10,設定!$G$9)))</f>
        <v/>
      </c>
    </row>
    <row r="54" customFormat="false" ht="21" hidden="false" customHeight="true" outlineLevel="0" collapsed="false">
      <c r="A54" s="91" t="str">
        <f aca="false">IF(名簿!$D54="","",名簿!$B54&amp;"")</f>
        <v/>
      </c>
      <c r="B54" s="91" t="str">
        <f aca="false">IF(名簿!$D54="","",名簿!$C54)</f>
        <v/>
      </c>
      <c r="C54" s="59" t="str">
        <f aca="false">IF(名簿!$D54="","",名簿!$D54&amp;IF(名簿!$F54="転出","（転出）",""))</f>
        <v/>
      </c>
      <c r="D54" s="149"/>
      <c r="E54" s="61" t="str">
        <f aca="false">IF(OR($C54="",名簿!$F54="転出"),"",IF($C$2="学級ごと",$A54,$D54&amp;""))</f>
        <v/>
      </c>
      <c r="F54" s="150"/>
      <c r="G54" s="150"/>
      <c r="H54" s="150"/>
      <c r="I54" s="151"/>
      <c r="J54" s="41" t="str">
        <f aca="false">IF($E54="","",$E54&amp;"|"&amp;COUNTIF($E$5:$E54,$E54))</f>
        <v/>
      </c>
      <c r="K54" s="40" t="str">
        <f aca="false">IF($I54="","",LEN($I54))</f>
        <v/>
      </c>
      <c r="L54" s="13"/>
      <c r="M54" s="13"/>
      <c r="N54" s="13"/>
      <c r="O54" s="13"/>
      <c r="P54" s="152"/>
      <c r="Q54" s="149"/>
      <c r="R54" s="152"/>
      <c r="S54" s="152"/>
      <c r="T54" s="62" t="str">
        <f aca="false">IF(OR($C54="",R54=""),"",IF(R54/IF($R$2="",100,$R$2)&gt;=設定!$I$28,設定!$G$8,IF(R54/IF($R$2="",100,$R$2)&lt;設定!$I$29,設定!$G$10,設定!$G$9)))</f>
        <v/>
      </c>
      <c r="U54" s="62" t="str">
        <f aca="false">IF(OR($C54="",S54=""),"",IF(S54/IF($S$2="",100,$S$2)&gt;=設定!$I$28,設定!$G$8,IF(S54/IF($S$2="",100,$S$2)&lt;設定!$I$29,設定!$G$10,設定!$G$9)))</f>
        <v/>
      </c>
    </row>
    <row r="55" customFormat="false" ht="21" hidden="false" customHeight="true" outlineLevel="0" collapsed="false">
      <c r="A55" s="91" t="str">
        <f aca="false">IF(名簿!$D55="","",名簿!$B55&amp;"")</f>
        <v/>
      </c>
      <c r="B55" s="91" t="str">
        <f aca="false">IF(名簿!$D55="","",名簿!$C55)</f>
        <v/>
      </c>
      <c r="C55" s="59" t="str">
        <f aca="false">IF(名簿!$D55="","",名簿!$D55&amp;IF(名簿!$F55="転出","（転出）",""))</f>
        <v/>
      </c>
      <c r="D55" s="149"/>
      <c r="E55" s="61" t="str">
        <f aca="false">IF(OR($C55="",名簿!$F55="転出"),"",IF($C$2="学級ごと",$A55,$D55&amp;""))</f>
        <v/>
      </c>
      <c r="F55" s="150"/>
      <c r="G55" s="150"/>
      <c r="H55" s="150"/>
      <c r="I55" s="151"/>
      <c r="J55" s="41" t="str">
        <f aca="false">IF($E55="","",$E55&amp;"|"&amp;COUNTIF($E$5:$E55,$E55))</f>
        <v/>
      </c>
      <c r="K55" s="40" t="str">
        <f aca="false">IF($I55="","",LEN($I55))</f>
        <v/>
      </c>
      <c r="L55" s="13"/>
      <c r="M55" s="13"/>
      <c r="N55" s="13"/>
      <c r="O55" s="13"/>
      <c r="P55" s="152"/>
      <c r="Q55" s="149"/>
      <c r="R55" s="152"/>
      <c r="S55" s="152"/>
      <c r="T55" s="62" t="str">
        <f aca="false">IF(OR($C55="",R55=""),"",IF(R55/IF($R$2="",100,$R$2)&gt;=設定!$I$28,設定!$G$8,IF(R55/IF($R$2="",100,$R$2)&lt;設定!$I$29,設定!$G$10,設定!$G$9)))</f>
        <v/>
      </c>
      <c r="U55" s="62" t="str">
        <f aca="false">IF(OR($C55="",S55=""),"",IF(S55/IF($S$2="",100,$S$2)&gt;=設定!$I$28,設定!$G$8,IF(S55/IF($S$2="",100,$S$2)&lt;設定!$I$29,設定!$G$10,設定!$G$9)))</f>
        <v/>
      </c>
    </row>
    <row r="56" customFormat="false" ht="21" hidden="false" customHeight="true" outlineLevel="0" collapsed="false">
      <c r="A56" s="91" t="str">
        <f aca="false">IF(名簿!$D56="","",名簿!$B56&amp;"")</f>
        <v/>
      </c>
      <c r="B56" s="91" t="str">
        <f aca="false">IF(名簿!$D56="","",名簿!$C56)</f>
        <v/>
      </c>
      <c r="C56" s="59" t="str">
        <f aca="false">IF(名簿!$D56="","",名簿!$D56&amp;IF(名簿!$F56="転出","（転出）",""))</f>
        <v/>
      </c>
      <c r="D56" s="149"/>
      <c r="E56" s="61" t="str">
        <f aca="false">IF(OR($C56="",名簿!$F56="転出"),"",IF($C$2="学級ごと",$A56,$D56&amp;""))</f>
        <v/>
      </c>
      <c r="F56" s="150"/>
      <c r="G56" s="150"/>
      <c r="H56" s="150"/>
      <c r="I56" s="151"/>
      <c r="J56" s="41" t="str">
        <f aca="false">IF($E56="","",$E56&amp;"|"&amp;COUNTIF($E$5:$E56,$E56))</f>
        <v/>
      </c>
      <c r="K56" s="40" t="str">
        <f aca="false">IF($I56="","",LEN($I56))</f>
        <v/>
      </c>
      <c r="L56" s="13"/>
      <c r="M56" s="13"/>
      <c r="N56" s="13"/>
      <c r="O56" s="13"/>
      <c r="P56" s="152"/>
      <c r="Q56" s="149"/>
      <c r="R56" s="152"/>
      <c r="S56" s="152"/>
      <c r="T56" s="62" t="str">
        <f aca="false">IF(OR($C56="",R56=""),"",IF(R56/IF($R$2="",100,$R$2)&gt;=設定!$I$28,設定!$G$8,IF(R56/IF($R$2="",100,$R$2)&lt;設定!$I$29,設定!$G$10,設定!$G$9)))</f>
        <v/>
      </c>
      <c r="U56" s="62" t="str">
        <f aca="false">IF(OR($C56="",S56=""),"",IF(S56/IF($S$2="",100,$S$2)&gt;=設定!$I$28,設定!$G$8,IF(S56/IF($S$2="",100,$S$2)&lt;設定!$I$29,設定!$G$10,設定!$G$9)))</f>
        <v/>
      </c>
    </row>
    <row r="57" customFormat="false" ht="21" hidden="false" customHeight="true" outlineLevel="0" collapsed="false">
      <c r="A57" s="91" t="str">
        <f aca="false">IF(名簿!$D57="","",名簿!$B57&amp;"")</f>
        <v/>
      </c>
      <c r="B57" s="91" t="str">
        <f aca="false">IF(名簿!$D57="","",名簿!$C57)</f>
        <v/>
      </c>
      <c r="C57" s="59" t="str">
        <f aca="false">IF(名簿!$D57="","",名簿!$D57&amp;IF(名簿!$F57="転出","（転出）",""))</f>
        <v/>
      </c>
      <c r="D57" s="149"/>
      <c r="E57" s="61" t="str">
        <f aca="false">IF(OR($C57="",名簿!$F57="転出"),"",IF($C$2="学級ごと",$A57,$D57&amp;""))</f>
        <v/>
      </c>
      <c r="F57" s="150"/>
      <c r="G57" s="150"/>
      <c r="H57" s="150"/>
      <c r="I57" s="151"/>
      <c r="J57" s="41" t="str">
        <f aca="false">IF($E57="","",$E57&amp;"|"&amp;COUNTIF($E$5:$E57,$E57))</f>
        <v/>
      </c>
      <c r="K57" s="40" t="str">
        <f aca="false">IF($I57="","",LEN($I57))</f>
        <v/>
      </c>
      <c r="L57" s="13"/>
      <c r="M57" s="13"/>
      <c r="N57" s="13"/>
      <c r="O57" s="13"/>
      <c r="P57" s="152"/>
      <c r="Q57" s="149"/>
      <c r="R57" s="152"/>
      <c r="S57" s="152"/>
      <c r="T57" s="62" t="str">
        <f aca="false">IF(OR($C57="",R57=""),"",IF(R57/IF($R$2="",100,$R$2)&gt;=設定!$I$28,設定!$G$8,IF(R57/IF($R$2="",100,$R$2)&lt;設定!$I$29,設定!$G$10,設定!$G$9)))</f>
        <v/>
      </c>
      <c r="U57" s="62" t="str">
        <f aca="false">IF(OR($C57="",S57=""),"",IF(S57/IF($S$2="",100,$S$2)&gt;=設定!$I$28,設定!$G$8,IF(S57/IF($S$2="",100,$S$2)&lt;設定!$I$29,設定!$G$10,設定!$G$9)))</f>
        <v/>
      </c>
    </row>
    <row r="58" customFormat="false" ht="21" hidden="false" customHeight="true" outlineLevel="0" collapsed="false">
      <c r="A58" s="91" t="str">
        <f aca="false">IF(名簿!$D58="","",名簿!$B58&amp;"")</f>
        <v/>
      </c>
      <c r="B58" s="91" t="str">
        <f aca="false">IF(名簿!$D58="","",名簿!$C58)</f>
        <v/>
      </c>
      <c r="C58" s="59" t="str">
        <f aca="false">IF(名簿!$D58="","",名簿!$D58&amp;IF(名簿!$F58="転出","（転出）",""))</f>
        <v/>
      </c>
      <c r="D58" s="149"/>
      <c r="E58" s="61" t="str">
        <f aca="false">IF(OR($C58="",名簿!$F58="転出"),"",IF($C$2="学級ごと",$A58,$D58&amp;""))</f>
        <v/>
      </c>
      <c r="F58" s="150"/>
      <c r="G58" s="150"/>
      <c r="H58" s="150"/>
      <c r="I58" s="151"/>
      <c r="J58" s="41" t="str">
        <f aca="false">IF($E58="","",$E58&amp;"|"&amp;COUNTIF($E$5:$E58,$E58))</f>
        <v/>
      </c>
      <c r="K58" s="40" t="str">
        <f aca="false">IF($I58="","",LEN($I58))</f>
        <v/>
      </c>
      <c r="L58" s="13"/>
      <c r="M58" s="13"/>
      <c r="N58" s="13"/>
      <c r="O58" s="13"/>
      <c r="P58" s="152"/>
      <c r="Q58" s="149"/>
      <c r="R58" s="152"/>
      <c r="S58" s="152"/>
      <c r="T58" s="62" t="str">
        <f aca="false">IF(OR($C58="",R58=""),"",IF(R58/IF($R$2="",100,$R$2)&gt;=設定!$I$28,設定!$G$8,IF(R58/IF($R$2="",100,$R$2)&lt;設定!$I$29,設定!$G$10,設定!$G$9)))</f>
        <v/>
      </c>
      <c r="U58" s="62" t="str">
        <f aca="false">IF(OR($C58="",S58=""),"",IF(S58/IF($S$2="",100,$S$2)&gt;=設定!$I$28,設定!$G$8,IF(S58/IF($S$2="",100,$S$2)&lt;設定!$I$29,設定!$G$10,設定!$G$9)))</f>
        <v/>
      </c>
    </row>
    <row r="59" customFormat="false" ht="21" hidden="false" customHeight="true" outlineLevel="0" collapsed="false">
      <c r="A59" s="91" t="str">
        <f aca="false">IF(名簿!$D59="","",名簿!$B59&amp;"")</f>
        <v/>
      </c>
      <c r="B59" s="91" t="str">
        <f aca="false">IF(名簿!$D59="","",名簿!$C59)</f>
        <v/>
      </c>
      <c r="C59" s="59" t="str">
        <f aca="false">IF(名簿!$D59="","",名簿!$D59&amp;IF(名簿!$F59="転出","（転出）",""))</f>
        <v/>
      </c>
      <c r="D59" s="149"/>
      <c r="E59" s="61" t="str">
        <f aca="false">IF(OR($C59="",名簿!$F59="転出"),"",IF($C$2="学級ごと",$A59,$D59&amp;""))</f>
        <v/>
      </c>
      <c r="F59" s="150"/>
      <c r="G59" s="150"/>
      <c r="H59" s="150"/>
      <c r="I59" s="151"/>
      <c r="J59" s="41" t="str">
        <f aca="false">IF($E59="","",$E59&amp;"|"&amp;COUNTIF($E$5:$E59,$E59))</f>
        <v/>
      </c>
      <c r="K59" s="40" t="str">
        <f aca="false">IF($I59="","",LEN($I59))</f>
        <v/>
      </c>
      <c r="L59" s="13"/>
      <c r="M59" s="13"/>
      <c r="N59" s="13"/>
      <c r="O59" s="13"/>
      <c r="P59" s="152"/>
      <c r="Q59" s="149"/>
      <c r="R59" s="152"/>
      <c r="S59" s="152"/>
      <c r="T59" s="62" t="str">
        <f aca="false">IF(OR($C59="",R59=""),"",IF(R59/IF($R$2="",100,$R$2)&gt;=設定!$I$28,設定!$G$8,IF(R59/IF($R$2="",100,$R$2)&lt;設定!$I$29,設定!$G$10,設定!$G$9)))</f>
        <v/>
      </c>
      <c r="U59" s="62" t="str">
        <f aca="false">IF(OR($C59="",S59=""),"",IF(S59/IF($S$2="",100,$S$2)&gt;=設定!$I$28,設定!$G$8,IF(S59/IF($S$2="",100,$S$2)&lt;設定!$I$29,設定!$G$10,設定!$G$9)))</f>
        <v/>
      </c>
    </row>
    <row r="60" customFormat="false" ht="21" hidden="false" customHeight="true" outlineLevel="0" collapsed="false">
      <c r="A60" s="91" t="str">
        <f aca="false">IF(名簿!$D60="","",名簿!$B60&amp;"")</f>
        <v/>
      </c>
      <c r="B60" s="91" t="str">
        <f aca="false">IF(名簿!$D60="","",名簿!$C60)</f>
        <v/>
      </c>
      <c r="C60" s="59" t="str">
        <f aca="false">IF(名簿!$D60="","",名簿!$D60&amp;IF(名簿!$F60="転出","（転出）",""))</f>
        <v/>
      </c>
      <c r="D60" s="149"/>
      <c r="E60" s="61" t="str">
        <f aca="false">IF(OR($C60="",名簿!$F60="転出"),"",IF($C$2="学級ごと",$A60,$D60&amp;""))</f>
        <v/>
      </c>
      <c r="F60" s="150"/>
      <c r="G60" s="150"/>
      <c r="H60" s="150"/>
      <c r="I60" s="151"/>
      <c r="J60" s="41" t="str">
        <f aca="false">IF($E60="","",$E60&amp;"|"&amp;COUNTIF($E$5:$E60,$E60))</f>
        <v/>
      </c>
      <c r="K60" s="40" t="str">
        <f aca="false">IF($I60="","",LEN($I60))</f>
        <v/>
      </c>
      <c r="L60" s="13"/>
      <c r="M60" s="13"/>
      <c r="N60" s="13"/>
      <c r="O60" s="13"/>
      <c r="P60" s="152"/>
      <c r="Q60" s="149"/>
      <c r="R60" s="152"/>
      <c r="S60" s="152"/>
      <c r="T60" s="62" t="str">
        <f aca="false">IF(OR($C60="",R60=""),"",IF(R60/IF($R$2="",100,$R$2)&gt;=設定!$I$28,設定!$G$8,IF(R60/IF($R$2="",100,$R$2)&lt;設定!$I$29,設定!$G$10,設定!$G$9)))</f>
        <v/>
      </c>
      <c r="U60" s="62" t="str">
        <f aca="false">IF(OR($C60="",S60=""),"",IF(S60/IF($S$2="",100,$S$2)&gt;=設定!$I$28,設定!$G$8,IF(S60/IF($S$2="",100,$S$2)&lt;設定!$I$29,設定!$G$10,設定!$G$9)))</f>
        <v/>
      </c>
    </row>
    <row r="61" customFormat="false" ht="21" hidden="false" customHeight="true" outlineLevel="0" collapsed="false">
      <c r="A61" s="91" t="str">
        <f aca="false">IF(名簿!$D61="","",名簿!$B61&amp;"")</f>
        <v/>
      </c>
      <c r="B61" s="91" t="str">
        <f aca="false">IF(名簿!$D61="","",名簿!$C61)</f>
        <v/>
      </c>
      <c r="C61" s="59" t="str">
        <f aca="false">IF(名簿!$D61="","",名簿!$D61&amp;IF(名簿!$F61="転出","（転出）",""))</f>
        <v/>
      </c>
      <c r="D61" s="149"/>
      <c r="E61" s="61" t="str">
        <f aca="false">IF(OR($C61="",名簿!$F61="転出"),"",IF($C$2="学級ごと",$A61,$D61&amp;""))</f>
        <v/>
      </c>
      <c r="F61" s="150"/>
      <c r="G61" s="150"/>
      <c r="H61" s="150"/>
      <c r="I61" s="151"/>
      <c r="J61" s="41" t="str">
        <f aca="false">IF($E61="","",$E61&amp;"|"&amp;COUNTIF($E$5:$E61,$E61))</f>
        <v/>
      </c>
      <c r="K61" s="40" t="str">
        <f aca="false">IF($I61="","",LEN($I61))</f>
        <v/>
      </c>
      <c r="L61" s="13"/>
      <c r="M61" s="13"/>
      <c r="N61" s="13"/>
      <c r="O61" s="13"/>
      <c r="P61" s="152"/>
      <c r="Q61" s="149"/>
      <c r="R61" s="152"/>
      <c r="S61" s="152"/>
      <c r="T61" s="62" t="str">
        <f aca="false">IF(OR($C61="",R61=""),"",IF(R61/IF($R$2="",100,$R$2)&gt;=設定!$I$28,設定!$G$8,IF(R61/IF($R$2="",100,$R$2)&lt;設定!$I$29,設定!$G$10,設定!$G$9)))</f>
        <v/>
      </c>
      <c r="U61" s="62" t="str">
        <f aca="false">IF(OR($C61="",S61=""),"",IF(S61/IF($S$2="",100,$S$2)&gt;=設定!$I$28,設定!$G$8,IF(S61/IF($S$2="",100,$S$2)&lt;設定!$I$29,設定!$G$10,設定!$G$9)))</f>
        <v/>
      </c>
    </row>
    <row r="62" customFormat="false" ht="21" hidden="false" customHeight="true" outlineLevel="0" collapsed="false">
      <c r="A62" s="91" t="str">
        <f aca="false">IF(名簿!$D62="","",名簿!$B62&amp;"")</f>
        <v/>
      </c>
      <c r="B62" s="91" t="str">
        <f aca="false">IF(名簿!$D62="","",名簿!$C62)</f>
        <v/>
      </c>
      <c r="C62" s="59" t="str">
        <f aca="false">IF(名簿!$D62="","",名簿!$D62&amp;IF(名簿!$F62="転出","（転出）",""))</f>
        <v/>
      </c>
      <c r="D62" s="149"/>
      <c r="E62" s="61" t="str">
        <f aca="false">IF(OR($C62="",名簿!$F62="転出"),"",IF($C$2="学級ごと",$A62,$D62&amp;""))</f>
        <v/>
      </c>
      <c r="F62" s="150"/>
      <c r="G62" s="150"/>
      <c r="H62" s="150"/>
      <c r="I62" s="151"/>
      <c r="J62" s="41" t="str">
        <f aca="false">IF($E62="","",$E62&amp;"|"&amp;COUNTIF($E$5:$E62,$E62))</f>
        <v/>
      </c>
      <c r="K62" s="40" t="str">
        <f aca="false">IF($I62="","",LEN($I62))</f>
        <v/>
      </c>
      <c r="L62" s="13"/>
      <c r="M62" s="13"/>
      <c r="N62" s="13"/>
      <c r="O62" s="13"/>
      <c r="P62" s="152"/>
      <c r="Q62" s="149"/>
      <c r="R62" s="152"/>
      <c r="S62" s="152"/>
      <c r="T62" s="62" t="str">
        <f aca="false">IF(OR($C62="",R62=""),"",IF(R62/IF($R$2="",100,$R$2)&gt;=設定!$I$28,設定!$G$8,IF(R62/IF($R$2="",100,$R$2)&lt;設定!$I$29,設定!$G$10,設定!$G$9)))</f>
        <v/>
      </c>
      <c r="U62" s="62" t="str">
        <f aca="false">IF(OR($C62="",S62=""),"",IF(S62/IF($S$2="",100,$S$2)&gt;=設定!$I$28,設定!$G$8,IF(S62/IF($S$2="",100,$S$2)&lt;設定!$I$29,設定!$G$10,設定!$G$9)))</f>
        <v/>
      </c>
    </row>
    <row r="63" customFormat="false" ht="21" hidden="false" customHeight="true" outlineLevel="0" collapsed="false">
      <c r="A63" s="91" t="str">
        <f aca="false">IF(名簿!$D63="","",名簿!$B63&amp;"")</f>
        <v/>
      </c>
      <c r="B63" s="91" t="str">
        <f aca="false">IF(名簿!$D63="","",名簿!$C63)</f>
        <v/>
      </c>
      <c r="C63" s="59" t="str">
        <f aca="false">IF(名簿!$D63="","",名簿!$D63&amp;IF(名簿!$F63="転出","（転出）",""))</f>
        <v/>
      </c>
      <c r="D63" s="149"/>
      <c r="E63" s="61" t="str">
        <f aca="false">IF(OR($C63="",名簿!$F63="転出"),"",IF($C$2="学級ごと",$A63,$D63&amp;""))</f>
        <v/>
      </c>
      <c r="F63" s="150"/>
      <c r="G63" s="150"/>
      <c r="H63" s="150"/>
      <c r="I63" s="151"/>
      <c r="J63" s="41" t="str">
        <f aca="false">IF($E63="","",$E63&amp;"|"&amp;COUNTIF($E$5:$E63,$E63))</f>
        <v/>
      </c>
      <c r="K63" s="40" t="str">
        <f aca="false">IF($I63="","",LEN($I63))</f>
        <v/>
      </c>
      <c r="L63" s="13"/>
      <c r="M63" s="13"/>
      <c r="N63" s="13"/>
      <c r="O63" s="13"/>
      <c r="P63" s="152"/>
      <c r="Q63" s="149"/>
      <c r="R63" s="152"/>
      <c r="S63" s="152"/>
      <c r="T63" s="62" t="str">
        <f aca="false">IF(OR($C63="",R63=""),"",IF(R63/IF($R$2="",100,$R$2)&gt;=設定!$I$28,設定!$G$8,IF(R63/IF($R$2="",100,$R$2)&lt;設定!$I$29,設定!$G$10,設定!$G$9)))</f>
        <v/>
      </c>
      <c r="U63" s="62" t="str">
        <f aca="false">IF(OR($C63="",S63=""),"",IF(S63/IF($S$2="",100,$S$2)&gt;=設定!$I$28,設定!$G$8,IF(S63/IF($S$2="",100,$S$2)&lt;設定!$I$29,設定!$G$10,設定!$G$9)))</f>
        <v/>
      </c>
    </row>
    <row r="64" customFormat="false" ht="21" hidden="false" customHeight="true" outlineLevel="0" collapsed="false">
      <c r="A64" s="91" t="str">
        <f aca="false">IF(名簿!$D64="","",名簿!$B64&amp;"")</f>
        <v/>
      </c>
      <c r="B64" s="91" t="str">
        <f aca="false">IF(名簿!$D64="","",名簿!$C64)</f>
        <v/>
      </c>
      <c r="C64" s="59" t="str">
        <f aca="false">IF(名簿!$D64="","",名簿!$D64&amp;IF(名簿!$F64="転出","（転出）",""))</f>
        <v/>
      </c>
      <c r="D64" s="149"/>
      <c r="E64" s="61" t="str">
        <f aca="false">IF(OR($C64="",名簿!$F64="転出"),"",IF($C$2="学級ごと",$A64,$D64&amp;""))</f>
        <v/>
      </c>
      <c r="F64" s="150"/>
      <c r="G64" s="150"/>
      <c r="H64" s="150"/>
      <c r="I64" s="151"/>
      <c r="J64" s="41" t="str">
        <f aca="false">IF($E64="","",$E64&amp;"|"&amp;COUNTIF($E$5:$E64,$E64))</f>
        <v/>
      </c>
      <c r="K64" s="40" t="str">
        <f aca="false">IF($I64="","",LEN($I64))</f>
        <v/>
      </c>
      <c r="L64" s="13"/>
      <c r="M64" s="13"/>
      <c r="N64" s="13"/>
      <c r="O64" s="13"/>
      <c r="P64" s="152"/>
      <c r="Q64" s="149"/>
      <c r="R64" s="152"/>
      <c r="S64" s="152"/>
      <c r="T64" s="62" t="str">
        <f aca="false">IF(OR($C64="",R64=""),"",IF(R64/IF($R$2="",100,$R$2)&gt;=設定!$I$28,設定!$G$8,IF(R64/IF($R$2="",100,$R$2)&lt;設定!$I$29,設定!$G$10,設定!$G$9)))</f>
        <v/>
      </c>
      <c r="U64" s="62" t="str">
        <f aca="false">IF(OR($C64="",S64=""),"",IF(S64/IF($S$2="",100,$S$2)&gt;=設定!$I$28,設定!$G$8,IF(S64/IF($S$2="",100,$S$2)&lt;設定!$I$29,設定!$G$10,設定!$G$9)))</f>
        <v/>
      </c>
    </row>
    <row r="65" customFormat="false" ht="21" hidden="false" customHeight="true" outlineLevel="0" collapsed="false">
      <c r="A65" s="91" t="str">
        <f aca="false">IF(名簿!$D65="","",名簿!$B65&amp;"")</f>
        <v/>
      </c>
      <c r="B65" s="91" t="str">
        <f aca="false">IF(名簿!$D65="","",名簿!$C65)</f>
        <v/>
      </c>
      <c r="C65" s="59" t="str">
        <f aca="false">IF(名簿!$D65="","",名簿!$D65&amp;IF(名簿!$F65="転出","（転出）",""))</f>
        <v/>
      </c>
      <c r="D65" s="149"/>
      <c r="E65" s="61" t="str">
        <f aca="false">IF(OR($C65="",名簿!$F65="転出"),"",IF($C$2="学級ごと",$A65,$D65&amp;""))</f>
        <v/>
      </c>
      <c r="F65" s="150"/>
      <c r="G65" s="150"/>
      <c r="H65" s="150"/>
      <c r="I65" s="151"/>
      <c r="J65" s="41" t="str">
        <f aca="false">IF($E65="","",$E65&amp;"|"&amp;COUNTIF($E$5:$E65,$E65))</f>
        <v/>
      </c>
      <c r="K65" s="40" t="str">
        <f aca="false">IF($I65="","",LEN($I65))</f>
        <v/>
      </c>
      <c r="L65" s="13"/>
      <c r="M65" s="13"/>
      <c r="N65" s="13"/>
      <c r="O65" s="13"/>
      <c r="P65" s="152"/>
      <c r="Q65" s="149"/>
      <c r="R65" s="152"/>
      <c r="S65" s="152"/>
      <c r="T65" s="62" t="str">
        <f aca="false">IF(OR($C65="",R65=""),"",IF(R65/IF($R$2="",100,$R$2)&gt;=設定!$I$28,設定!$G$8,IF(R65/IF($R$2="",100,$R$2)&lt;設定!$I$29,設定!$G$10,設定!$G$9)))</f>
        <v/>
      </c>
      <c r="U65" s="62" t="str">
        <f aca="false">IF(OR($C65="",S65=""),"",IF(S65/IF($S$2="",100,$S$2)&gt;=設定!$I$28,設定!$G$8,IF(S65/IF($S$2="",100,$S$2)&lt;設定!$I$29,設定!$G$10,設定!$G$9)))</f>
        <v/>
      </c>
    </row>
    <row r="66" customFormat="false" ht="21" hidden="false" customHeight="true" outlineLevel="0" collapsed="false">
      <c r="A66" s="91" t="str">
        <f aca="false">IF(名簿!$D66="","",名簿!$B66&amp;"")</f>
        <v/>
      </c>
      <c r="B66" s="91" t="str">
        <f aca="false">IF(名簿!$D66="","",名簿!$C66)</f>
        <v/>
      </c>
      <c r="C66" s="59" t="str">
        <f aca="false">IF(名簿!$D66="","",名簿!$D66&amp;IF(名簿!$F66="転出","（転出）",""))</f>
        <v/>
      </c>
      <c r="D66" s="149"/>
      <c r="E66" s="61" t="str">
        <f aca="false">IF(OR($C66="",名簿!$F66="転出"),"",IF($C$2="学級ごと",$A66,$D66&amp;""))</f>
        <v/>
      </c>
      <c r="F66" s="150"/>
      <c r="G66" s="150"/>
      <c r="H66" s="150"/>
      <c r="I66" s="151"/>
      <c r="J66" s="41" t="str">
        <f aca="false">IF($E66="","",$E66&amp;"|"&amp;COUNTIF($E$5:$E66,$E66))</f>
        <v/>
      </c>
      <c r="K66" s="40" t="str">
        <f aca="false">IF($I66="","",LEN($I66))</f>
        <v/>
      </c>
      <c r="L66" s="13"/>
      <c r="M66" s="13"/>
      <c r="N66" s="13"/>
      <c r="O66" s="13"/>
      <c r="P66" s="152"/>
      <c r="Q66" s="149"/>
      <c r="R66" s="152"/>
      <c r="S66" s="152"/>
      <c r="T66" s="62" t="str">
        <f aca="false">IF(OR($C66="",R66=""),"",IF(R66/IF($R$2="",100,$R$2)&gt;=設定!$I$28,設定!$G$8,IF(R66/IF($R$2="",100,$R$2)&lt;設定!$I$29,設定!$G$10,設定!$G$9)))</f>
        <v/>
      </c>
      <c r="U66" s="62" t="str">
        <f aca="false">IF(OR($C66="",S66=""),"",IF(S66/IF($S$2="",100,$S$2)&gt;=設定!$I$28,設定!$G$8,IF(S66/IF($S$2="",100,$S$2)&lt;設定!$I$29,設定!$G$10,設定!$G$9)))</f>
        <v/>
      </c>
    </row>
    <row r="67" customFormat="false" ht="21" hidden="false" customHeight="true" outlineLevel="0" collapsed="false">
      <c r="A67" s="91" t="str">
        <f aca="false">IF(名簿!$D67="","",名簿!$B67&amp;"")</f>
        <v/>
      </c>
      <c r="B67" s="91" t="str">
        <f aca="false">IF(名簿!$D67="","",名簿!$C67)</f>
        <v/>
      </c>
      <c r="C67" s="59" t="str">
        <f aca="false">IF(名簿!$D67="","",名簿!$D67&amp;IF(名簿!$F67="転出","（転出）",""))</f>
        <v/>
      </c>
      <c r="D67" s="149"/>
      <c r="E67" s="61" t="str">
        <f aca="false">IF(OR($C67="",名簿!$F67="転出"),"",IF($C$2="学級ごと",$A67,$D67&amp;""))</f>
        <v/>
      </c>
      <c r="F67" s="150"/>
      <c r="G67" s="150"/>
      <c r="H67" s="150"/>
      <c r="I67" s="151"/>
      <c r="J67" s="41" t="str">
        <f aca="false">IF($E67="","",$E67&amp;"|"&amp;COUNTIF($E$5:$E67,$E67))</f>
        <v/>
      </c>
      <c r="K67" s="40" t="str">
        <f aca="false">IF($I67="","",LEN($I67))</f>
        <v/>
      </c>
      <c r="L67" s="13"/>
      <c r="M67" s="13"/>
      <c r="N67" s="13"/>
      <c r="O67" s="13"/>
      <c r="P67" s="152"/>
      <c r="Q67" s="149"/>
      <c r="R67" s="152"/>
      <c r="S67" s="152"/>
      <c r="T67" s="62" t="str">
        <f aca="false">IF(OR($C67="",R67=""),"",IF(R67/IF($R$2="",100,$R$2)&gt;=設定!$I$28,設定!$G$8,IF(R67/IF($R$2="",100,$R$2)&lt;設定!$I$29,設定!$G$10,設定!$G$9)))</f>
        <v/>
      </c>
      <c r="U67" s="62" t="str">
        <f aca="false">IF(OR($C67="",S67=""),"",IF(S67/IF($S$2="",100,$S$2)&gt;=設定!$I$28,設定!$G$8,IF(S67/IF($S$2="",100,$S$2)&lt;設定!$I$29,設定!$G$10,設定!$G$9)))</f>
        <v/>
      </c>
    </row>
    <row r="68" customFormat="false" ht="21" hidden="false" customHeight="true" outlineLevel="0" collapsed="false">
      <c r="A68" s="91" t="str">
        <f aca="false">IF(名簿!$D68="","",名簿!$B68&amp;"")</f>
        <v/>
      </c>
      <c r="B68" s="91" t="str">
        <f aca="false">IF(名簿!$D68="","",名簿!$C68)</f>
        <v/>
      </c>
      <c r="C68" s="59" t="str">
        <f aca="false">IF(名簿!$D68="","",名簿!$D68&amp;IF(名簿!$F68="転出","（転出）",""))</f>
        <v/>
      </c>
      <c r="D68" s="149"/>
      <c r="E68" s="61" t="str">
        <f aca="false">IF(OR($C68="",名簿!$F68="転出"),"",IF($C$2="学級ごと",$A68,$D68&amp;""))</f>
        <v/>
      </c>
      <c r="F68" s="150"/>
      <c r="G68" s="150"/>
      <c r="H68" s="150"/>
      <c r="I68" s="151"/>
      <c r="J68" s="41" t="str">
        <f aca="false">IF($E68="","",$E68&amp;"|"&amp;COUNTIF($E$5:$E68,$E68))</f>
        <v/>
      </c>
      <c r="K68" s="40" t="str">
        <f aca="false">IF($I68="","",LEN($I68))</f>
        <v/>
      </c>
      <c r="L68" s="13"/>
      <c r="M68" s="13"/>
      <c r="N68" s="13"/>
      <c r="O68" s="13"/>
      <c r="P68" s="152"/>
      <c r="Q68" s="149"/>
      <c r="R68" s="152"/>
      <c r="S68" s="152"/>
      <c r="T68" s="62" t="str">
        <f aca="false">IF(OR($C68="",R68=""),"",IF(R68/IF($R$2="",100,$R$2)&gt;=設定!$I$28,設定!$G$8,IF(R68/IF($R$2="",100,$R$2)&lt;設定!$I$29,設定!$G$10,設定!$G$9)))</f>
        <v/>
      </c>
      <c r="U68" s="62" t="str">
        <f aca="false">IF(OR($C68="",S68=""),"",IF(S68/IF($S$2="",100,$S$2)&gt;=設定!$I$28,設定!$G$8,IF(S68/IF($S$2="",100,$S$2)&lt;設定!$I$29,設定!$G$10,設定!$G$9)))</f>
        <v/>
      </c>
    </row>
    <row r="69" customFormat="false" ht="21" hidden="false" customHeight="true" outlineLevel="0" collapsed="false">
      <c r="A69" s="91" t="str">
        <f aca="false">IF(名簿!$D69="","",名簿!$B69&amp;"")</f>
        <v/>
      </c>
      <c r="B69" s="91" t="str">
        <f aca="false">IF(名簿!$D69="","",名簿!$C69)</f>
        <v/>
      </c>
      <c r="C69" s="59" t="str">
        <f aca="false">IF(名簿!$D69="","",名簿!$D69&amp;IF(名簿!$F69="転出","（転出）",""))</f>
        <v/>
      </c>
      <c r="D69" s="149"/>
      <c r="E69" s="61" t="str">
        <f aca="false">IF(OR($C69="",名簿!$F69="転出"),"",IF($C$2="学級ごと",$A69,$D69&amp;""))</f>
        <v/>
      </c>
      <c r="F69" s="150"/>
      <c r="G69" s="150"/>
      <c r="H69" s="150"/>
      <c r="I69" s="151"/>
      <c r="J69" s="41" t="str">
        <f aca="false">IF($E69="","",$E69&amp;"|"&amp;COUNTIF($E$5:$E69,$E69))</f>
        <v/>
      </c>
      <c r="K69" s="40" t="str">
        <f aca="false">IF($I69="","",LEN($I69))</f>
        <v/>
      </c>
      <c r="L69" s="13"/>
      <c r="M69" s="13"/>
      <c r="N69" s="13"/>
      <c r="O69" s="13"/>
      <c r="P69" s="152"/>
      <c r="Q69" s="149"/>
      <c r="R69" s="152"/>
      <c r="S69" s="152"/>
      <c r="T69" s="62" t="str">
        <f aca="false">IF(OR($C69="",R69=""),"",IF(R69/IF($R$2="",100,$R$2)&gt;=設定!$I$28,設定!$G$8,IF(R69/IF($R$2="",100,$R$2)&lt;設定!$I$29,設定!$G$10,設定!$G$9)))</f>
        <v/>
      </c>
      <c r="U69" s="62" t="str">
        <f aca="false">IF(OR($C69="",S69=""),"",IF(S69/IF($S$2="",100,$S$2)&gt;=設定!$I$28,設定!$G$8,IF(S69/IF($S$2="",100,$S$2)&lt;設定!$I$29,設定!$G$10,設定!$G$9)))</f>
        <v/>
      </c>
    </row>
    <row r="70" customFormat="false" ht="21" hidden="false" customHeight="true" outlineLevel="0" collapsed="false">
      <c r="A70" s="91" t="str">
        <f aca="false">IF(名簿!$D70="","",名簿!$B70&amp;"")</f>
        <v/>
      </c>
      <c r="B70" s="91" t="str">
        <f aca="false">IF(名簿!$D70="","",名簿!$C70)</f>
        <v/>
      </c>
      <c r="C70" s="59" t="str">
        <f aca="false">IF(名簿!$D70="","",名簿!$D70&amp;IF(名簿!$F70="転出","（転出）",""))</f>
        <v/>
      </c>
      <c r="D70" s="149"/>
      <c r="E70" s="61" t="str">
        <f aca="false">IF(OR($C70="",名簿!$F70="転出"),"",IF($C$2="学級ごと",$A70,$D70&amp;""))</f>
        <v/>
      </c>
      <c r="F70" s="150"/>
      <c r="G70" s="150"/>
      <c r="H70" s="150"/>
      <c r="I70" s="151"/>
      <c r="J70" s="41" t="str">
        <f aca="false">IF($E70="","",$E70&amp;"|"&amp;COUNTIF($E$5:$E70,$E70))</f>
        <v/>
      </c>
      <c r="K70" s="40" t="str">
        <f aca="false">IF($I70="","",LEN($I70))</f>
        <v/>
      </c>
      <c r="L70" s="13"/>
      <c r="M70" s="13"/>
      <c r="N70" s="13"/>
      <c r="O70" s="13"/>
      <c r="P70" s="152"/>
      <c r="Q70" s="149"/>
      <c r="R70" s="152"/>
      <c r="S70" s="152"/>
      <c r="T70" s="62" t="str">
        <f aca="false">IF(OR($C70="",R70=""),"",IF(R70/IF($R$2="",100,$R$2)&gt;=設定!$I$28,設定!$G$8,IF(R70/IF($R$2="",100,$R$2)&lt;設定!$I$29,設定!$G$10,設定!$G$9)))</f>
        <v/>
      </c>
      <c r="U70" s="62" t="str">
        <f aca="false">IF(OR($C70="",S70=""),"",IF(S70/IF($S$2="",100,$S$2)&gt;=設定!$I$28,設定!$G$8,IF(S70/IF($S$2="",100,$S$2)&lt;設定!$I$29,設定!$G$10,設定!$G$9)))</f>
        <v/>
      </c>
    </row>
    <row r="71" customFormat="false" ht="21" hidden="false" customHeight="true" outlineLevel="0" collapsed="false">
      <c r="A71" s="91" t="str">
        <f aca="false">IF(名簿!$D71="","",名簿!$B71&amp;"")</f>
        <v/>
      </c>
      <c r="B71" s="91" t="str">
        <f aca="false">IF(名簿!$D71="","",名簿!$C71)</f>
        <v/>
      </c>
      <c r="C71" s="59" t="str">
        <f aca="false">IF(名簿!$D71="","",名簿!$D71&amp;IF(名簿!$F71="転出","（転出）",""))</f>
        <v/>
      </c>
      <c r="D71" s="149"/>
      <c r="E71" s="61" t="str">
        <f aca="false">IF(OR($C71="",名簿!$F71="転出"),"",IF($C$2="学級ごと",$A71,$D71&amp;""))</f>
        <v/>
      </c>
      <c r="F71" s="150"/>
      <c r="G71" s="150"/>
      <c r="H71" s="150"/>
      <c r="I71" s="151"/>
      <c r="J71" s="41" t="str">
        <f aca="false">IF($E71="","",$E71&amp;"|"&amp;COUNTIF($E$5:$E71,$E71))</f>
        <v/>
      </c>
      <c r="K71" s="40" t="str">
        <f aca="false">IF($I71="","",LEN($I71))</f>
        <v/>
      </c>
      <c r="L71" s="13"/>
      <c r="M71" s="13"/>
      <c r="N71" s="13"/>
      <c r="O71" s="13"/>
      <c r="P71" s="152"/>
      <c r="Q71" s="149"/>
      <c r="R71" s="152"/>
      <c r="S71" s="152"/>
      <c r="T71" s="62" t="str">
        <f aca="false">IF(OR($C71="",R71=""),"",IF(R71/IF($R$2="",100,$R$2)&gt;=設定!$I$28,設定!$G$8,IF(R71/IF($R$2="",100,$R$2)&lt;設定!$I$29,設定!$G$10,設定!$G$9)))</f>
        <v/>
      </c>
      <c r="U71" s="62" t="str">
        <f aca="false">IF(OR($C71="",S71=""),"",IF(S71/IF($S$2="",100,$S$2)&gt;=設定!$I$28,設定!$G$8,IF(S71/IF($S$2="",100,$S$2)&lt;設定!$I$29,設定!$G$10,設定!$G$9)))</f>
        <v/>
      </c>
    </row>
    <row r="72" customFormat="false" ht="21" hidden="false" customHeight="true" outlineLevel="0" collapsed="false">
      <c r="A72" s="91" t="str">
        <f aca="false">IF(名簿!$D72="","",名簿!$B72&amp;"")</f>
        <v/>
      </c>
      <c r="B72" s="91" t="str">
        <f aca="false">IF(名簿!$D72="","",名簿!$C72)</f>
        <v/>
      </c>
      <c r="C72" s="59" t="str">
        <f aca="false">IF(名簿!$D72="","",名簿!$D72&amp;IF(名簿!$F72="転出","（転出）",""))</f>
        <v/>
      </c>
      <c r="D72" s="149"/>
      <c r="E72" s="61" t="str">
        <f aca="false">IF(OR($C72="",名簿!$F72="転出"),"",IF($C$2="学級ごと",$A72,$D72&amp;""))</f>
        <v/>
      </c>
      <c r="F72" s="150"/>
      <c r="G72" s="150"/>
      <c r="H72" s="150"/>
      <c r="I72" s="151"/>
      <c r="J72" s="41" t="str">
        <f aca="false">IF($E72="","",$E72&amp;"|"&amp;COUNTIF($E$5:$E72,$E72))</f>
        <v/>
      </c>
      <c r="K72" s="40" t="str">
        <f aca="false">IF($I72="","",LEN($I72))</f>
        <v/>
      </c>
      <c r="L72" s="13"/>
      <c r="M72" s="13"/>
      <c r="N72" s="13"/>
      <c r="O72" s="13"/>
      <c r="P72" s="152"/>
      <c r="Q72" s="149"/>
      <c r="R72" s="152"/>
      <c r="S72" s="152"/>
      <c r="T72" s="62" t="str">
        <f aca="false">IF(OR($C72="",R72=""),"",IF(R72/IF($R$2="",100,$R$2)&gt;=設定!$I$28,設定!$G$8,IF(R72/IF($R$2="",100,$R$2)&lt;設定!$I$29,設定!$G$10,設定!$G$9)))</f>
        <v/>
      </c>
      <c r="U72" s="62" t="str">
        <f aca="false">IF(OR($C72="",S72=""),"",IF(S72/IF($S$2="",100,$S$2)&gt;=設定!$I$28,設定!$G$8,IF(S72/IF($S$2="",100,$S$2)&lt;設定!$I$29,設定!$G$10,設定!$G$9)))</f>
        <v/>
      </c>
    </row>
    <row r="73" customFormat="false" ht="21" hidden="false" customHeight="true" outlineLevel="0" collapsed="false">
      <c r="A73" s="91" t="str">
        <f aca="false">IF(名簿!$D73="","",名簿!$B73&amp;"")</f>
        <v/>
      </c>
      <c r="B73" s="91" t="str">
        <f aca="false">IF(名簿!$D73="","",名簿!$C73)</f>
        <v/>
      </c>
      <c r="C73" s="59" t="str">
        <f aca="false">IF(名簿!$D73="","",名簿!$D73&amp;IF(名簿!$F73="転出","（転出）",""))</f>
        <v/>
      </c>
      <c r="D73" s="149"/>
      <c r="E73" s="61" t="str">
        <f aca="false">IF(OR($C73="",名簿!$F73="転出"),"",IF($C$2="学級ごと",$A73,$D73&amp;""))</f>
        <v/>
      </c>
      <c r="F73" s="150"/>
      <c r="G73" s="150"/>
      <c r="H73" s="150"/>
      <c r="I73" s="151"/>
      <c r="J73" s="41" t="str">
        <f aca="false">IF($E73="","",$E73&amp;"|"&amp;COUNTIF($E$5:$E73,$E73))</f>
        <v/>
      </c>
      <c r="K73" s="40" t="str">
        <f aca="false">IF($I73="","",LEN($I73))</f>
        <v/>
      </c>
      <c r="L73" s="13"/>
      <c r="M73" s="13"/>
      <c r="N73" s="13"/>
      <c r="O73" s="13"/>
      <c r="P73" s="152"/>
      <c r="Q73" s="149"/>
      <c r="R73" s="152"/>
      <c r="S73" s="152"/>
      <c r="T73" s="62" t="str">
        <f aca="false">IF(OR($C73="",R73=""),"",IF(R73/IF($R$2="",100,$R$2)&gt;=設定!$I$28,設定!$G$8,IF(R73/IF($R$2="",100,$R$2)&lt;設定!$I$29,設定!$G$10,設定!$G$9)))</f>
        <v/>
      </c>
      <c r="U73" s="62" t="str">
        <f aca="false">IF(OR($C73="",S73=""),"",IF(S73/IF($S$2="",100,$S$2)&gt;=設定!$I$28,設定!$G$8,IF(S73/IF($S$2="",100,$S$2)&lt;設定!$I$29,設定!$G$10,設定!$G$9)))</f>
        <v/>
      </c>
    </row>
    <row r="74" customFormat="false" ht="21" hidden="false" customHeight="true" outlineLevel="0" collapsed="false">
      <c r="A74" s="91" t="str">
        <f aca="false">IF(名簿!$D74="","",名簿!$B74&amp;"")</f>
        <v/>
      </c>
      <c r="B74" s="91" t="str">
        <f aca="false">IF(名簿!$D74="","",名簿!$C74)</f>
        <v/>
      </c>
      <c r="C74" s="59" t="str">
        <f aca="false">IF(名簿!$D74="","",名簿!$D74&amp;IF(名簿!$F74="転出","（転出）",""))</f>
        <v/>
      </c>
      <c r="D74" s="149"/>
      <c r="E74" s="61" t="str">
        <f aca="false">IF(OR($C74="",名簿!$F74="転出"),"",IF($C$2="学級ごと",$A74,$D74&amp;""))</f>
        <v/>
      </c>
      <c r="F74" s="150"/>
      <c r="G74" s="150"/>
      <c r="H74" s="150"/>
      <c r="I74" s="151"/>
      <c r="J74" s="41" t="str">
        <f aca="false">IF($E74="","",$E74&amp;"|"&amp;COUNTIF($E$5:$E74,$E74))</f>
        <v/>
      </c>
      <c r="K74" s="40" t="str">
        <f aca="false">IF($I74="","",LEN($I74))</f>
        <v/>
      </c>
      <c r="L74" s="13"/>
      <c r="M74" s="13"/>
      <c r="N74" s="13"/>
      <c r="O74" s="13"/>
      <c r="P74" s="152"/>
      <c r="Q74" s="149"/>
      <c r="R74" s="152"/>
      <c r="S74" s="152"/>
      <c r="T74" s="62" t="str">
        <f aca="false">IF(OR($C74="",R74=""),"",IF(R74/IF($R$2="",100,$R$2)&gt;=設定!$I$28,設定!$G$8,IF(R74/IF($R$2="",100,$R$2)&lt;設定!$I$29,設定!$G$10,設定!$G$9)))</f>
        <v/>
      </c>
      <c r="U74" s="62" t="str">
        <f aca="false">IF(OR($C74="",S74=""),"",IF(S74/IF($S$2="",100,$S$2)&gt;=設定!$I$28,設定!$G$8,IF(S74/IF($S$2="",100,$S$2)&lt;設定!$I$29,設定!$G$10,設定!$G$9)))</f>
        <v/>
      </c>
    </row>
    <row r="75" customFormat="false" ht="21" hidden="false" customHeight="true" outlineLevel="0" collapsed="false">
      <c r="A75" s="91" t="str">
        <f aca="false">IF(名簿!$D75="","",名簿!$B75&amp;"")</f>
        <v/>
      </c>
      <c r="B75" s="91" t="str">
        <f aca="false">IF(名簿!$D75="","",名簿!$C75)</f>
        <v/>
      </c>
      <c r="C75" s="59" t="str">
        <f aca="false">IF(名簿!$D75="","",名簿!$D75&amp;IF(名簿!$F75="転出","（転出）",""))</f>
        <v/>
      </c>
      <c r="D75" s="149"/>
      <c r="E75" s="61" t="str">
        <f aca="false">IF(OR($C75="",名簿!$F75="転出"),"",IF($C$2="学級ごと",$A75,$D75&amp;""))</f>
        <v/>
      </c>
      <c r="F75" s="150"/>
      <c r="G75" s="150"/>
      <c r="H75" s="150"/>
      <c r="I75" s="151"/>
      <c r="J75" s="41" t="str">
        <f aca="false">IF($E75="","",$E75&amp;"|"&amp;COUNTIF($E$5:$E75,$E75))</f>
        <v/>
      </c>
      <c r="K75" s="40" t="str">
        <f aca="false">IF($I75="","",LEN($I75))</f>
        <v/>
      </c>
      <c r="L75" s="13"/>
      <c r="M75" s="13"/>
      <c r="N75" s="13"/>
      <c r="O75" s="13"/>
      <c r="P75" s="152"/>
      <c r="Q75" s="149"/>
      <c r="R75" s="152"/>
      <c r="S75" s="152"/>
      <c r="T75" s="62" t="str">
        <f aca="false">IF(OR($C75="",R75=""),"",IF(R75/IF($R$2="",100,$R$2)&gt;=設定!$I$28,設定!$G$8,IF(R75/IF($R$2="",100,$R$2)&lt;設定!$I$29,設定!$G$10,設定!$G$9)))</f>
        <v/>
      </c>
      <c r="U75" s="62" t="str">
        <f aca="false">IF(OR($C75="",S75=""),"",IF(S75/IF($S$2="",100,$S$2)&gt;=設定!$I$28,設定!$G$8,IF(S75/IF($S$2="",100,$S$2)&lt;設定!$I$29,設定!$G$10,設定!$G$9)))</f>
        <v/>
      </c>
    </row>
    <row r="76" customFormat="false" ht="21" hidden="false" customHeight="true" outlineLevel="0" collapsed="false">
      <c r="A76" s="91" t="str">
        <f aca="false">IF(名簿!$D76="","",名簿!$B76&amp;"")</f>
        <v/>
      </c>
      <c r="B76" s="91" t="str">
        <f aca="false">IF(名簿!$D76="","",名簿!$C76)</f>
        <v/>
      </c>
      <c r="C76" s="59" t="str">
        <f aca="false">IF(名簿!$D76="","",名簿!$D76&amp;IF(名簿!$F76="転出","（転出）",""))</f>
        <v/>
      </c>
      <c r="D76" s="149"/>
      <c r="E76" s="61" t="str">
        <f aca="false">IF(OR($C76="",名簿!$F76="転出"),"",IF($C$2="学級ごと",$A76,$D76&amp;""))</f>
        <v/>
      </c>
      <c r="F76" s="150"/>
      <c r="G76" s="150"/>
      <c r="H76" s="150"/>
      <c r="I76" s="151"/>
      <c r="J76" s="41" t="str">
        <f aca="false">IF($E76="","",$E76&amp;"|"&amp;COUNTIF($E$5:$E76,$E76))</f>
        <v/>
      </c>
      <c r="K76" s="40" t="str">
        <f aca="false">IF($I76="","",LEN($I76))</f>
        <v/>
      </c>
      <c r="L76" s="13"/>
      <c r="M76" s="13"/>
      <c r="N76" s="13"/>
      <c r="O76" s="13"/>
      <c r="P76" s="152"/>
      <c r="Q76" s="149"/>
      <c r="R76" s="152"/>
      <c r="S76" s="152"/>
      <c r="T76" s="62" t="str">
        <f aca="false">IF(OR($C76="",R76=""),"",IF(R76/IF($R$2="",100,$R$2)&gt;=設定!$I$28,設定!$G$8,IF(R76/IF($R$2="",100,$R$2)&lt;設定!$I$29,設定!$G$10,設定!$G$9)))</f>
        <v/>
      </c>
      <c r="U76" s="62" t="str">
        <f aca="false">IF(OR($C76="",S76=""),"",IF(S76/IF($S$2="",100,$S$2)&gt;=設定!$I$28,設定!$G$8,IF(S76/IF($S$2="",100,$S$2)&lt;設定!$I$29,設定!$G$10,設定!$G$9)))</f>
        <v/>
      </c>
    </row>
    <row r="77" customFormat="false" ht="21" hidden="false" customHeight="true" outlineLevel="0" collapsed="false">
      <c r="A77" s="91" t="str">
        <f aca="false">IF(名簿!$D77="","",名簿!$B77&amp;"")</f>
        <v/>
      </c>
      <c r="B77" s="91" t="str">
        <f aca="false">IF(名簿!$D77="","",名簿!$C77)</f>
        <v/>
      </c>
      <c r="C77" s="59" t="str">
        <f aca="false">IF(名簿!$D77="","",名簿!$D77&amp;IF(名簿!$F77="転出","（転出）",""))</f>
        <v/>
      </c>
      <c r="D77" s="149"/>
      <c r="E77" s="61" t="str">
        <f aca="false">IF(OR($C77="",名簿!$F77="転出"),"",IF($C$2="学級ごと",$A77,$D77&amp;""))</f>
        <v/>
      </c>
      <c r="F77" s="150"/>
      <c r="G77" s="150"/>
      <c r="H77" s="150"/>
      <c r="I77" s="151"/>
      <c r="J77" s="41" t="str">
        <f aca="false">IF($E77="","",$E77&amp;"|"&amp;COUNTIF($E$5:$E77,$E77))</f>
        <v/>
      </c>
      <c r="K77" s="40" t="str">
        <f aca="false">IF($I77="","",LEN($I77))</f>
        <v/>
      </c>
      <c r="L77" s="13"/>
      <c r="M77" s="13"/>
      <c r="N77" s="13"/>
      <c r="O77" s="13"/>
      <c r="P77" s="152"/>
      <c r="Q77" s="149"/>
      <c r="R77" s="152"/>
      <c r="S77" s="152"/>
      <c r="T77" s="62" t="str">
        <f aca="false">IF(OR($C77="",R77=""),"",IF(R77/IF($R$2="",100,$R$2)&gt;=設定!$I$28,設定!$G$8,IF(R77/IF($R$2="",100,$R$2)&lt;設定!$I$29,設定!$G$10,設定!$G$9)))</f>
        <v/>
      </c>
      <c r="U77" s="62" t="str">
        <f aca="false">IF(OR($C77="",S77=""),"",IF(S77/IF($S$2="",100,$S$2)&gt;=設定!$I$28,設定!$G$8,IF(S77/IF($S$2="",100,$S$2)&lt;設定!$I$29,設定!$G$10,設定!$G$9)))</f>
        <v/>
      </c>
    </row>
    <row r="78" customFormat="false" ht="21" hidden="false" customHeight="true" outlineLevel="0" collapsed="false">
      <c r="A78" s="91" t="str">
        <f aca="false">IF(名簿!$D78="","",名簿!$B78&amp;"")</f>
        <v/>
      </c>
      <c r="B78" s="91" t="str">
        <f aca="false">IF(名簿!$D78="","",名簿!$C78)</f>
        <v/>
      </c>
      <c r="C78" s="59" t="str">
        <f aca="false">IF(名簿!$D78="","",名簿!$D78&amp;IF(名簿!$F78="転出","（転出）",""))</f>
        <v/>
      </c>
      <c r="D78" s="149"/>
      <c r="E78" s="61" t="str">
        <f aca="false">IF(OR($C78="",名簿!$F78="転出"),"",IF($C$2="学級ごと",$A78,$D78&amp;""))</f>
        <v/>
      </c>
      <c r="F78" s="150"/>
      <c r="G78" s="150"/>
      <c r="H78" s="150"/>
      <c r="I78" s="151"/>
      <c r="J78" s="41" t="str">
        <f aca="false">IF($E78="","",$E78&amp;"|"&amp;COUNTIF($E$5:$E78,$E78))</f>
        <v/>
      </c>
      <c r="K78" s="40" t="str">
        <f aca="false">IF($I78="","",LEN($I78))</f>
        <v/>
      </c>
      <c r="L78" s="13"/>
      <c r="M78" s="13"/>
      <c r="N78" s="13"/>
      <c r="O78" s="13"/>
      <c r="P78" s="152"/>
      <c r="Q78" s="149"/>
      <c r="R78" s="152"/>
      <c r="S78" s="152"/>
      <c r="T78" s="62" t="str">
        <f aca="false">IF(OR($C78="",R78=""),"",IF(R78/IF($R$2="",100,$R$2)&gt;=設定!$I$28,設定!$G$8,IF(R78/IF($R$2="",100,$R$2)&lt;設定!$I$29,設定!$G$10,設定!$G$9)))</f>
        <v/>
      </c>
      <c r="U78" s="62" t="str">
        <f aca="false">IF(OR($C78="",S78=""),"",IF(S78/IF($S$2="",100,$S$2)&gt;=設定!$I$28,設定!$G$8,IF(S78/IF($S$2="",100,$S$2)&lt;設定!$I$29,設定!$G$10,設定!$G$9)))</f>
        <v/>
      </c>
    </row>
    <row r="79" customFormat="false" ht="21" hidden="false" customHeight="true" outlineLevel="0" collapsed="false">
      <c r="A79" s="91" t="str">
        <f aca="false">IF(名簿!$D79="","",名簿!$B79&amp;"")</f>
        <v/>
      </c>
      <c r="B79" s="91" t="str">
        <f aca="false">IF(名簿!$D79="","",名簿!$C79)</f>
        <v/>
      </c>
      <c r="C79" s="59" t="str">
        <f aca="false">IF(名簿!$D79="","",名簿!$D79&amp;IF(名簿!$F79="転出","（転出）",""))</f>
        <v/>
      </c>
      <c r="D79" s="149"/>
      <c r="E79" s="61" t="str">
        <f aca="false">IF(OR($C79="",名簿!$F79="転出"),"",IF($C$2="学級ごと",$A79,$D79&amp;""))</f>
        <v/>
      </c>
      <c r="F79" s="150"/>
      <c r="G79" s="150"/>
      <c r="H79" s="150"/>
      <c r="I79" s="151"/>
      <c r="J79" s="41" t="str">
        <f aca="false">IF($E79="","",$E79&amp;"|"&amp;COUNTIF($E$5:$E79,$E79))</f>
        <v/>
      </c>
      <c r="K79" s="40" t="str">
        <f aca="false">IF($I79="","",LEN($I79))</f>
        <v/>
      </c>
      <c r="L79" s="13"/>
      <c r="M79" s="13"/>
      <c r="N79" s="13"/>
      <c r="O79" s="13"/>
      <c r="P79" s="152"/>
      <c r="Q79" s="149"/>
      <c r="R79" s="152"/>
      <c r="S79" s="152"/>
      <c r="T79" s="62" t="str">
        <f aca="false">IF(OR($C79="",R79=""),"",IF(R79/IF($R$2="",100,$R$2)&gt;=設定!$I$28,設定!$G$8,IF(R79/IF($R$2="",100,$R$2)&lt;設定!$I$29,設定!$G$10,設定!$G$9)))</f>
        <v/>
      </c>
      <c r="U79" s="62" t="str">
        <f aca="false">IF(OR($C79="",S79=""),"",IF(S79/IF($S$2="",100,$S$2)&gt;=設定!$I$28,設定!$G$8,IF(S79/IF($S$2="",100,$S$2)&lt;設定!$I$29,設定!$G$10,設定!$G$9)))</f>
        <v/>
      </c>
    </row>
    <row r="80" customFormat="false" ht="21" hidden="false" customHeight="true" outlineLevel="0" collapsed="false">
      <c r="A80" s="91" t="str">
        <f aca="false">IF(名簿!$D80="","",名簿!$B80&amp;"")</f>
        <v/>
      </c>
      <c r="B80" s="91" t="str">
        <f aca="false">IF(名簿!$D80="","",名簿!$C80)</f>
        <v/>
      </c>
      <c r="C80" s="59" t="str">
        <f aca="false">IF(名簿!$D80="","",名簿!$D80&amp;IF(名簿!$F80="転出","（転出）",""))</f>
        <v/>
      </c>
      <c r="D80" s="149"/>
      <c r="E80" s="61" t="str">
        <f aca="false">IF(OR($C80="",名簿!$F80="転出"),"",IF($C$2="学級ごと",$A80,$D80&amp;""))</f>
        <v/>
      </c>
      <c r="F80" s="150"/>
      <c r="G80" s="150"/>
      <c r="H80" s="150"/>
      <c r="I80" s="151"/>
      <c r="J80" s="41" t="str">
        <f aca="false">IF($E80="","",$E80&amp;"|"&amp;COUNTIF($E$5:$E80,$E80))</f>
        <v/>
      </c>
      <c r="K80" s="40" t="str">
        <f aca="false">IF($I80="","",LEN($I80))</f>
        <v/>
      </c>
      <c r="L80" s="13"/>
      <c r="M80" s="13"/>
      <c r="N80" s="13"/>
      <c r="O80" s="13"/>
      <c r="P80" s="152"/>
      <c r="Q80" s="149"/>
      <c r="R80" s="152"/>
      <c r="S80" s="152"/>
      <c r="T80" s="62" t="str">
        <f aca="false">IF(OR($C80="",R80=""),"",IF(R80/IF($R$2="",100,$R$2)&gt;=設定!$I$28,設定!$G$8,IF(R80/IF($R$2="",100,$R$2)&lt;設定!$I$29,設定!$G$10,設定!$G$9)))</f>
        <v/>
      </c>
      <c r="U80" s="62" t="str">
        <f aca="false">IF(OR($C80="",S80=""),"",IF(S80/IF($S$2="",100,$S$2)&gt;=設定!$I$28,設定!$G$8,IF(S80/IF($S$2="",100,$S$2)&lt;設定!$I$29,設定!$G$10,設定!$G$9)))</f>
        <v/>
      </c>
    </row>
    <row r="81" customFormat="false" ht="21" hidden="false" customHeight="true" outlineLevel="0" collapsed="false">
      <c r="A81" s="91" t="str">
        <f aca="false">IF(名簿!$D81="","",名簿!$B81&amp;"")</f>
        <v/>
      </c>
      <c r="B81" s="91" t="str">
        <f aca="false">IF(名簿!$D81="","",名簿!$C81)</f>
        <v/>
      </c>
      <c r="C81" s="59" t="str">
        <f aca="false">IF(名簿!$D81="","",名簿!$D81&amp;IF(名簿!$F81="転出","（転出）",""))</f>
        <v/>
      </c>
      <c r="D81" s="149"/>
      <c r="E81" s="61" t="str">
        <f aca="false">IF(OR($C81="",名簿!$F81="転出"),"",IF($C$2="学級ごと",$A81,$D81&amp;""))</f>
        <v/>
      </c>
      <c r="F81" s="150"/>
      <c r="G81" s="150"/>
      <c r="H81" s="150"/>
      <c r="I81" s="151"/>
      <c r="J81" s="41" t="str">
        <f aca="false">IF($E81="","",$E81&amp;"|"&amp;COUNTIF($E$5:$E81,$E81))</f>
        <v/>
      </c>
      <c r="K81" s="40" t="str">
        <f aca="false">IF($I81="","",LEN($I81))</f>
        <v/>
      </c>
      <c r="L81" s="13"/>
      <c r="M81" s="13"/>
      <c r="N81" s="13"/>
      <c r="O81" s="13"/>
      <c r="P81" s="152"/>
      <c r="Q81" s="149"/>
      <c r="R81" s="152"/>
      <c r="S81" s="152"/>
      <c r="T81" s="62" t="str">
        <f aca="false">IF(OR($C81="",R81=""),"",IF(R81/IF($R$2="",100,$R$2)&gt;=設定!$I$28,設定!$G$8,IF(R81/IF($R$2="",100,$R$2)&lt;設定!$I$29,設定!$G$10,設定!$G$9)))</f>
        <v/>
      </c>
      <c r="U81" s="62" t="str">
        <f aca="false">IF(OR($C81="",S81=""),"",IF(S81/IF($S$2="",100,$S$2)&gt;=設定!$I$28,設定!$G$8,IF(S81/IF($S$2="",100,$S$2)&lt;設定!$I$29,設定!$G$10,設定!$G$9)))</f>
        <v/>
      </c>
    </row>
    <row r="82" customFormat="false" ht="21" hidden="false" customHeight="true" outlineLevel="0" collapsed="false">
      <c r="A82" s="91" t="str">
        <f aca="false">IF(名簿!$D82="","",名簿!$B82&amp;"")</f>
        <v/>
      </c>
      <c r="B82" s="91" t="str">
        <f aca="false">IF(名簿!$D82="","",名簿!$C82)</f>
        <v/>
      </c>
      <c r="C82" s="59" t="str">
        <f aca="false">IF(名簿!$D82="","",名簿!$D82&amp;IF(名簿!$F82="転出","（転出）",""))</f>
        <v/>
      </c>
      <c r="D82" s="149"/>
      <c r="E82" s="61" t="str">
        <f aca="false">IF(OR($C82="",名簿!$F82="転出"),"",IF($C$2="学級ごと",$A82,$D82&amp;""))</f>
        <v/>
      </c>
      <c r="F82" s="150"/>
      <c r="G82" s="150"/>
      <c r="H82" s="150"/>
      <c r="I82" s="151"/>
      <c r="J82" s="41" t="str">
        <f aca="false">IF($E82="","",$E82&amp;"|"&amp;COUNTIF($E$5:$E82,$E82))</f>
        <v/>
      </c>
      <c r="K82" s="40" t="str">
        <f aca="false">IF($I82="","",LEN($I82))</f>
        <v/>
      </c>
      <c r="L82" s="13"/>
      <c r="M82" s="13"/>
      <c r="N82" s="13"/>
      <c r="O82" s="13"/>
      <c r="P82" s="152"/>
      <c r="Q82" s="149"/>
      <c r="R82" s="152"/>
      <c r="S82" s="152"/>
      <c r="T82" s="62" t="str">
        <f aca="false">IF(OR($C82="",R82=""),"",IF(R82/IF($R$2="",100,$R$2)&gt;=設定!$I$28,設定!$G$8,IF(R82/IF($R$2="",100,$R$2)&lt;設定!$I$29,設定!$G$10,設定!$G$9)))</f>
        <v/>
      </c>
      <c r="U82" s="62" t="str">
        <f aca="false">IF(OR($C82="",S82=""),"",IF(S82/IF($S$2="",100,$S$2)&gt;=設定!$I$28,設定!$G$8,IF(S82/IF($S$2="",100,$S$2)&lt;設定!$I$29,設定!$G$10,設定!$G$9)))</f>
        <v/>
      </c>
    </row>
    <row r="83" customFormat="false" ht="21" hidden="false" customHeight="true" outlineLevel="0" collapsed="false">
      <c r="A83" s="91" t="str">
        <f aca="false">IF(名簿!$D83="","",名簿!$B83&amp;"")</f>
        <v/>
      </c>
      <c r="B83" s="91" t="str">
        <f aca="false">IF(名簿!$D83="","",名簿!$C83)</f>
        <v/>
      </c>
      <c r="C83" s="59" t="str">
        <f aca="false">IF(名簿!$D83="","",名簿!$D83&amp;IF(名簿!$F83="転出","（転出）",""))</f>
        <v/>
      </c>
      <c r="D83" s="149"/>
      <c r="E83" s="61" t="str">
        <f aca="false">IF(OR($C83="",名簿!$F83="転出"),"",IF($C$2="学級ごと",$A83,$D83&amp;""))</f>
        <v/>
      </c>
      <c r="F83" s="150"/>
      <c r="G83" s="150"/>
      <c r="H83" s="150"/>
      <c r="I83" s="151"/>
      <c r="J83" s="41" t="str">
        <f aca="false">IF($E83="","",$E83&amp;"|"&amp;COUNTIF($E$5:$E83,$E83))</f>
        <v/>
      </c>
      <c r="K83" s="40" t="str">
        <f aca="false">IF($I83="","",LEN($I83))</f>
        <v/>
      </c>
      <c r="L83" s="13"/>
      <c r="M83" s="13"/>
      <c r="N83" s="13"/>
      <c r="O83" s="13"/>
      <c r="P83" s="152"/>
      <c r="Q83" s="149"/>
      <c r="R83" s="152"/>
      <c r="S83" s="152"/>
      <c r="T83" s="62" t="str">
        <f aca="false">IF(OR($C83="",R83=""),"",IF(R83/IF($R$2="",100,$R$2)&gt;=設定!$I$28,設定!$G$8,IF(R83/IF($R$2="",100,$R$2)&lt;設定!$I$29,設定!$G$10,設定!$G$9)))</f>
        <v/>
      </c>
      <c r="U83" s="62" t="str">
        <f aca="false">IF(OR($C83="",S83=""),"",IF(S83/IF($S$2="",100,$S$2)&gt;=設定!$I$28,設定!$G$8,IF(S83/IF($S$2="",100,$S$2)&lt;設定!$I$29,設定!$G$10,設定!$G$9)))</f>
        <v/>
      </c>
    </row>
    <row r="84" customFormat="false" ht="21" hidden="false" customHeight="true" outlineLevel="0" collapsed="false">
      <c r="A84" s="91" t="str">
        <f aca="false">IF(名簿!$D84="","",名簿!$B84&amp;"")</f>
        <v/>
      </c>
      <c r="B84" s="91" t="str">
        <f aca="false">IF(名簿!$D84="","",名簿!$C84)</f>
        <v/>
      </c>
      <c r="C84" s="59" t="str">
        <f aca="false">IF(名簿!$D84="","",名簿!$D84&amp;IF(名簿!$F84="転出","（転出）",""))</f>
        <v/>
      </c>
      <c r="D84" s="149"/>
      <c r="E84" s="61" t="str">
        <f aca="false">IF(OR($C84="",名簿!$F84="転出"),"",IF($C$2="学級ごと",$A84,$D84&amp;""))</f>
        <v/>
      </c>
      <c r="F84" s="150"/>
      <c r="G84" s="150"/>
      <c r="H84" s="150"/>
      <c r="I84" s="151"/>
      <c r="J84" s="41" t="str">
        <f aca="false">IF($E84="","",$E84&amp;"|"&amp;COUNTIF($E$5:$E84,$E84))</f>
        <v/>
      </c>
      <c r="K84" s="40" t="str">
        <f aca="false">IF($I84="","",LEN($I84))</f>
        <v/>
      </c>
      <c r="L84" s="13"/>
      <c r="M84" s="13"/>
      <c r="N84" s="13"/>
      <c r="O84" s="13"/>
      <c r="P84" s="152"/>
      <c r="Q84" s="149"/>
      <c r="R84" s="152"/>
      <c r="S84" s="152"/>
      <c r="T84" s="62" t="str">
        <f aca="false">IF(OR($C84="",R84=""),"",IF(R84/IF($R$2="",100,$R$2)&gt;=設定!$I$28,設定!$G$8,IF(R84/IF($R$2="",100,$R$2)&lt;設定!$I$29,設定!$G$10,設定!$G$9)))</f>
        <v/>
      </c>
      <c r="U84" s="62" t="str">
        <f aca="false">IF(OR($C84="",S84=""),"",IF(S84/IF($S$2="",100,$S$2)&gt;=設定!$I$28,設定!$G$8,IF(S84/IF($S$2="",100,$S$2)&lt;設定!$I$29,設定!$G$10,設定!$G$9)))</f>
        <v/>
      </c>
    </row>
    <row r="85" customFormat="false" ht="21" hidden="false" customHeight="true" outlineLevel="0" collapsed="false">
      <c r="A85" s="91" t="str">
        <f aca="false">IF(名簿!$D85="","",名簿!$B85&amp;"")</f>
        <v/>
      </c>
      <c r="B85" s="91" t="str">
        <f aca="false">IF(名簿!$D85="","",名簿!$C85)</f>
        <v/>
      </c>
      <c r="C85" s="59" t="str">
        <f aca="false">IF(名簿!$D85="","",名簿!$D85&amp;IF(名簿!$F85="転出","（転出）",""))</f>
        <v/>
      </c>
      <c r="D85" s="149"/>
      <c r="E85" s="61" t="str">
        <f aca="false">IF(OR($C85="",名簿!$F85="転出"),"",IF($C$2="学級ごと",$A85,$D85&amp;""))</f>
        <v/>
      </c>
      <c r="F85" s="150"/>
      <c r="G85" s="150"/>
      <c r="H85" s="150"/>
      <c r="I85" s="151"/>
      <c r="J85" s="41" t="str">
        <f aca="false">IF($E85="","",$E85&amp;"|"&amp;COUNTIF($E$5:$E85,$E85))</f>
        <v/>
      </c>
      <c r="K85" s="40" t="str">
        <f aca="false">IF($I85="","",LEN($I85))</f>
        <v/>
      </c>
      <c r="L85" s="13"/>
      <c r="M85" s="13"/>
      <c r="N85" s="13"/>
      <c r="O85" s="13"/>
      <c r="P85" s="152"/>
      <c r="Q85" s="149"/>
      <c r="R85" s="152"/>
      <c r="S85" s="152"/>
      <c r="T85" s="62" t="str">
        <f aca="false">IF(OR($C85="",R85=""),"",IF(R85/IF($R$2="",100,$R$2)&gt;=設定!$I$28,設定!$G$8,IF(R85/IF($R$2="",100,$R$2)&lt;設定!$I$29,設定!$G$10,設定!$G$9)))</f>
        <v/>
      </c>
      <c r="U85" s="62" t="str">
        <f aca="false">IF(OR($C85="",S85=""),"",IF(S85/IF($S$2="",100,$S$2)&gt;=設定!$I$28,設定!$G$8,IF(S85/IF($S$2="",100,$S$2)&lt;設定!$I$29,設定!$G$10,設定!$G$9)))</f>
        <v/>
      </c>
    </row>
    <row r="86" customFormat="false" ht="21" hidden="false" customHeight="true" outlineLevel="0" collapsed="false">
      <c r="A86" s="91" t="str">
        <f aca="false">IF(名簿!$D86="","",名簿!$B86&amp;"")</f>
        <v/>
      </c>
      <c r="B86" s="91" t="str">
        <f aca="false">IF(名簿!$D86="","",名簿!$C86)</f>
        <v/>
      </c>
      <c r="C86" s="59" t="str">
        <f aca="false">IF(名簿!$D86="","",名簿!$D86&amp;IF(名簿!$F86="転出","（転出）",""))</f>
        <v/>
      </c>
      <c r="D86" s="149"/>
      <c r="E86" s="61" t="str">
        <f aca="false">IF(OR($C86="",名簿!$F86="転出"),"",IF($C$2="学級ごと",$A86,$D86&amp;""))</f>
        <v/>
      </c>
      <c r="F86" s="150"/>
      <c r="G86" s="150"/>
      <c r="H86" s="150"/>
      <c r="I86" s="151"/>
      <c r="J86" s="41" t="str">
        <f aca="false">IF($E86="","",$E86&amp;"|"&amp;COUNTIF($E$5:$E86,$E86))</f>
        <v/>
      </c>
      <c r="K86" s="40" t="str">
        <f aca="false">IF($I86="","",LEN($I86))</f>
        <v/>
      </c>
      <c r="L86" s="13"/>
      <c r="M86" s="13"/>
      <c r="N86" s="13"/>
      <c r="O86" s="13"/>
      <c r="P86" s="152"/>
      <c r="Q86" s="149"/>
      <c r="R86" s="152"/>
      <c r="S86" s="152"/>
      <c r="T86" s="62" t="str">
        <f aca="false">IF(OR($C86="",R86=""),"",IF(R86/IF($R$2="",100,$R$2)&gt;=設定!$I$28,設定!$G$8,IF(R86/IF($R$2="",100,$R$2)&lt;設定!$I$29,設定!$G$10,設定!$G$9)))</f>
        <v/>
      </c>
      <c r="U86" s="62" t="str">
        <f aca="false">IF(OR($C86="",S86=""),"",IF(S86/IF($S$2="",100,$S$2)&gt;=設定!$I$28,設定!$G$8,IF(S86/IF($S$2="",100,$S$2)&lt;設定!$I$29,設定!$G$10,設定!$G$9)))</f>
        <v/>
      </c>
    </row>
    <row r="87" customFormat="false" ht="21" hidden="false" customHeight="true" outlineLevel="0" collapsed="false">
      <c r="A87" s="91" t="str">
        <f aca="false">IF(名簿!$D87="","",名簿!$B87&amp;"")</f>
        <v/>
      </c>
      <c r="B87" s="91" t="str">
        <f aca="false">IF(名簿!$D87="","",名簿!$C87)</f>
        <v/>
      </c>
      <c r="C87" s="59" t="str">
        <f aca="false">IF(名簿!$D87="","",名簿!$D87&amp;IF(名簿!$F87="転出","（転出）",""))</f>
        <v/>
      </c>
      <c r="D87" s="149"/>
      <c r="E87" s="61" t="str">
        <f aca="false">IF(OR($C87="",名簿!$F87="転出"),"",IF($C$2="学級ごと",$A87,$D87&amp;""))</f>
        <v/>
      </c>
      <c r="F87" s="150"/>
      <c r="G87" s="150"/>
      <c r="H87" s="150"/>
      <c r="I87" s="151"/>
      <c r="J87" s="41" t="str">
        <f aca="false">IF($E87="","",$E87&amp;"|"&amp;COUNTIF($E$5:$E87,$E87))</f>
        <v/>
      </c>
      <c r="K87" s="40" t="str">
        <f aca="false">IF($I87="","",LEN($I87))</f>
        <v/>
      </c>
      <c r="L87" s="13"/>
      <c r="M87" s="13"/>
      <c r="N87" s="13"/>
      <c r="O87" s="13"/>
      <c r="P87" s="152"/>
      <c r="Q87" s="149"/>
      <c r="R87" s="152"/>
      <c r="S87" s="152"/>
      <c r="T87" s="62" t="str">
        <f aca="false">IF(OR($C87="",R87=""),"",IF(R87/IF($R$2="",100,$R$2)&gt;=設定!$I$28,設定!$G$8,IF(R87/IF($R$2="",100,$R$2)&lt;設定!$I$29,設定!$G$10,設定!$G$9)))</f>
        <v/>
      </c>
      <c r="U87" s="62" t="str">
        <f aca="false">IF(OR($C87="",S87=""),"",IF(S87/IF($S$2="",100,$S$2)&gt;=設定!$I$28,設定!$G$8,IF(S87/IF($S$2="",100,$S$2)&lt;設定!$I$29,設定!$G$10,設定!$G$9)))</f>
        <v/>
      </c>
    </row>
    <row r="88" customFormat="false" ht="21" hidden="false" customHeight="true" outlineLevel="0" collapsed="false">
      <c r="A88" s="91" t="str">
        <f aca="false">IF(名簿!$D88="","",名簿!$B88&amp;"")</f>
        <v/>
      </c>
      <c r="B88" s="91" t="str">
        <f aca="false">IF(名簿!$D88="","",名簿!$C88)</f>
        <v/>
      </c>
      <c r="C88" s="59" t="str">
        <f aca="false">IF(名簿!$D88="","",名簿!$D88&amp;IF(名簿!$F88="転出","（転出）",""))</f>
        <v/>
      </c>
      <c r="D88" s="149"/>
      <c r="E88" s="61" t="str">
        <f aca="false">IF(OR($C88="",名簿!$F88="転出"),"",IF($C$2="学級ごと",$A88,$D88&amp;""))</f>
        <v/>
      </c>
      <c r="F88" s="150"/>
      <c r="G88" s="150"/>
      <c r="H88" s="150"/>
      <c r="I88" s="151"/>
      <c r="J88" s="41" t="str">
        <f aca="false">IF($E88="","",$E88&amp;"|"&amp;COUNTIF($E$5:$E88,$E88))</f>
        <v/>
      </c>
      <c r="K88" s="40" t="str">
        <f aca="false">IF($I88="","",LEN($I88))</f>
        <v/>
      </c>
      <c r="L88" s="13"/>
      <c r="M88" s="13"/>
      <c r="N88" s="13"/>
      <c r="O88" s="13"/>
      <c r="P88" s="152"/>
      <c r="Q88" s="149"/>
      <c r="R88" s="152"/>
      <c r="S88" s="152"/>
      <c r="T88" s="62" t="str">
        <f aca="false">IF(OR($C88="",R88=""),"",IF(R88/IF($R$2="",100,$R$2)&gt;=設定!$I$28,設定!$G$8,IF(R88/IF($R$2="",100,$R$2)&lt;設定!$I$29,設定!$G$10,設定!$G$9)))</f>
        <v/>
      </c>
      <c r="U88" s="62" t="str">
        <f aca="false">IF(OR($C88="",S88=""),"",IF(S88/IF($S$2="",100,$S$2)&gt;=設定!$I$28,設定!$G$8,IF(S88/IF($S$2="",100,$S$2)&lt;設定!$I$29,設定!$G$10,設定!$G$9)))</f>
        <v/>
      </c>
    </row>
    <row r="89" customFormat="false" ht="21" hidden="false" customHeight="true" outlineLevel="0" collapsed="false">
      <c r="A89" s="91" t="str">
        <f aca="false">IF(名簿!$D89="","",名簿!$B89&amp;"")</f>
        <v/>
      </c>
      <c r="B89" s="91" t="str">
        <f aca="false">IF(名簿!$D89="","",名簿!$C89)</f>
        <v/>
      </c>
      <c r="C89" s="59" t="str">
        <f aca="false">IF(名簿!$D89="","",名簿!$D89&amp;IF(名簿!$F89="転出","（転出）",""))</f>
        <v/>
      </c>
      <c r="D89" s="149"/>
      <c r="E89" s="61" t="str">
        <f aca="false">IF(OR($C89="",名簿!$F89="転出"),"",IF($C$2="学級ごと",$A89,$D89&amp;""))</f>
        <v/>
      </c>
      <c r="F89" s="150"/>
      <c r="G89" s="150"/>
      <c r="H89" s="150"/>
      <c r="I89" s="151"/>
      <c r="J89" s="41" t="str">
        <f aca="false">IF($E89="","",$E89&amp;"|"&amp;COUNTIF($E$5:$E89,$E89))</f>
        <v/>
      </c>
      <c r="K89" s="40" t="str">
        <f aca="false">IF($I89="","",LEN($I89))</f>
        <v/>
      </c>
      <c r="L89" s="13"/>
      <c r="M89" s="13"/>
      <c r="N89" s="13"/>
      <c r="O89" s="13"/>
      <c r="P89" s="152"/>
      <c r="Q89" s="149"/>
      <c r="R89" s="152"/>
      <c r="S89" s="152"/>
      <c r="T89" s="62" t="str">
        <f aca="false">IF(OR($C89="",R89=""),"",IF(R89/IF($R$2="",100,$R$2)&gt;=設定!$I$28,設定!$G$8,IF(R89/IF($R$2="",100,$R$2)&lt;設定!$I$29,設定!$G$10,設定!$G$9)))</f>
        <v/>
      </c>
      <c r="U89" s="62" t="str">
        <f aca="false">IF(OR($C89="",S89=""),"",IF(S89/IF($S$2="",100,$S$2)&gt;=設定!$I$28,設定!$G$8,IF(S89/IF($S$2="",100,$S$2)&lt;設定!$I$29,設定!$G$10,設定!$G$9)))</f>
        <v/>
      </c>
    </row>
    <row r="90" customFormat="false" ht="21" hidden="false" customHeight="true" outlineLevel="0" collapsed="false">
      <c r="A90" s="91" t="str">
        <f aca="false">IF(名簿!$D90="","",名簿!$B90&amp;"")</f>
        <v/>
      </c>
      <c r="B90" s="91" t="str">
        <f aca="false">IF(名簿!$D90="","",名簿!$C90)</f>
        <v/>
      </c>
      <c r="C90" s="59" t="str">
        <f aca="false">IF(名簿!$D90="","",名簿!$D90&amp;IF(名簿!$F90="転出","（転出）",""))</f>
        <v/>
      </c>
      <c r="D90" s="149"/>
      <c r="E90" s="61" t="str">
        <f aca="false">IF(OR($C90="",名簿!$F90="転出"),"",IF($C$2="学級ごと",$A90,$D90&amp;""))</f>
        <v/>
      </c>
      <c r="F90" s="150"/>
      <c r="G90" s="150"/>
      <c r="H90" s="150"/>
      <c r="I90" s="151"/>
      <c r="J90" s="41" t="str">
        <f aca="false">IF($E90="","",$E90&amp;"|"&amp;COUNTIF($E$5:$E90,$E90))</f>
        <v/>
      </c>
      <c r="K90" s="40" t="str">
        <f aca="false">IF($I90="","",LEN($I90))</f>
        <v/>
      </c>
      <c r="L90" s="13"/>
      <c r="M90" s="13"/>
      <c r="N90" s="13"/>
      <c r="O90" s="13"/>
      <c r="P90" s="152"/>
      <c r="Q90" s="149"/>
      <c r="R90" s="152"/>
      <c r="S90" s="152"/>
      <c r="T90" s="62" t="str">
        <f aca="false">IF(OR($C90="",R90=""),"",IF(R90/IF($R$2="",100,$R$2)&gt;=設定!$I$28,設定!$G$8,IF(R90/IF($R$2="",100,$R$2)&lt;設定!$I$29,設定!$G$10,設定!$G$9)))</f>
        <v/>
      </c>
      <c r="U90" s="62" t="str">
        <f aca="false">IF(OR($C90="",S90=""),"",IF(S90/IF($S$2="",100,$S$2)&gt;=設定!$I$28,設定!$G$8,IF(S90/IF($S$2="",100,$S$2)&lt;設定!$I$29,設定!$G$10,設定!$G$9)))</f>
        <v/>
      </c>
    </row>
    <row r="91" customFormat="false" ht="21" hidden="false" customHeight="true" outlineLevel="0" collapsed="false">
      <c r="A91" s="91" t="str">
        <f aca="false">IF(名簿!$D91="","",名簿!$B91&amp;"")</f>
        <v/>
      </c>
      <c r="B91" s="91" t="str">
        <f aca="false">IF(名簿!$D91="","",名簿!$C91)</f>
        <v/>
      </c>
      <c r="C91" s="59" t="str">
        <f aca="false">IF(名簿!$D91="","",名簿!$D91&amp;IF(名簿!$F91="転出","（転出）",""))</f>
        <v/>
      </c>
      <c r="D91" s="149"/>
      <c r="E91" s="61" t="str">
        <f aca="false">IF(OR($C91="",名簿!$F91="転出"),"",IF($C$2="学級ごと",$A91,$D91&amp;""))</f>
        <v/>
      </c>
      <c r="F91" s="150"/>
      <c r="G91" s="150"/>
      <c r="H91" s="150"/>
      <c r="I91" s="151"/>
      <c r="J91" s="41" t="str">
        <f aca="false">IF($E91="","",$E91&amp;"|"&amp;COUNTIF($E$5:$E91,$E91))</f>
        <v/>
      </c>
      <c r="K91" s="40" t="str">
        <f aca="false">IF($I91="","",LEN($I91))</f>
        <v/>
      </c>
      <c r="L91" s="13"/>
      <c r="M91" s="13"/>
      <c r="N91" s="13"/>
      <c r="O91" s="13"/>
      <c r="P91" s="152"/>
      <c r="Q91" s="149"/>
      <c r="R91" s="152"/>
      <c r="S91" s="152"/>
      <c r="T91" s="62" t="str">
        <f aca="false">IF(OR($C91="",R91=""),"",IF(R91/IF($R$2="",100,$R$2)&gt;=設定!$I$28,設定!$G$8,IF(R91/IF($R$2="",100,$R$2)&lt;設定!$I$29,設定!$G$10,設定!$G$9)))</f>
        <v/>
      </c>
      <c r="U91" s="62" t="str">
        <f aca="false">IF(OR($C91="",S91=""),"",IF(S91/IF($S$2="",100,$S$2)&gt;=設定!$I$28,設定!$G$8,IF(S91/IF($S$2="",100,$S$2)&lt;設定!$I$29,設定!$G$10,設定!$G$9)))</f>
        <v/>
      </c>
    </row>
    <row r="92" customFormat="false" ht="21" hidden="false" customHeight="true" outlineLevel="0" collapsed="false">
      <c r="A92" s="91" t="str">
        <f aca="false">IF(名簿!$D92="","",名簿!$B92&amp;"")</f>
        <v/>
      </c>
      <c r="B92" s="91" t="str">
        <f aca="false">IF(名簿!$D92="","",名簿!$C92)</f>
        <v/>
      </c>
      <c r="C92" s="59" t="str">
        <f aca="false">IF(名簿!$D92="","",名簿!$D92&amp;IF(名簿!$F92="転出","（転出）",""))</f>
        <v/>
      </c>
      <c r="D92" s="149"/>
      <c r="E92" s="61" t="str">
        <f aca="false">IF(OR($C92="",名簿!$F92="転出"),"",IF($C$2="学級ごと",$A92,$D92&amp;""))</f>
        <v/>
      </c>
      <c r="F92" s="150"/>
      <c r="G92" s="150"/>
      <c r="H92" s="150"/>
      <c r="I92" s="151"/>
      <c r="J92" s="41" t="str">
        <f aca="false">IF($E92="","",$E92&amp;"|"&amp;COUNTIF($E$5:$E92,$E92))</f>
        <v/>
      </c>
      <c r="K92" s="40" t="str">
        <f aca="false">IF($I92="","",LEN($I92))</f>
        <v/>
      </c>
      <c r="L92" s="13"/>
      <c r="M92" s="13"/>
      <c r="N92" s="13"/>
      <c r="O92" s="13"/>
      <c r="P92" s="152"/>
      <c r="Q92" s="149"/>
      <c r="R92" s="152"/>
      <c r="S92" s="152"/>
      <c r="T92" s="62" t="str">
        <f aca="false">IF(OR($C92="",R92=""),"",IF(R92/IF($R$2="",100,$R$2)&gt;=設定!$I$28,設定!$G$8,IF(R92/IF($R$2="",100,$R$2)&lt;設定!$I$29,設定!$G$10,設定!$G$9)))</f>
        <v/>
      </c>
      <c r="U92" s="62" t="str">
        <f aca="false">IF(OR($C92="",S92=""),"",IF(S92/IF($S$2="",100,$S$2)&gt;=設定!$I$28,設定!$G$8,IF(S92/IF($S$2="",100,$S$2)&lt;設定!$I$29,設定!$G$10,設定!$G$9)))</f>
        <v/>
      </c>
    </row>
    <row r="93" customFormat="false" ht="21" hidden="false" customHeight="true" outlineLevel="0" collapsed="false">
      <c r="A93" s="91" t="str">
        <f aca="false">IF(名簿!$D93="","",名簿!$B93&amp;"")</f>
        <v/>
      </c>
      <c r="B93" s="91" t="str">
        <f aca="false">IF(名簿!$D93="","",名簿!$C93)</f>
        <v/>
      </c>
      <c r="C93" s="59" t="str">
        <f aca="false">IF(名簿!$D93="","",名簿!$D93&amp;IF(名簿!$F93="転出","（転出）",""))</f>
        <v/>
      </c>
      <c r="D93" s="149"/>
      <c r="E93" s="61" t="str">
        <f aca="false">IF(OR($C93="",名簿!$F93="転出"),"",IF($C$2="学級ごと",$A93,$D93&amp;""))</f>
        <v/>
      </c>
      <c r="F93" s="150"/>
      <c r="G93" s="150"/>
      <c r="H93" s="150"/>
      <c r="I93" s="151"/>
      <c r="J93" s="41" t="str">
        <f aca="false">IF($E93="","",$E93&amp;"|"&amp;COUNTIF($E$5:$E93,$E93))</f>
        <v/>
      </c>
      <c r="K93" s="40" t="str">
        <f aca="false">IF($I93="","",LEN($I93))</f>
        <v/>
      </c>
      <c r="L93" s="13"/>
      <c r="M93" s="13"/>
      <c r="N93" s="13"/>
      <c r="O93" s="13"/>
      <c r="P93" s="152"/>
      <c r="Q93" s="149"/>
      <c r="R93" s="152"/>
      <c r="S93" s="152"/>
      <c r="T93" s="62" t="str">
        <f aca="false">IF(OR($C93="",R93=""),"",IF(R93/IF($R$2="",100,$R$2)&gt;=設定!$I$28,設定!$G$8,IF(R93/IF($R$2="",100,$R$2)&lt;設定!$I$29,設定!$G$10,設定!$G$9)))</f>
        <v/>
      </c>
      <c r="U93" s="62" t="str">
        <f aca="false">IF(OR($C93="",S93=""),"",IF(S93/IF($S$2="",100,$S$2)&gt;=設定!$I$28,設定!$G$8,IF(S93/IF($S$2="",100,$S$2)&lt;設定!$I$29,設定!$G$10,設定!$G$9)))</f>
        <v/>
      </c>
    </row>
    <row r="94" customFormat="false" ht="21" hidden="false" customHeight="true" outlineLevel="0" collapsed="false">
      <c r="A94" s="91" t="str">
        <f aca="false">IF(名簿!$D94="","",名簿!$B94&amp;"")</f>
        <v/>
      </c>
      <c r="B94" s="91" t="str">
        <f aca="false">IF(名簿!$D94="","",名簿!$C94)</f>
        <v/>
      </c>
      <c r="C94" s="59" t="str">
        <f aca="false">IF(名簿!$D94="","",名簿!$D94&amp;IF(名簿!$F94="転出","（転出）",""))</f>
        <v/>
      </c>
      <c r="D94" s="149"/>
      <c r="E94" s="61" t="str">
        <f aca="false">IF(OR($C94="",名簿!$F94="転出"),"",IF($C$2="学級ごと",$A94,$D94&amp;""))</f>
        <v/>
      </c>
      <c r="F94" s="150"/>
      <c r="G94" s="150"/>
      <c r="H94" s="150"/>
      <c r="I94" s="151"/>
      <c r="J94" s="41" t="str">
        <f aca="false">IF($E94="","",$E94&amp;"|"&amp;COUNTIF($E$5:$E94,$E94))</f>
        <v/>
      </c>
      <c r="K94" s="40" t="str">
        <f aca="false">IF($I94="","",LEN($I94))</f>
        <v/>
      </c>
      <c r="L94" s="13"/>
      <c r="M94" s="13"/>
      <c r="N94" s="13"/>
      <c r="O94" s="13"/>
      <c r="P94" s="152"/>
      <c r="Q94" s="149"/>
      <c r="R94" s="152"/>
      <c r="S94" s="152"/>
      <c r="T94" s="62" t="str">
        <f aca="false">IF(OR($C94="",R94=""),"",IF(R94/IF($R$2="",100,$R$2)&gt;=設定!$I$28,設定!$G$8,IF(R94/IF($R$2="",100,$R$2)&lt;設定!$I$29,設定!$G$10,設定!$G$9)))</f>
        <v/>
      </c>
      <c r="U94" s="62" t="str">
        <f aca="false">IF(OR($C94="",S94=""),"",IF(S94/IF($S$2="",100,$S$2)&gt;=設定!$I$28,設定!$G$8,IF(S94/IF($S$2="",100,$S$2)&lt;設定!$I$29,設定!$G$10,設定!$G$9)))</f>
        <v/>
      </c>
    </row>
    <row r="95" customFormat="false" ht="21" hidden="false" customHeight="true" outlineLevel="0" collapsed="false">
      <c r="A95" s="91" t="str">
        <f aca="false">IF(名簿!$D95="","",名簿!$B95&amp;"")</f>
        <v/>
      </c>
      <c r="B95" s="91" t="str">
        <f aca="false">IF(名簿!$D95="","",名簿!$C95)</f>
        <v/>
      </c>
      <c r="C95" s="59" t="str">
        <f aca="false">IF(名簿!$D95="","",名簿!$D95&amp;IF(名簿!$F95="転出","（転出）",""))</f>
        <v/>
      </c>
      <c r="D95" s="149"/>
      <c r="E95" s="61" t="str">
        <f aca="false">IF(OR($C95="",名簿!$F95="転出"),"",IF($C$2="学級ごと",$A95,$D95&amp;""))</f>
        <v/>
      </c>
      <c r="F95" s="150"/>
      <c r="G95" s="150"/>
      <c r="H95" s="150"/>
      <c r="I95" s="151"/>
      <c r="J95" s="41" t="str">
        <f aca="false">IF($E95="","",$E95&amp;"|"&amp;COUNTIF($E$5:$E95,$E95))</f>
        <v/>
      </c>
      <c r="K95" s="40" t="str">
        <f aca="false">IF($I95="","",LEN($I95))</f>
        <v/>
      </c>
      <c r="L95" s="13"/>
      <c r="M95" s="13"/>
      <c r="N95" s="13"/>
      <c r="O95" s="13"/>
      <c r="P95" s="152"/>
      <c r="Q95" s="149"/>
      <c r="R95" s="152"/>
      <c r="S95" s="152"/>
      <c r="T95" s="62" t="str">
        <f aca="false">IF(OR($C95="",R95=""),"",IF(R95/IF($R$2="",100,$R$2)&gt;=設定!$I$28,設定!$G$8,IF(R95/IF($R$2="",100,$R$2)&lt;設定!$I$29,設定!$G$10,設定!$G$9)))</f>
        <v/>
      </c>
      <c r="U95" s="62" t="str">
        <f aca="false">IF(OR($C95="",S95=""),"",IF(S95/IF($S$2="",100,$S$2)&gt;=設定!$I$28,設定!$G$8,IF(S95/IF($S$2="",100,$S$2)&lt;設定!$I$29,設定!$G$10,設定!$G$9)))</f>
        <v/>
      </c>
    </row>
    <row r="96" customFormat="false" ht="21" hidden="false" customHeight="true" outlineLevel="0" collapsed="false">
      <c r="A96" s="91" t="str">
        <f aca="false">IF(名簿!$D96="","",名簿!$B96&amp;"")</f>
        <v/>
      </c>
      <c r="B96" s="91" t="str">
        <f aca="false">IF(名簿!$D96="","",名簿!$C96)</f>
        <v/>
      </c>
      <c r="C96" s="59" t="str">
        <f aca="false">IF(名簿!$D96="","",名簿!$D96&amp;IF(名簿!$F96="転出","（転出）",""))</f>
        <v/>
      </c>
      <c r="D96" s="149"/>
      <c r="E96" s="61" t="str">
        <f aca="false">IF(OR($C96="",名簿!$F96="転出"),"",IF($C$2="学級ごと",$A96,$D96&amp;""))</f>
        <v/>
      </c>
      <c r="F96" s="150"/>
      <c r="G96" s="150"/>
      <c r="H96" s="150"/>
      <c r="I96" s="151"/>
      <c r="J96" s="41" t="str">
        <f aca="false">IF($E96="","",$E96&amp;"|"&amp;COUNTIF($E$5:$E96,$E96))</f>
        <v/>
      </c>
      <c r="K96" s="40" t="str">
        <f aca="false">IF($I96="","",LEN($I96))</f>
        <v/>
      </c>
      <c r="L96" s="13"/>
      <c r="M96" s="13"/>
      <c r="N96" s="13"/>
      <c r="O96" s="13"/>
      <c r="P96" s="152"/>
      <c r="Q96" s="149"/>
      <c r="R96" s="152"/>
      <c r="S96" s="152"/>
      <c r="T96" s="62" t="str">
        <f aca="false">IF(OR($C96="",R96=""),"",IF(R96/IF($R$2="",100,$R$2)&gt;=設定!$I$28,設定!$G$8,IF(R96/IF($R$2="",100,$R$2)&lt;設定!$I$29,設定!$G$10,設定!$G$9)))</f>
        <v/>
      </c>
      <c r="U96" s="62" t="str">
        <f aca="false">IF(OR($C96="",S96=""),"",IF(S96/IF($S$2="",100,$S$2)&gt;=設定!$I$28,設定!$G$8,IF(S96/IF($S$2="",100,$S$2)&lt;設定!$I$29,設定!$G$10,設定!$G$9)))</f>
        <v/>
      </c>
    </row>
    <row r="97" customFormat="false" ht="21" hidden="false" customHeight="true" outlineLevel="0" collapsed="false">
      <c r="A97" s="91" t="str">
        <f aca="false">IF(名簿!$D97="","",名簿!$B97&amp;"")</f>
        <v/>
      </c>
      <c r="B97" s="91" t="str">
        <f aca="false">IF(名簿!$D97="","",名簿!$C97)</f>
        <v/>
      </c>
      <c r="C97" s="59" t="str">
        <f aca="false">IF(名簿!$D97="","",名簿!$D97&amp;IF(名簿!$F97="転出","（転出）",""))</f>
        <v/>
      </c>
      <c r="D97" s="149"/>
      <c r="E97" s="61" t="str">
        <f aca="false">IF(OR($C97="",名簿!$F97="転出"),"",IF($C$2="学級ごと",$A97,$D97&amp;""))</f>
        <v/>
      </c>
      <c r="F97" s="150"/>
      <c r="G97" s="150"/>
      <c r="H97" s="150"/>
      <c r="I97" s="151"/>
      <c r="J97" s="41" t="str">
        <f aca="false">IF($E97="","",$E97&amp;"|"&amp;COUNTIF($E$5:$E97,$E97))</f>
        <v/>
      </c>
      <c r="K97" s="40" t="str">
        <f aca="false">IF($I97="","",LEN($I97))</f>
        <v/>
      </c>
      <c r="L97" s="13"/>
      <c r="M97" s="13"/>
      <c r="N97" s="13"/>
      <c r="O97" s="13"/>
      <c r="P97" s="152"/>
      <c r="Q97" s="149"/>
      <c r="R97" s="152"/>
      <c r="S97" s="152"/>
      <c r="T97" s="62" t="str">
        <f aca="false">IF(OR($C97="",R97=""),"",IF(R97/IF($R$2="",100,$R$2)&gt;=設定!$I$28,設定!$G$8,IF(R97/IF($R$2="",100,$R$2)&lt;設定!$I$29,設定!$G$10,設定!$G$9)))</f>
        <v/>
      </c>
      <c r="U97" s="62" t="str">
        <f aca="false">IF(OR($C97="",S97=""),"",IF(S97/IF($S$2="",100,$S$2)&gt;=設定!$I$28,設定!$G$8,IF(S97/IF($S$2="",100,$S$2)&lt;設定!$I$29,設定!$G$10,設定!$G$9)))</f>
        <v/>
      </c>
    </row>
    <row r="98" customFormat="false" ht="21" hidden="false" customHeight="true" outlineLevel="0" collapsed="false">
      <c r="A98" s="91" t="str">
        <f aca="false">IF(名簿!$D98="","",名簿!$B98&amp;"")</f>
        <v/>
      </c>
      <c r="B98" s="91" t="str">
        <f aca="false">IF(名簿!$D98="","",名簿!$C98)</f>
        <v/>
      </c>
      <c r="C98" s="59" t="str">
        <f aca="false">IF(名簿!$D98="","",名簿!$D98&amp;IF(名簿!$F98="転出","（転出）",""))</f>
        <v/>
      </c>
      <c r="D98" s="149"/>
      <c r="E98" s="61" t="str">
        <f aca="false">IF(OR($C98="",名簿!$F98="転出"),"",IF($C$2="学級ごと",$A98,$D98&amp;""))</f>
        <v/>
      </c>
      <c r="F98" s="150"/>
      <c r="G98" s="150"/>
      <c r="H98" s="150"/>
      <c r="I98" s="151"/>
      <c r="J98" s="41" t="str">
        <f aca="false">IF($E98="","",$E98&amp;"|"&amp;COUNTIF($E$5:$E98,$E98))</f>
        <v/>
      </c>
      <c r="K98" s="40" t="str">
        <f aca="false">IF($I98="","",LEN($I98))</f>
        <v/>
      </c>
      <c r="L98" s="13"/>
      <c r="M98" s="13"/>
      <c r="N98" s="13"/>
      <c r="O98" s="13"/>
      <c r="P98" s="152"/>
      <c r="Q98" s="149"/>
      <c r="R98" s="152"/>
      <c r="S98" s="152"/>
      <c r="T98" s="62" t="str">
        <f aca="false">IF(OR($C98="",R98=""),"",IF(R98/IF($R$2="",100,$R$2)&gt;=設定!$I$28,設定!$G$8,IF(R98/IF($R$2="",100,$R$2)&lt;設定!$I$29,設定!$G$10,設定!$G$9)))</f>
        <v/>
      </c>
      <c r="U98" s="62" t="str">
        <f aca="false">IF(OR($C98="",S98=""),"",IF(S98/IF($S$2="",100,$S$2)&gt;=設定!$I$28,設定!$G$8,IF(S98/IF($S$2="",100,$S$2)&lt;設定!$I$29,設定!$G$10,設定!$G$9)))</f>
        <v/>
      </c>
    </row>
    <row r="99" customFormat="false" ht="21" hidden="false" customHeight="true" outlineLevel="0" collapsed="false">
      <c r="A99" s="91" t="str">
        <f aca="false">IF(名簿!$D99="","",名簿!$B99&amp;"")</f>
        <v/>
      </c>
      <c r="B99" s="91" t="str">
        <f aca="false">IF(名簿!$D99="","",名簿!$C99)</f>
        <v/>
      </c>
      <c r="C99" s="59" t="str">
        <f aca="false">IF(名簿!$D99="","",名簿!$D99&amp;IF(名簿!$F99="転出","（転出）",""))</f>
        <v/>
      </c>
      <c r="D99" s="149"/>
      <c r="E99" s="61" t="str">
        <f aca="false">IF(OR($C99="",名簿!$F99="転出"),"",IF($C$2="学級ごと",$A99,$D99&amp;""))</f>
        <v/>
      </c>
      <c r="F99" s="150"/>
      <c r="G99" s="150"/>
      <c r="H99" s="150"/>
      <c r="I99" s="151"/>
      <c r="J99" s="41" t="str">
        <f aca="false">IF($E99="","",$E99&amp;"|"&amp;COUNTIF($E$5:$E99,$E99))</f>
        <v/>
      </c>
      <c r="K99" s="40" t="str">
        <f aca="false">IF($I99="","",LEN($I99))</f>
        <v/>
      </c>
      <c r="L99" s="13"/>
      <c r="M99" s="13"/>
      <c r="N99" s="13"/>
      <c r="O99" s="13"/>
      <c r="P99" s="152"/>
      <c r="Q99" s="149"/>
      <c r="R99" s="152"/>
      <c r="S99" s="152"/>
      <c r="T99" s="62" t="str">
        <f aca="false">IF(OR($C99="",R99=""),"",IF(R99/IF($R$2="",100,$R$2)&gt;=設定!$I$28,設定!$G$8,IF(R99/IF($R$2="",100,$R$2)&lt;設定!$I$29,設定!$G$10,設定!$G$9)))</f>
        <v/>
      </c>
      <c r="U99" s="62" t="str">
        <f aca="false">IF(OR($C99="",S99=""),"",IF(S99/IF($S$2="",100,$S$2)&gt;=設定!$I$28,設定!$G$8,IF(S99/IF($S$2="",100,$S$2)&lt;設定!$I$29,設定!$G$10,設定!$G$9)))</f>
        <v/>
      </c>
    </row>
    <row r="100" customFormat="false" ht="21" hidden="false" customHeight="true" outlineLevel="0" collapsed="false">
      <c r="A100" s="91" t="str">
        <f aca="false">IF(名簿!$D100="","",名簿!$B100&amp;"")</f>
        <v/>
      </c>
      <c r="B100" s="91" t="str">
        <f aca="false">IF(名簿!$D100="","",名簿!$C100)</f>
        <v/>
      </c>
      <c r="C100" s="59" t="str">
        <f aca="false">IF(名簿!$D100="","",名簿!$D100&amp;IF(名簿!$F100="転出","（転出）",""))</f>
        <v/>
      </c>
      <c r="D100" s="149"/>
      <c r="E100" s="61" t="str">
        <f aca="false">IF(OR($C100="",名簿!$F100="転出"),"",IF($C$2="学級ごと",$A100,$D100&amp;""))</f>
        <v/>
      </c>
      <c r="F100" s="150"/>
      <c r="G100" s="150"/>
      <c r="H100" s="150"/>
      <c r="I100" s="151"/>
      <c r="J100" s="41" t="str">
        <f aca="false">IF($E100="","",$E100&amp;"|"&amp;COUNTIF($E$5:$E100,$E100))</f>
        <v/>
      </c>
      <c r="K100" s="40" t="str">
        <f aca="false">IF($I100="","",LEN($I100))</f>
        <v/>
      </c>
      <c r="L100" s="13"/>
      <c r="M100" s="13"/>
      <c r="N100" s="13"/>
      <c r="O100" s="13"/>
      <c r="P100" s="152"/>
      <c r="Q100" s="149"/>
      <c r="R100" s="152"/>
      <c r="S100" s="152"/>
      <c r="T100" s="62" t="str">
        <f aca="false">IF(OR($C100="",R100=""),"",IF(R100/IF($R$2="",100,$R$2)&gt;=設定!$I$28,設定!$G$8,IF(R100/IF($R$2="",100,$R$2)&lt;設定!$I$29,設定!$G$10,設定!$G$9)))</f>
        <v/>
      </c>
      <c r="U100" s="62" t="str">
        <f aca="false">IF(OR($C100="",S100=""),"",IF(S100/IF($S$2="",100,$S$2)&gt;=設定!$I$28,設定!$G$8,IF(S100/IF($S$2="",100,$S$2)&lt;設定!$I$29,設定!$G$10,設定!$G$9)))</f>
        <v/>
      </c>
    </row>
    <row r="101" customFormat="false" ht="21" hidden="false" customHeight="true" outlineLevel="0" collapsed="false">
      <c r="A101" s="91" t="str">
        <f aca="false">IF(名簿!$D101="","",名簿!$B101&amp;"")</f>
        <v/>
      </c>
      <c r="B101" s="91" t="str">
        <f aca="false">IF(名簿!$D101="","",名簿!$C101)</f>
        <v/>
      </c>
      <c r="C101" s="59" t="str">
        <f aca="false">IF(名簿!$D101="","",名簿!$D101&amp;IF(名簿!$F101="転出","（転出）",""))</f>
        <v/>
      </c>
      <c r="D101" s="149"/>
      <c r="E101" s="61" t="str">
        <f aca="false">IF(OR($C101="",名簿!$F101="転出"),"",IF($C$2="学級ごと",$A101,$D101&amp;""))</f>
        <v/>
      </c>
      <c r="F101" s="150"/>
      <c r="G101" s="150"/>
      <c r="H101" s="150"/>
      <c r="I101" s="151"/>
      <c r="J101" s="41" t="str">
        <f aca="false">IF($E101="","",$E101&amp;"|"&amp;COUNTIF($E$5:$E101,$E101))</f>
        <v/>
      </c>
      <c r="K101" s="40" t="str">
        <f aca="false">IF($I101="","",LEN($I101))</f>
        <v/>
      </c>
      <c r="L101" s="13"/>
      <c r="M101" s="13"/>
      <c r="N101" s="13"/>
      <c r="O101" s="13"/>
      <c r="P101" s="152"/>
      <c r="Q101" s="149"/>
      <c r="R101" s="152"/>
      <c r="S101" s="152"/>
      <c r="T101" s="62" t="str">
        <f aca="false">IF(OR($C101="",R101=""),"",IF(R101/IF($R$2="",100,$R$2)&gt;=設定!$I$28,設定!$G$8,IF(R101/IF($R$2="",100,$R$2)&lt;設定!$I$29,設定!$G$10,設定!$G$9)))</f>
        <v/>
      </c>
      <c r="U101" s="62" t="str">
        <f aca="false">IF(OR($C101="",S101=""),"",IF(S101/IF($S$2="",100,$S$2)&gt;=設定!$I$28,設定!$G$8,IF(S101/IF($S$2="",100,$S$2)&lt;設定!$I$29,設定!$G$10,設定!$G$9)))</f>
        <v/>
      </c>
    </row>
    <row r="102" customFormat="false" ht="21" hidden="false" customHeight="true" outlineLevel="0" collapsed="false">
      <c r="A102" s="91" t="str">
        <f aca="false">IF(名簿!$D102="","",名簿!$B102&amp;"")</f>
        <v/>
      </c>
      <c r="B102" s="91" t="str">
        <f aca="false">IF(名簿!$D102="","",名簿!$C102)</f>
        <v/>
      </c>
      <c r="C102" s="59" t="str">
        <f aca="false">IF(名簿!$D102="","",名簿!$D102&amp;IF(名簿!$F102="転出","（転出）",""))</f>
        <v/>
      </c>
      <c r="D102" s="149"/>
      <c r="E102" s="61" t="str">
        <f aca="false">IF(OR($C102="",名簿!$F102="転出"),"",IF($C$2="学級ごと",$A102,$D102&amp;""))</f>
        <v/>
      </c>
      <c r="F102" s="150"/>
      <c r="G102" s="150"/>
      <c r="H102" s="150"/>
      <c r="I102" s="151"/>
      <c r="J102" s="41" t="str">
        <f aca="false">IF($E102="","",$E102&amp;"|"&amp;COUNTIF($E$5:$E102,$E102))</f>
        <v/>
      </c>
      <c r="K102" s="40" t="str">
        <f aca="false">IF($I102="","",LEN($I102))</f>
        <v/>
      </c>
      <c r="L102" s="13"/>
      <c r="M102" s="13"/>
      <c r="N102" s="13"/>
      <c r="O102" s="13"/>
      <c r="P102" s="152"/>
      <c r="Q102" s="149"/>
      <c r="R102" s="152"/>
      <c r="S102" s="152"/>
      <c r="T102" s="62" t="str">
        <f aca="false">IF(OR($C102="",R102=""),"",IF(R102/IF($R$2="",100,$R$2)&gt;=設定!$I$28,設定!$G$8,IF(R102/IF($R$2="",100,$R$2)&lt;設定!$I$29,設定!$G$10,設定!$G$9)))</f>
        <v/>
      </c>
      <c r="U102" s="62" t="str">
        <f aca="false">IF(OR($C102="",S102=""),"",IF(S102/IF($S$2="",100,$S$2)&gt;=設定!$I$28,設定!$G$8,IF(S102/IF($S$2="",100,$S$2)&lt;設定!$I$29,設定!$G$10,設定!$G$9)))</f>
        <v/>
      </c>
    </row>
    <row r="103" customFormat="false" ht="21" hidden="false" customHeight="true" outlineLevel="0" collapsed="false">
      <c r="A103" s="91" t="str">
        <f aca="false">IF(名簿!$D103="","",名簿!$B103&amp;"")</f>
        <v/>
      </c>
      <c r="B103" s="91" t="str">
        <f aca="false">IF(名簿!$D103="","",名簿!$C103)</f>
        <v/>
      </c>
      <c r="C103" s="59" t="str">
        <f aca="false">IF(名簿!$D103="","",名簿!$D103&amp;IF(名簿!$F103="転出","（転出）",""))</f>
        <v/>
      </c>
      <c r="D103" s="149"/>
      <c r="E103" s="61" t="str">
        <f aca="false">IF(OR($C103="",名簿!$F103="転出"),"",IF($C$2="学級ごと",$A103,$D103&amp;""))</f>
        <v/>
      </c>
      <c r="F103" s="150"/>
      <c r="G103" s="150"/>
      <c r="H103" s="150"/>
      <c r="I103" s="151"/>
      <c r="J103" s="41" t="str">
        <f aca="false">IF($E103="","",$E103&amp;"|"&amp;COUNTIF($E$5:$E103,$E103))</f>
        <v/>
      </c>
      <c r="K103" s="40" t="str">
        <f aca="false">IF($I103="","",LEN($I103))</f>
        <v/>
      </c>
      <c r="L103" s="13"/>
      <c r="M103" s="13"/>
      <c r="N103" s="13"/>
      <c r="O103" s="13"/>
      <c r="P103" s="152"/>
      <c r="Q103" s="149"/>
      <c r="R103" s="152"/>
      <c r="S103" s="152"/>
      <c r="T103" s="62" t="str">
        <f aca="false">IF(OR($C103="",R103=""),"",IF(R103/IF($R$2="",100,$R$2)&gt;=設定!$I$28,設定!$G$8,IF(R103/IF($R$2="",100,$R$2)&lt;設定!$I$29,設定!$G$10,設定!$G$9)))</f>
        <v/>
      </c>
      <c r="U103" s="62" t="str">
        <f aca="false">IF(OR($C103="",S103=""),"",IF(S103/IF($S$2="",100,$S$2)&gt;=設定!$I$28,設定!$G$8,IF(S103/IF($S$2="",100,$S$2)&lt;設定!$I$29,設定!$G$10,設定!$G$9)))</f>
        <v/>
      </c>
    </row>
    <row r="104" customFormat="false" ht="21" hidden="false" customHeight="true" outlineLevel="0" collapsed="false">
      <c r="A104" s="91" t="str">
        <f aca="false">IF(名簿!$D104="","",名簿!$B104&amp;"")</f>
        <v/>
      </c>
      <c r="B104" s="91" t="str">
        <f aca="false">IF(名簿!$D104="","",名簿!$C104)</f>
        <v/>
      </c>
      <c r="C104" s="59" t="str">
        <f aca="false">IF(名簿!$D104="","",名簿!$D104&amp;IF(名簿!$F104="転出","（転出）",""))</f>
        <v/>
      </c>
      <c r="D104" s="149"/>
      <c r="E104" s="61" t="str">
        <f aca="false">IF(OR($C104="",名簿!$F104="転出"),"",IF($C$2="学級ごと",$A104,$D104&amp;""))</f>
        <v/>
      </c>
      <c r="F104" s="150"/>
      <c r="G104" s="150"/>
      <c r="H104" s="150"/>
      <c r="I104" s="151"/>
      <c r="J104" s="41" t="str">
        <f aca="false">IF($E104="","",$E104&amp;"|"&amp;COUNTIF($E$5:$E104,$E104))</f>
        <v/>
      </c>
      <c r="K104" s="40" t="str">
        <f aca="false">IF($I104="","",LEN($I104))</f>
        <v/>
      </c>
      <c r="L104" s="13"/>
      <c r="M104" s="13"/>
      <c r="N104" s="13"/>
      <c r="O104" s="13"/>
      <c r="P104" s="152"/>
      <c r="Q104" s="149"/>
      <c r="R104" s="152"/>
      <c r="S104" s="152"/>
      <c r="T104" s="62" t="str">
        <f aca="false">IF(OR($C104="",R104=""),"",IF(R104/IF($R$2="",100,$R$2)&gt;=設定!$I$28,設定!$G$8,IF(R104/IF($R$2="",100,$R$2)&lt;設定!$I$29,設定!$G$10,設定!$G$9)))</f>
        <v/>
      </c>
      <c r="U104" s="62" t="str">
        <f aca="false">IF(OR($C104="",S104=""),"",IF(S104/IF($S$2="",100,$S$2)&gt;=設定!$I$28,設定!$G$8,IF(S104/IF($S$2="",100,$S$2)&lt;設定!$I$29,設定!$G$10,設定!$G$9)))</f>
        <v/>
      </c>
    </row>
    <row r="105" customFormat="false" ht="21" hidden="false" customHeight="true" outlineLevel="0" collapsed="false">
      <c r="A105" s="91" t="str">
        <f aca="false">IF(名簿!$D105="","",名簿!$B105&amp;"")</f>
        <v/>
      </c>
      <c r="B105" s="91" t="str">
        <f aca="false">IF(名簿!$D105="","",名簿!$C105)</f>
        <v/>
      </c>
      <c r="C105" s="59" t="str">
        <f aca="false">IF(名簿!$D105="","",名簿!$D105&amp;IF(名簿!$F105="転出","（転出）",""))</f>
        <v/>
      </c>
      <c r="D105" s="149"/>
      <c r="E105" s="61" t="str">
        <f aca="false">IF(OR($C105="",名簿!$F105="転出"),"",IF($C$2="学級ごと",$A105,$D105&amp;""))</f>
        <v/>
      </c>
      <c r="F105" s="150"/>
      <c r="G105" s="150"/>
      <c r="H105" s="150"/>
      <c r="I105" s="151"/>
      <c r="J105" s="41" t="str">
        <f aca="false">IF($E105="","",$E105&amp;"|"&amp;COUNTIF($E$5:$E105,$E105))</f>
        <v/>
      </c>
      <c r="K105" s="40" t="str">
        <f aca="false">IF($I105="","",LEN($I105))</f>
        <v/>
      </c>
      <c r="L105" s="13"/>
      <c r="M105" s="13"/>
      <c r="N105" s="13"/>
      <c r="O105" s="13"/>
      <c r="P105" s="152"/>
      <c r="Q105" s="149"/>
      <c r="R105" s="152"/>
      <c r="S105" s="152"/>
      <c r="T105" s="62" t="str">
        <f aca="false">IF(OR($C105="",R105=""),"",IF(R105/IF($R$2="",100,$R$2)&gt;=設定!$I$28,設定!$G$8,IF(R105/IF($R$2="",100,$R$2)&lt;設定!$I$29,設定!$G$10,設定!$G$9)))</f>
        <v/>
      </c>
      <c r="U105" s="62" t="str">
        <f aca="false">IF(OR($C105="",S105=""),"",IF(S105/IF($S$2="",100,$S$2)&gt;=設定!$I$28,設定!$G$8,IF(S105/IF($S$2="",100,$S$2)&lt;設定!$I$29,設定!$G$10,設定!$G$9)))</f>
        <v/>
      </c>
    </row>
    <row r="106" customFormat="false" ht="21" hidden="false" customHeight="true" outlineLevel="0" collapsed="false">
      <c r="A106" s="91" t="str">
        <f aca="false">IF(名簿!$D106="","",名簿!$B106&amp;"")</f>
        <v/>
      </c>
      <c r="B106" s="91" t="str">
        <f aca="false">IF(名簿!$D106="","",名簿!$C106)</f>
        <v/>
      </c>
      <c r="C106" s="59" t="str">
        <f aca="false">IF(名簿!$D106="","",名簿!$D106&amp;IF(名簿!$F106="転出","（転出）",""))</f>
        <v/>
      </c>
      <c r="D106" s="149"/>
      <c r="E106" s="61" t="str">
        <f aca="false">IF(OR($C106="",名簿!$F106="転出"),"",IF($C$2="学級ごと",$A106,$D106&amp;""))</f>
        <v/>
      </c>
      <c r="F106" s="150"/>
      <c r="G106" s="150"/>
      <c r="H106" s="150"/>
      <c r="I106" s="151"/>
      <c r="J106" s="41" t="str">
        <f aca="false">IF($E106="","",$E106&amp;"|"&amp;COUNTIF($E$5:$E106,$E106))</f>
        <v/>
      </c>
      <c r="K106" s="40" t="str">
        <f aca="false">IF($I106="","",LEN($I106))</f>
        <v/>
      </c>
      <c r="L106" s="13"/>
      <c r="M106" s="13"/>
      <c r="N106" s="13"/>
      <c r="O106" s="13"/>
      <c r="P106" s="152"/>
      <c r="Q106" s="149"/>
      <c r="R106" s="152"/>
      <c r="S106" s="152"/>
      <c r="T106" s="62" t="str">
        <f aca="false">IF(OR($C106="",R106=""),"",IF(R106/IF($R$2="",100,$R$2)&gt;=設定!$I$28,設定!$G$8,IF(R106/IF($R$2="",100,$R$2)&lt;設定!$I$29,設定!$G$10,設定!$G$9)))</f>
        <v/>
      </c>
      <c r="U106" s="62" t="str">
        <f aca="false">IF(OR($C106="",S106=""),"",IF(S106/IF($S$2="",100,$S$2)&gt;=設定!$I$28,設定!$G$8,IF(S106/IF($S$2="",100,$S$2)&lt;設定!$I$29,設定!$G$10,設定!$G$9)))</f>
        <v/>
      </c>
    </row>
    <row r="107" customFormat="false" ht="21" hidden="false" customHeight="true" outlineLevel="0" collapsed="false">
      <c r="A107" s="91" t="str">
        <f aca="false">IF(名簿!$D107="","",名簿!$B107&amp;"")</f>
        <v/>
      </c>
      <c r="B107" s="91" t="str">
        <f aca="false">IF(名簿!$D107="","",名簿!$C107)</f>
        <v/>
      </c>
      <c r="C107" s="59" t="str">
        <f aca="false">IF(名簿!$D107="","",名簿!$D107&amp;IF(名簿!$F107="転出","（転出）",""))</f>
        <v/>
      </c>
      <c r="D107" s="149"/>
      <c r="E107" s="61" t="str">
        <f aca="false">IF(OR($C107="",名簿!$F107="転出"),"",IF($C$2="学級ごと",$A107,$D107&amp;""))</f>
        <v/>
      </c>
      <c r="F107" s="150"/>
      <c r="G107" s="150"/>
      <c r="H107" s="150"/>
      <c r="I107" s="151"/>
      <c r="J107" s="41" t="str">
        <f aca="false">IF($E107="","",$E107&amp;"|"&amp;COUNTIF($E$5:$E107,$E107))</f>
        <v/>
      </c>
      <c r="K107" s="40" t="str">
        <f aca="false">IF($I107="","",LEN($I107))</f>
        <v/>
      </c>
      <c r="L107" s="13"/>
      <c r="M107" s="13"/>
      <c r="N107" s="13"/>
      <c r="O107" s="13"/>
      <c r="P107" s="152"/>
      <c r="Q107" s="149"/>
      <c r="R107" s="152"/>
      <c r="S107" s="152"/>
      <c r="T107" s="62" t="str">
        <f aca="false">IF(OR($C107="",R107=""),"",IF(R107/IF($R$2="",100,$R$2)&gt;=設定!$I$28,設定!$G$8,IF(R107/IF($R$2="",100,$R$2)&lt;設定!$I$29,設定!$G$10,設定!$G$9)))</f>
        <v/>
      </c>
      <c r="U107" s="62" t="str">
        <f aca="false">IF(OR($C107="",S107=""),"",IF(S107/IF($S$2="",100,$S$2)&gt;=設定!$I$28,設定!$G$8,IF(S107/IF($S$2="",100,$S$2)&lt;設定!$I$29,設定!$G$10,設定!$G$9)))</f>
        <v/>
      </c>
    </row>
    <row r="108" customFormat="false" ht="21" hidden="false" customHeight="true" outlineLevel="0" collapsed="false">
      <c r="A108" s="91" t="str">
        <f aca="false">IF(名簿!$D108="","",名簿!$B108&amp;"")</f>
        <v/>
      </c>
      <c r="B108" s="91" t="str">
        <f aca="false">IF(名簿!$D108="","",名簿!$C108)</f>
        <v/>
      </c>
      <c r="C108" s="59" t="str">
        <f aca="false">IF(名簿!$D108="","",名簿!$D108&amp;IF(名簿!$F108="転出","（転出）",""))</f>
        <v/>
      </c>
      <c r="D108" s="149"/>
      <c r="E108" s="61" t="str">
        <f aca="false">IF(OR($C108="",名簿!$F108="転出"),"",IF($C$2="学級ごと",$A108,$D108&amp;""))</f>
        <v/>
      </c>
      <c r="F108" s="150"/>
      <c r="G108" s="150"/>
      <c r="H108" s="150"/>
      <c r="I108" s="151"/>
      <c r="J108" s="41" t="str">
        <f aca="false">IF($E108="","",$E108&amp;"|"&amp;COUNTIF($E$5:$E108,$E108))</f>
        <v/>
      </c>
      <c r="K108" s="40" t="str">
        <f aca="false">IF($I108="","",LEN($I108))</f>
        <v/>
      </c>
      <c r="L108" s="13"/>
      <c r="M108" s="13"/>
      <c r="N108" s="13"/>
      <c r="O108" s="13"/>
      <c r="P108" s="152"/>
      <c r="Q108" s="149"/>
      <c r="R108" s="152"/>
      <c r="S108" s="152"/>
      <c r="T108" s="62" t="str">
        <f aca="false">IF(OR($C108="",R108=""),"",IF(R108/IF($R$2="",100,$R$2)&gt;=設定!$I$28,設定!$G$8,IF(R108/IF($R$2="",100,$R$2)&lt;設定!$I$29,設定!$G$10,設定!$G$9)))</f>
        <v/>
      </c>
      <c r="U108" s="62" t="str">
        <f aca="false">IF(OR($C108="",S108=""),"",IF(S108/IF($S$2="",100,$S$2)&gt;=設定!$I$28,設定!$G$8,IF(S108/IF($S$2="",100,$S$2)&lt;設定!$I$29,設定!$G$10,設定!$G$9)))</f>
        <v/>
      </c>
    </row>
    <row r="109" customFormat="false" ht="21" hidden="false" customHeight="true" outlineLevel="0" collapsed="false">
      <c r="A109" s="91" t="str">
        <f aca="false">IF(名簿!$D109="","",名簿!$B109&amp;"")</f>
        <v/>
      </c>
      <c r="B109" s="91" t="str">
        <f aca="false">IF(名簿!$D109="","",名簿!$C109)</f>
        <v/>
      </c>
      <c r="C109" s="59" t="str">
        <f aca="false">IF(名簿!$D109="","",名簿!$D109&amp;IF(名簿!$F109="転出","（転出）",""))</f>
        <v/>
      </c>
      <c r="D109" s="149"/>
      <c r="E109" s="61" t="str">
        <f aca="false">IF(OR($C109="",名簿!$F109="転出"),"",IF($C$2="学級ごと",$A109,$D109&amp;""))</f>
        <v/>
      </c>
      <c r="F109" s="150"/>
      <c r="G109" s="150"/>
      <c r="H109" s="150"/>
      <c r="I109" s="151"/>
      <c r="J109" s="41" t="str">
        <f aca="false">IF($E109="","",$E109&amp;"|"&amp;COUNTIF($E$5:$E109,$E109))</f>
        <v/>
      </c>
      <c r="K109" s="40" t="str">
        <f aca="false">IF($I109="","",LEN($I109))</f>
        <v/>
      </c>
      <c r="L109" s="13"/>
      <c r="M109" s="13"/>
      <c r="N109" s="13"/>
      <c r="O109" s="13"/>
      <c r="P109" s="152"/>
      <c r="Q109" s="149"/>
      <c r="R109" s="152"/>
      <c r="S109" s="152"/>
      <c r="T109" s="62" t="str">
        <f aca="false">IF(OR($C109="",R109=""),"",IF(R109/IF($R$2="",100,$R$2)&gt;=設定!$I$28,設定!$G$8,IF(R109/IF($R$2="",100,$R$2)&lt;設定!$I$29,設定!$G$10,設定!$G$9)))</f>
        <v/>
      </c>
      <c r="U109" s="62" t="str">
        <f aca="false">IF(OR($C109="",S109=""),"",IF(S109/IF($S$2="",100,$S$2)&gt;=設定!$I$28,設定!$G$8,IF(S109/IF($S$2="",100,$S$2)&lt;設定!$I$29,設定!$G$10,設定!$G$9)))</f>
        <v/>
      </c>
    </row>
    <row r="110" customFormat="false" ht="21" hidden="false" customHeight="true" outlineLevel="0" collapsed="false">
      <c r="A110" s="91" t="str">
        <f aca="false">IF(名簿!$D110="","",名簿!$B110&amp;"")</f>
        <v/>
      </c>
      <c r="B110" s="91" t="str">
        <f aca="false">IF(名簿!$D110="","",名簿!$C110)</f>
        <v/>
      </c>
      <c r="C110" s="59" t="str">
        <f aca="false">IF(名簿!$D110="","",名簿!$D110&amp;IF(名簿!$F110="転出","（転出）",""))</f>
        <v/>
      </c>
      <c r="D110" s="149"/>
      <c r="E110" s="61" t="str">
        <f aca="false">IF(OR($C110="",名簿!$F110="転出"),"",IF($C$2="学級ごと",$A110,$D110&amp;""))</f>
        <v/>
      </c>
      <c r="F110" s="150"/>
      <c r="G110" s="150"/>
      <c r="H110" s="150"/>
      <c r="I110" s="151"/>
      <c r="J110" s="41" t="str">
        <f aca="false">IF($E110="","",$E110&amp;"|"&amp;COUNTIF($E$5:$E110,$E110))</f>
        <v/>
      </c>
      <c r="K110" s="40" t="str">
        <f aca="false">IF($I110="","",LEN($I110))</f>
        <v/>
      </c>
      <c r="L110" s="13"/>
      <c r="M110" s="13"/>
      <c r="N110" s="13"/>
      <c r="O110" s="13"/>
      <c r="P110" s="152"/>
      <c r="Q110" s="149"/>
      <c r="R110" s="152"/>
      <c r="S110" s="152"/>
      <c r="T110" s="62" t="str">
        <f aca="false">IF(OR($C110="",R110=""),"",IF(R110/IF($R$2="",100,$R$2)&gt;=設定!$I$28,設定!$G$8,IF(R110/IF($R$2="",100,$R$2)&lt;設定!$I$29,設定!$G$10,設定!$G$9)))</f>
        <v/>
      </c>
      <c r="U110" s="62" t="str">
        <f aca="false">IF(OR($C110="",S110=""),"",IF(S110/IF($S$2="",100,$S$2)&gt;=設定!$I$28,設定!$G$8,IF(S110/IF($S$2="",100,$S$2)&lt;設定!$I$29,設定!$G$10,設定!$G$9)))</f>
        <v/>
      </c>
    </row>
    <row r="111" customFormat="false" ht="21" hidden="false" customHeight="true" outlineLevel="0" collapsed="false">
      <c r="A111" s="91" t="str">
        <f aca="false">IF(名簿!$D111="","",名簿!$B111&amp;"")</f>
        <v/>
      </c>
      <c r="B111" s="91" t="str">
        <f aca="false">IF(名簿!$D111="","",名簿!$C111)</f>
        <v/>
      </c>
      <c r="C111" s="59" t="str">
        <f aca="false">IF(名簿!$D111="","",名簿!$D111&amp;IF(名簿!$F111="転出","（転出）",""))</f>
        <v/>
      </c>
      <c r="D111" s="149"/>
      <c r="E111" s="61" t="str">
        <f aca="false">IF(OR($C111="",名簿!$F111="転出"),"",IF($C$2="学級ごと",$A111,$D111&amp;""))</f>
        <v/>
      </c>
      <c r="F111" s="150"/>
      <c r="G111" s="150"/>
      <c r="H111" s="150"/>
      <c r="I111" s="151"/>
      <c r="J111" s="41" t="str">
        <f aca="false">IF($E111="","",$E111&amp;"|"&amp;COUNTIF($E$5:$E111,$E111))</f>
        <v/>
      </c>
      <c r="K111" s="40" t="str">
        <f aca="false">IF($I111="","",LEN($I111))</f>
        <v/>
      </c>
      <c r="L111" s="13"/>
      <c r="M111" s="13"/>
      <c r="N111" s="13"/>
      <c r="O111" s="13"/>
      <c r="P111" s="152"/>
      <c r="Q111" s="149"/>
      <c r="R111" s="152"/>
      <c r="S111" s="152"/>
      <c r="T111" s="62" t="str">
        <f aca="false">IF(OR($C111="",R111=""),"",IF(R111/IF($R$2="",100,$R$2)&gt;=設定!$I$28,設定!$G$8,IF(R111/IF($R$2="",100,$R$2)&lt;設定!$I$29,設定!$G$10,設定!$G$9)))</f>
        <v/>
      </c>
      <c r="U111" s="62" t="str">
        <f aca="false">IF(OR($C111="",S111=""),"",IF(S111/IF($S$2="",100,$S$2)&gt;=設定!$I$28,設定!$G$8,IF(S111/IF($S$2="",100,$S$2)&lt;設定!$I$29,設定!$G$10,設定!$G$9)))</f>
        <v/>
      </c>
    </row>
    <row r="112" customFormat="false" ht="21" hidden="false" customHeight="true" outlineLevel="0" collapsed="false">
      <c r="A112" s="91" t="str">
        <f aca="false">IF(名簿!$D112="","",名簿!$B112&amp;"")</f>
        <v/>
      </c>
      <c r="B112" s="91" t="str">
        <f aca="false">IF(名簿!$D112="","",名簿!$C112)</f>
        <v/>
      </c>
      <c r="C112" s="59" t="str">
        <f aca="false">IF(名簿!$D112="","",名簿!$D112&amp;IF(名簿!$F112="転出","（転出）",""))</f>
        <v/>
      </c>
      <c r="D112" s="149"/>
      <c r="E112" s="61" t="str">
        <f aca="false">IF(OR($C112="",名簿!$F112="転出"),"",IF($C$2="学級ごと",$A112,$D112&amp;""))</f>
        <v/>
      </c>
      <c r="F112" s="150"/>
      <c r="G112" s="150"/>
      <c r="H112" s="150"/>
      <c r="I112" s="151"/>
      <c r="J112" s="41" t="str">
        <f aca="false">IF($E112="","",$E112&amp;"|"&amp;COUNTIF($E$5:$E112,$E112))</f>
        <v/>
      </c>
      <c r="K112" s="40" t="str">
        <f aca="false">IF($I112="","",LEN($I112))</f>
        <v/>
      </c>
      <c r="L112" s="13"/>
      <c r="M112" s="13"/>
      <c r="N112" s="13"/>
      <c r="O112" s="13"/>
      <c r="P112" s="152"/>
      <c r="Q112" s="149"/>
      <c r="R112" s="152"/>
      <c r="S112" s="152"/>
      <c r="T112" s="62" t="str">
        <f aca="false">IF(OR($C112="",R112=""),"",IF(R112/IF($R$2="",100,$R$2)&gt;=設定!$I$28,設定!$G$8,IF(R112/IF($R$2="",100,$R$2)&lt;設定!$I$29,設定!$G$10,設定!$G$9)))</f>
        <v/>
      </c>
      <c r="U112" s="62" t="str">
        <f aca="false">IF(OR($C112="",S112=""),"",IF(S112/IF($S$2="",100,$S$2)&gt;=設定!$I$28,設定!$G$8,IF(S112/IF($S$2="",100,$S$2)&lt;設定!$I$29,設定!$G$10,設定!$G$9)))</f>
        <v/>
      </c>
    </row>
    <row r="113" customFormat="false" ht="21" hidden="false" customHeight="true" outlineLevel="0" collapsed="false">
      <c r="A113" s="91" t="str">
        <f aca="false">IF(名簿!$D113="","",名簿!$B113&amp;"")</f>
        <v/>
      </c>
      <c r="B113" s="91" t="str">
        <f aca="false">IF(名簿!$D113="","",名簿!$C113)</f>
        <v/>
      </c>
      <c r="C113" s="59" t="str">
        <f aca="false">IF(名簿!$D113="","",名簿!$D113&amp;IF(名簿!$F113="転出","（転出）",""))</f>
        <v/>
      </c>
      <c r="D113" s="149"/>
      <c r="E113" s="61" t="str">
        <f aca="false">IF(OR($C113="",名簿!$F113="転出"),"",IF($C$2="学級ごと",$A113,$D113&amp;""))</f>
        <v/>
      </c>
      <c r="F113" s="150"/>
      <c r="G113" s="150"/>
      <c r="H113" s="150"/>
      <c r="I113" s="151"/>
      <c r="J113" s="41" t="str">
        <f aca="false">IF($E113="","",$E113&amp;"|"&amp;COUNTIF($E$5:$E113,$E113))</f>
        <v/>
      </c>
      <c r="K113" s="40" t="str">
        <f aca="false">IF($I113="","",LEN($I113))</f>
        <v/>
      </c>
      <c r="L113" s="13"/>
      <c r="M113" s="13"/>
      <c r="N113" s="13"/>
      <c r="O113" s="13"/>
      <c r="P113" s="152"/>
      <c r="Q113" s="149"/>
      <c r="R113" s="152"/>
      <c r="S113" s="152"/>
      <c r="T113" s="62" t="str">
        <f aca="false">IF(OR($C113="",R113=""),"",IF(R113/IF($R$2="",100,$R$2)&gt;=設定!$I$28,設定!$G$8,IF(R113/IF($R$2="",100,$R$2)&lt;設定!$I$29,設定!$G$10,設定!$G$9)))</f>
        <v/>
      </c>
      <c r="U113" s="62" t="str">
        <f aca="false">IF(OR($C113="",S113=""),"",IF(S113/IF($S$2="",100,$S$2)&gt;=設定!$I$28,設定!$G$8,IF(S113/IF($S$2="",100,$S$2)&lt;設定!$I$29,設定!$G$10,設定!$G$9)))</f>
        <v/>
      </c>
    </row>
    <row r="114" customFormat="false" ht="21" hidden="false" customHeight="true" outlineLevel="0" collapsed="false">
      <c r="A114" s="91" t="str">
        <f aca="false">IF(名簿!$D114="","",名簿!$B114&amp;"")</f>
        <v/>
      </c>
      <c r="B114" s="91" t="str">
        <f aca="false">IF(名簿!$D114="","",名簿!$C114)</f>
        <v/>
      </c>
      <c r="C114" s="59" t="str">
        <f aca="false">IF(名簿!$D114="","",名簿!$D114&amp;IF(名簿!$F114="転出","（転出）",""))</f>
        <v/>
      </c>
      <c r="D114" s="149"/>
      <c r="E114" s="61" t="str">
        <f aca="false">IF(OR($C114="",名簿!$F114="転出"),"",IF($C$2="学級ごと",$A114,$D114&amp;""))</f>
        <v/>
      </c>
      <c r="F114" s="150"/>
      <c r="G114" s="150"/>
      <c r="H114" s="150"/>
      <c r="I114" s="151"/>
      <c r="J114" s="41" t="str">
        <f aca="false">IF($E114="","",$E114&amp;"|"&amp;COUNTIF($E$5:$E114,$E114))</f>
        <v/>
      </c>
      <c r="K114" s="40" t="str">
        <f aca="false">IF($I114="","",LEN($I114))</f>
        <v/>
      </c>
      <c r="L114" s="13"/>
      <c r="M114" s="13"/>
      <c r="N114" s="13"/>
      <c r="O114" s="13"/>
      <c r="P114" s="152"/>
      <c r="Q114" s="149"/>
      <c r="R114" s="152"/>
      <c r="S114" s="152"/>
      <c r="T114" s="62" t="str">
        <f aca="false">IF(OR($C114="",R114=""),"",IF(R114/IF($R$2="",100,$R$2)&gt;=設定!$I$28,設定!$G$8,IF(R114/IF($R$2="",100,$R$2)&lt;設定!$I$29,設定!$G$10,設定!$G$9)))</f>
        <v/>
      </c>
      <c r="U114" s="62" t="str">
        <f aca="false">IF(OR($C114="",S114=""),"",IF(S114/IF($S$2="",100,$S$2)&gt;=設定!$I$28,設定!$G$8,IF(S114/IF($S$2="",100,$S$2)&lt;設定!$I$29,設定!$G$10,設定!$G$9)))</f>
        <v/>
      </c>
    </row>
    <row r="115" customFormat="false" ht="21" hidden="false" customHeight="true" outlineLevel="0" collapsed="false">
      <c r="A115" s="91" t="str">
        <f aca="false">IF(名簿!$D115="","",名簿!$B115&amp;"")</f>
        <v/>
      </c>
      <c r="B115" s="91" t="str">
        <f aca="false">IF(名簿!$D115="","",名簿!$C115)</f>
        <v/>
      </c>
      <c r="C115" s="59" t="str">
        <f aca="false">IF(名簿!$D115="","",名簿!$D115&amp;IF(名簿!$F115="転出","（転出）",""))</f>
        <v/>
      </c>
      <c r="D115" s="149"/>
      <c r="E115" s="61" t="str">
        <f aca="false">IF(OR($C115="",名簿!$F115="転出"),"",IF($C$2="学級ごと",$A115,$D115&amp;""))</f>
        <v/>
      </c>
      <c r="F115" s="150"/>
      <c r="G115" s="150"/>
      <c r="H115" s="150"/>
      <c r="I115" s="151"/>
      <c r="J115" s="41" t="str">
        <f aca="false">IF($E115="","",$E115&amp;"|"&amp;COUNTIF($E$5:$E115,$E115))</f>
        <v/>
      </c>
      <c r="K115" s="40" t="str">
        <f aca="false">IF($I115="","",LEN($I115))</f>
        <v/>
      </c>
      <c r="L115" s="13"/>
      <c r="M115" s="13"/>
      <c r="N115" s="13"/>
      <c r="O115" s="13"/>
      <c r="P115" s="152"/>
      <c r="Q115" s="149"/>
      <c r="R115" s="152"/>
      <c r="S115" s="152"/>
      <c r="T115" s="62" t="str">
        <f aca="false">IF(OR($C115="",R115=""),"",IF(R115/IF($R$2="",100,$R$2)&gt;=設定!$I$28,設定!$G$8,IF(R115/IF($R$2="",100,$R$2)&lt;設定!$I$29,設定!$G$10,設定!$G$9)))</f>
        <v/>
      </c>
      <c r="U115" s="62" t="str">
        <f aca="false">IF(OR($C115="",S115=""),"",IF(S115/IF($S$2="",100,$S$2)&gt;=設定!$I$28,設定!$G$8,IF(S115/IF($S$2="",100,$S$2)&lt;設定!$I$29,設定!$G$10,設定!$G$9)))</f>
        <v/>
      </c>
    </row>
    <row r="116" customFormat="false" ht="21" hidden="false" customHeight="true" outlineLevel="0" collapsed="false">
      <c r="A116" s="91" t="str">
        <f aca="false">IF(名簿!$D116="","",名簿!$B116&amp;"")</f>
        <v/>
      </c>
      <c r="B116" s="91" t="str">
        <f aca="false">IF(名簿!$D116="","",名簿!$C116)</f>
        <v/>
      </c>
      <c r="C116" s="59" t="str">
        <f aca="false">IF(名簿!$D116="","",名簿!$D116&amp;IF(名簿!$F116="転出","（転出）",""))</f>
        <v/>
      </c>
      <c r="D116" s="149"/>
      <c r="E116" s="61" t="str">
        <f aca="false">IF(OR($C116="",名簿!$F116="転出"),"",IF($C$2="学級ごと",$A116,$D116&amp;""))</f>
        <v/>
      </c>
      <c r="F116" s="150"/>
      <c r="G116" s="150"/>
      <c r="H116" s="150"/>
      <c r="I116" s="151"/>
      <c r="J116" s="41" t="str">
        <f aca="false">IF($E116="","",$E116&amp;"|"&amp;COUNTIF($E$5:$E116,$E116))</f>
        <v/>
      </c>
      <c r="K116" s="40" t="str">
        <f aca="false">IF($I116="","",LEN($I116))</f>
        <v/>
      </c>
      <c r="L116" s="13"/>
      <c r="M116" s="13"/>
      <c r="N116" s="13"/>
      <c r="O116" s="13"/>
      <c r="P116" s="152"/>
      <c r="Q116" s="149"/>
      <c r="R116" s="152"/>
      <c r="S116" s="152"/>
      <c r="T116" s="62" t="str">
        <f aca="false">IF(OR($C116="",R116=""),"",IF(R116/IF($R$2="",100,$R$2)&gt;=設定!$I$28,設定!$G$8,IF(R116/IF($R$2="",100,$R$2)&lt;設定!$I$29,設定!$G$10,設定!$G$9)))</f>
        <v/>
      </c>
      <c r="U116" s="62" t="str">
        <f aca="false">IF(OR($C116="",S116=""),"",IF(S116/IF($S$2="",100,$S$2)&gt;=設定!$I$28,設定!$G$8,IF(S116/IF($S$2="",100,$S$2)&lt;設定!$I$29,設定!$G$10,設定!$G$9)))</f>
        <v/>
      </c>
    </row>
    <row r="117" customFormat="false" ht="21" hidden="false" customHeight="true" outlineLevel="0" collapsed="false">
      <c r="A117" s="91" t="str">
        <f aca="false">IF(名簿!$D117="","",名簿!$B117&amp;"")</f>
        <v/>
      </c>
      <c r="B117" s="91" t="str">
        <f aca="false">IF(名簿!$D117="","",名簿!$C117)</f>
        <v/>
      </c>
      <c r="C117" s="59" t="str">
        <f aca="false">IF(名簿!$D117="","",名簿!$D117&amp;IF(名簿!$F117="転出","（転出）",""))</f>
        <v/>
      </c>
      <c r="D117" s="149"/>
      <c r="E117" s="61" t="str">
        <f aca="false">IF(OR($C117="",名簿!$F117="転出"),"",IF($C$2="学級ごと",$A117,$D117&amp;""))</f>
        <v/>
      </c>
      <c r="F117" s="150"/>
      <c r="G117" s="150"/>
      <c r="H117" s="150"/>
      <c r="I117" s="151"/>
      <c r="J117" s="41" t="str">
        <f aca="false">IF($E117="","",$E117&amp;"|"&amp;COUNTIF($E$5:$E117,$E117))</f>
        <v/>
      </c>
      <c r="K117" s="40" t="str">
        <f aca="false">IF($I117="","",LEN($I117))</f>
        <v/>
      </c>
      <c r="L117" s="13"/>
      <c r="M117" s="13"/>
      <c r="N117" s="13"/>
      <c r="O117" s="13"/>
      <c r="P117" s="152"/>
      <c r="Q117" s="149"/>
      <c r="R117" s="152"/>
      <c r="S117" s="152"/>
      <c r="T117" s="62" t="str">
        <f aca="false">IF(OR($C117="",R117=""),"",IF(R117/IF($R$2="",100,$R$2)&gt;=設定!$I$28,設定!$G$8,IF(R117/IF($R$2="",100,$R$2)&lt;設定!$I$29,設定!$G$10,設定!$G$9)))</f>
        <v/>
      </c>
      <c r="U117" s="62" t="str">
        <f aca="false">IF(OR($C117="",S117=""),"",IF(S117/IF($S$2="",100,$S$2)&gt;=設定!$I$28,設定!$G$8,IF(S117/IF($S$2="",100,$S$2)&lt;設定!$I$29,設定!$G$10,設定!$G$9)))</f>
        <v/>
      </c>
    </row>
    <row r="118" customFormat="false" ht="21" hidden="false" customHeight="true" outlineLevel="0" collapsed="false">
      <c r="A118" s="91" t="str">
        <f aca="false">IF(名簿!$D118="","",名簿!$B118&amp;"")</f>
        <v/>
      </c>
      <c r="B118" s="91" t="str">
        <f aca="false">IF(名簿!$D118="","",名簿!$C118)</f>
        <v/>
      </c>
      <c r="C118" s="59" t="str">
        <f aca="false">IF(名簿!$D118="","",名簿!$D118&amp;IF(名簿!$F118="転出","（転出）",""))</f>
        <v/>
      </c>
      <c r="D118" s="149"/>
      <c r="E118" s="61" t="str">
        <f aca="false">IF(OR($C118="",名簿!$F118="転出"),"",IF($C$2="学級ごと",$A118,$D118&amp;""))</f>
        <v/>
      </c>
      <c r="F118" s="150"/>
      <c r="G118" s="150"/>
      <c r="H118" s="150"/>
      <c r="I118" s="151"/>
      <c r="J118" s="41" t="str">
        <f aca="false">IF($E118="","",$E118&amp;"|"&amp;COUNTIF($E$5:$E118,$E118))</f>
        <v/>
      </c>
      <c r="K118" s="40" t="str">
        <f aca="false">IF($I118="","",LEN($I118))</f>
        <v/>
      </c>
      <c r="L118" s="13"/>
      <c r="M118" s="13"/>
      <c r="N118" s="13"/>
      <c r="O118" s="13"/>
      <c r="P118" s="152"/>
      <c r="Q118" s="149"/>
      <c r="R118" s="152"/>
      <c r="S118" s="152"/>
      <c r="T118" s="62" t="str">
        <f aca="false">IF(OR($C118="",R118=""),"",IF(R118/IF($R$2="",100,$R$2)&gt;=設定!$I$28,設定!$G$8,IF(R118/IF($R$2="",100,$R$2)&lt;設定!$I$29,設定!$G$10,設定!$G$9)))</f>
        <v/>
      </c>
      <c r="U118" s="62" t="str">
        <f aca="false">IF(OR($C118="",S118=""),"",IF(S118/IF($S$2="",100,$S$2)&gt;=設定!$I$28,設定!$G$8,IF(S118/IF($S$2="",100,$S$2)&lt;設定!$I$29,設定!$G$10,設定!$G$9)))</f>
        <v/>
      </c>
    </row>
    <row r="119" customFormat="false" ht="21" hidden="false" customHeight="true" outlineLevel="0" collapsed="false">
      <c r="A119" s="91" t="str">
        <f aca="false">IF(名簿!$D119="","",名簿!$B119&amp;"")</f>
        <v/>
      </c>
      <c r="B119" s="91" t="str">
        <f aca="false">IF(名簿!$D119="","",名簿!$C119)</f>
        <v/>
      </c>
      <c r="C119" s="59" t="str">
        <f aca="false">IF(名簿!$D119="","",名簿!$D119&amp;IF(名簿!$F119="転出","（転出）",""))</f>
        <v/>
      </c>
      <c r="D119" s="149"/>
      <c r="E119" s="61" t="str">
        <f aca="false">IF(OR($C119="",名簿!$F119="転出"),"",IF($C$2="学級ごと",$A119,$D119&amp;""))</f>
        <v/>
      </c>
      <c r="F119" s="150"/>
      <c r="G119" s="150"/>
      <c r="H119" s="150"/>
      <c r="I119" s="151"/>
      <c r="J119" s="41" t="str">
        <f aca="false">IF($E119="","",$E119&amp;"|"&amp;COUNTIF($E$5:$E119,$E119))</f>
        <v/>
      </c>
      <c r="K119" s="40" t="str">
        <f aca="false">IF($I119="","",LEN($I119))</f>
        <v/>
      </c>
      <c r="L119" s="13"/>
      <c r="M119" s="13"/>
      <c r="N119" s="13"/>
      <c r="O119" s="13"/>
      <c r="P119" s="152"/>
      <c r="Q119" s="149"/>
      <c r="R119" s="152"/>
      <c r="S119" s="152"/>
      <c r="T119" s="62" t="str">
        <f aca="false">IF(OR($C119="",R119=""),"",IF(R119/IF($R$2="",100,$R$2)&gt;=設定!$I$28,設定!$G$8,IF(R119/IF($R$2="",100,$R$2)&lt;設定!$I$29,設定!$G$10,設定!$G$9)))</f>
        <v/>
      </c>
      <c r="U119" s="62" t="str">
        <f aca="false">IF(OR($C119="",S119=""),"",IF(S119/IF($S$2="",100,$S$2)&gt;=設定!$I$28,設定!$G$8,IF(S119/IF($S$2="",100,$S$2)&lt;設定!$I$29,設定!$G$10,設定!$G$9)))</f>
        <v/>
      </c>
    </row>
    <row r="120" customFormat="false" ht="21" hidden="false" customHeight="true" outlineLevel="0" collapsed="false">
      <c r="A120" s="91" t="str">
        <f aca="false">IF(名簿!$D120="","",名簿!$B120&amp;"")</f>
        <v/>
      </c>
      <c r="B120" s="91" t="str">
        <f aca="false">IF(名簿!$D120="","",名簿!$C120)</f>
        <v/>
      </c>
      <c r="C120" s="59" t="str">
        <f aca="false">IF(名簿!$D120="","",名簿!$D120&amp;IF(名簿!$F120="転出","（転出）",""))</f>
        <v/>
      </c>
      <c r="D120" s="149"/>
      <c r="E120" s="61" t="str">
        <f aca="false">IF(OR($C120="",名簿!$F120="転出"),"",IF($C$2="学級ごと",$A120,$D120&amp;""))</f>
        <v/>
      </c>
      <c r="F120" s="150"/>
      <c r="G120" s="150"/>
      <c r="H120" s="150"/>
      <c r="I120" s="151"/>
      <c r="J120" s="41" t="str">
        <f aca="false">IF($E120="","",$E120&amp;"|"&amp;COUNTIF($E$5:$E120,$E120))</f>
        <v/>
      </c>
      <c r="K120" s="40" t="str">
        <f aca="false">IF($I120="","",LEN($I120))</f>
        <v/>
      </c>
      <c r="L120" s="13"/>
      <c r="M120" s="13"/>
      <c r="N120" s="13"/>
      <c r="O120" s="13"/>
      <c r="P120" s="152"/>
      <c r="Q120" s="149"/>
      <c r="R120" s="152"/>
      <c r="S120" s="152"/>
      <c r="T120" s="62" t="str">
        <f aca="false">IF(OR($C120="",R120=""),"",IF(R120/IF($R$2="",100,$R$2)&gt;=設定!$I$28,設定!$G$8,IF(R120/IF($R$2="",100,$R$2)&lt;設定!$I$29,設定!$G$10,設定!$G$9)))</f>
        <v/>
      </c>
      <c r="U120" s="62" t="str">
        <f aca="false">IF(OR($C120="",S120=""),"",IF(S120/IF($S$2="",100,$S$2)&gt;=設定!$I$28,設定!$G$8,IF(S120/IF($S$2="",100,$S$2)&lt;設定!$I$29,設定!$G$10,設定!$G$9)))</f>
        <v/>
      </c>
    </row>
    <row r="121" customFormat="false" ht="21" hidden="false" customHeight="true" outlineLevel="0" collapsed="false">
      <c r="A121" s="91" t="str">
        <f aca="false">IF(名簿!$D121="","",名簿!$B121&amp;"")</f>
        <v/>
      </c>
      <c r="B121" s="91" t="str">
        <f aca="false">IF(名簿!$D121="","",名簿!$C121)</f>
        <v/>
      </c>
      <c r="C121" s="59" t="str">
        <f aca="false">IF(名簿!$D121="","",名簿!$D121&amp;IF(名簿!$F121="転出","（転出）",""))</f>
        <v/>
      </c>
      <c r="D121" s="149"/>
      <c r="E121" s="61" t="str">
        <f aca="false">IF(OR($C121="",名簿!$F121="転出"),"",IF($C$2="学級ごと",$A121,$D121&amp;""))</f>
        <v/>
      </c>
      <c r="F121" s="150"/>
      <c r="G121" s="150"/>
      <c r="H121" s="150"/>
      <c r="I121" s="151"/>
      <c r="J121" s="41" t="str">
        <f aca="false">IF($E121="","",$E121&amp;"|"&amp;COUNTIF($E$5:$E121,$E121))</f>
        <v/>
      </c>
      <c r="K121" s="40" t="str">
        <f aca="false">IF($I121="","",LEN($I121))</f>
        <v/>
      </c>
      <c r="L121" s="13"/>
      <c r="M121" s="13"/>
      <c r="N121" s="13"/>
      <c r="O121" s="13"/>
      <c r="P121" s="152"/>
      <c r="Q121" s="149"/>
      <c r="R121" s="152"/>
      <c r="S121" s="152"/>
      <c r="T121" s="62" t="str">
        <f aca="false">IF(OR($C121="",R121=""),"",IF(R121/IF($R$2="",100,$R$2)&gt;=設定!$I$28,設定!$G$8,IF(R121/IF($R$2="",100,$R$2)&lt;設定!$I$29,設定!$G$10,設定!$G$9)))</f>
        <v/>
      </c>
      <c r="U121" s="62" t="str">
        <f aca="false">IF(OR($C121="",S121=""),"",IF(S121/IF($S$2="",100,$S$2)&gt;=設定!$I$28,設定!$G$8,IF(S121/IF($S$2="",100,$S$2)&lt;設定!$I$29,設定!$G$10,設定!$G$9)))</f>
        <v/>
      </c>
    </row>
    <row r="122" customFormat="false" ht="21" hidden="false" customHeight="true" outlineLevel="0" collapsed="false">
      <c r="A122" s="91" t="str">
        <f aca="false">IF(名簿!$D122="","",名簿!$B122&amp;"")</f>
        <v/>
      </c>
      <c r="B122" s="91" t="str">
        <f aca="false">IF(名簿!$D122="","",名簿!$C122)</f>
        <v/>
      </c>
      <c r="C122" s="59" t="str">
        <f aca="false">IF(名簿!$D122="","",名簿!$D122&amp;IF(名簿!$F122="転出","（転出）",""))</f>
        <v/>
      </c>
      <c r="D122" s="149"/>
      <c r="E122" s="61" t="str">
        <f aca="false">IF(OR($C122="",名簿!$F122="転出"),"",IF($C$2="学級ごと",$A122,$D122&amp;""))</f>
        <v/>
      </c>
      <c r="F122" s="150"/>
      <c r="G122" s="150"/>
      <c r="H122" s="150"/>
      <c r="I122" s="151"/>
      <c r="J122" s="41" t="str">
        <f aca="false">IF($E122="","",$E122&amp;"|"&amp;COUNTIF($E$5:$E122,$E122))</f>
        <v/>
      </c>
      <c r="K122" s="40" t="str">
        <f aca="false">IF($I122="","",LEN($I122))</f>
        <v/>
      </c>
      <c r="L122" s="13"/>
      <c r="M122" s="13"/>
      <c r="N122" s="13"/>
      <c r="O122" s="13"/>
      <c r="P122" s="152"/>
      <c r="Q122" s="149"/>
      <c r="R122" s="152"/>
      <c r="S122" s="152"/>
      <c r="T122" s="62" t="str">
        <f aca="false">IF(OR($C122="",R122=""),"",IF(R122/IF($R$2="",100,$R$2)&gt;=設定!$I$28,設定!$G$8,IF(R122/IF($R$2="",100,$R$2)&lt;設定!$I$29,設定!$G$10,設定!$G$9)))</f>
        <v/>
      </c>
      <c r="U122" s="62" t="str">
        <f aca="false">IF(OR($C122="",S122=""),"",IF(S122/IF($S$2="",100,$S$2)&gt;=設定!$I$28,設定!$G$8,IF(S122/IF($S$2="",100,$S$2)&lt;設定!$I$29,設定!$G$10,設定!$G$9)))</f>
        <v/>
      </c>
    </row>
    <row r="123" customFormat="false" ht="21" hidden="false" customHeight="true" outlineLevel="0" collapsed="false">
      <c r="A123" s="91" t="str">
        <f aca="false">IF(名簿!$D123="","",名簿!$B123&amp;"")</f>
        <v/>
      </c>
      <c r="B123" s="91" t="str">
        <f aca="false">IF(名簿!$D123="","",名簿!$C123)</f>
        <v/>
      </c>
      <c r="C123" s="59" t="str">
        <f aca="false">IF(名簿!$D123="","",名簿!$D123&amp;IF(名簿!$F123="転出","（転出）",""))</f>
        <v/>
      </c>
      <c r="D123" s="149"/>
      <c r="E123" s="61" t="str">
        <f aca="false">IF(OR($C123="",名簿!$F123="転出"),"",IF($C$2="学級ごと",$A123,$D123&amp;""))</f>
        <v/>
      </c>
      <c r="F123" s="150"/>
      <c r="G123" s="150"/>
      <c r="H123" s="150"/>
      <c r="I123" s="151"/>
      <c r="J123" s="41" t="str">
        <f aca="false">IF($E123="","",$E123&amp;"|"&amp;COUNTIF($E$5:$E123,$E123))</f>
        <v/>
      </c>
      <c r="K123" s="40" t="str">
        <f aca="false">IF($I123="","",LEN($I123))</f>
        <v/>
      </c>
      <c r="L123" s="13"/>
      <c r="M123" s="13"/>
      <c r="N123" s="13"/>
      <c r="O123" s="13"/>
      <c r="P123" s="152"/>
      <c r="Q123" s="149"/>
      <c r="R123" s="152"/>
      <c r="S123" s="152"/>
      <c r="T123" s="62" t="str">
        <f aca="false">IF(OR($C123="",R123=""),"",IF(R123/IF($R$2="",100,$R$2)&gt;=設定!$I$28,設定!$G$8,IF(R123/IF($R$2="",100,$R$2)&lt;設定!$I$29,設定!$G$10,設定!$G$9)))</f>
        <v/>
      </c>
      <c r="U123" s="62" t="str">
        <f aca="false">IF(OR($C123="",S123=""),"",IF(S123/IF($S$2="",100,$S$2)&gt;=設定!$I$28,設定!$G$8,IF(S123/IF($S$2="",100,$S$2)&lt;設定!$I$29,設定!$G$10,設定!$G$9)))</f>
        <v/>
      </c>
    </row>
    <row r="124" customFormat="false" ht="21" hidden="false" customHeight="true" outlineLevel="0" collapsed="false">
      <c r="A124" s="91" t="str">
        <f aca="false">IF(名簿!$D124="","",名簿!$B124&amp;"")</f>
        <v/>
      </c>
      <c r="B124" s="91" t="str">
        <f aca="false">IF(名簿!$D124="","",名簿!$C124)</f>
        <v/>
      </c>
      <c r="C124" s="59" t="str">
        <f aca="false">IF(名簿!$D124="","",名簿!$D124&amp;IF(名簿!$F124="転出","（転出）",""))</f>
        <v/>
      </c>
      <c r="D124" s="149"/>
      <c r="E124" s="61" t="str">
        <f aca="false">IF(OR($C124="",名簿!$F124="転出"),"",IF($C$2="学級ごと",$A124,$D124&amp;""))</f>
        <v/>
      </c>
      <c r="F124" s="150"/>
      <c r="G124" s="150"/>
      <c r="H124" s="150"/>
      <c r="I124" s="151"/>
      <c r="J124" s="41" t="str">
        <f aca="false">IF($E124="","",$E124&amp;"|"&amp;COUNTIF($E$5:$E124,$E124))</f>
        <v/>
      </c>
      <c r="K124" s="40" t="str">
        <f aca="false">IF($I124="","",LEN($I124))</f>
        <v/>
      </c>
      <c r="L124" s="13"/>
      <c r="M124" s="13"/>
      <c r="N124" s="13"/>
      <c r="O124" s="13"/>
      <c r="P124" s="152"/>
      <c r="Q124" s="149"/>
      <c r="R124" s="152"/>
      <c r="S124" s="152"/>
      <c r="T124" s="62" t="str">
        <f aca="false">IF(OR($C124="",R124=""),"",IF(R124/IF($R$2="",100,$R$2)&gt;=設定!$I$28,設定!$G$8,IF(R124/IF($R$2="",100,$R$2)&lt;設定!$I$29,設定!$G$10,設定!$G$9)))</f>
        <v/>
      </c>
      <c r="U124" s="62" t="str">
        <f aca="false">IF(OR($C124="",S124=""),"",IF(S124/IF($S$2="",100,$S$2)&gt;=設定!$I$28,設定!$G$8,IF(S124/IF($S$2="",100,$S$2)&lt;設定!$I$29,設定!$G$10,設定!$G$9)))</f>
        <v/>
      </c>
    </row>
    <row r="125" customFormat="false" ht="21" hidden="false" customHeight="true" outlineLevel="0" collapsed="false">
      <c r="A125" s="91" t="str">
        <f aca="false">IF(名簿!$D125="","",名簿!$B125&amp;"")</f>
        <v/>
      </c>
      <c r="B125" s="91" t="str">
        <f aca="false">IF(名簿!$D125="","",名簿!$C125)</f>
        <v/>
      </c>
      <c r="C125" s="59" t="str">
        <f aca="false">IF(名簿!$D125="","",名簿!$D125&amp;IF(名簿!$F125="転出","（転出）",""))</f>
        <v/>
      </c>
      <c r="D125" s="149"/>
      <c r="E125" s="61" t="str">
        <f aca="false">IF(OR($C125="",名簿!$F125="転出"),"",IF($C$2="学級ごと",$A125,$D125&amp;""))</f>
        <v/>
      </c>
      <c r="F125" s="150"/>
      <c r="G125" s="150"/>
      <c r="H125" s="150"/>
      <c r="I125" s="151"/>
      <c r="J125" s="41" t="str">
        <f aca="false">IF($E125="","",$E125&amp;"|"&amp;COUNTIF($E$5:$E125,$E125))</f>
        <v/>
      </c>
      <c r="K125" s="40" t="str">
        <f aca="false">IF($I125="","",LEN($I125))</f>
        <v/>
      </c>
      <c r="L125" s="13"/>
      <c r="M125" s="13"/>
      <c r="N125" s="13"/>
      <c r="O125" s="13"/>
      <c r="P125" s="152"/>
      <c r="Q125" s="149"/>
      <c r="R125" s="152"/>
      <c r="S125" s="152"/>
      <c r="T125" s="62" t="str">
        <f aca="false">IF(OR($C125="",R125=""),"",IF(R125/IF($R$2="",100,$R$2)&gt;=設定!$I$28,設定!$G$8,IF(R125/IF($R$2="",100,$R$2)&lt;設定!$I$29,設定!$G$10,設定!$G$9)))</f>
        <v/>
      </c>
      <c r="U125" s="62" t="str">
        <f aca="false">IF(OR($C125="",S125=""),"",IF(S125/IF($S$2="",100,$S$2)&gt;=設定!$I$28,設定!$G$8,IF(S125/IF($S$2="",100,$S$2)&lt;設定!$I$29,設定!$G$10,設定!$G$9)))</f>
        <v/>
      </c>
    </row>
    <row r="126" customFormat="false" ht="21" hidden="false" customHeight="true" outlineLevel="0" collapsed="false">
      <c r="A126" s="91" t="str">
        <f aca="false">IF(名簿!$D126="","",名簿!$B126&amp;"")</f>
        <v/>
      </c>
      <c r="B126" s="91" t="str">
        <f aca="false">IF(名簿!$D126="","",名簿!$C126)</f>
        <v/>
      </c>
      <c r="C126" s="59" t="str">
        <f aca="false">IF(名簿!$D126="","",名簿!$D126&amp;IF(名簿!$F126="転出","（転出）",""))</f>
        <v/>
      </c>
      <c r="D126" s="149"/>
      <c r="E126" s="61" t="str">
        <f aca="false">IF(OR($C126="",名簿!$F126="転出"),"",IF($C$2="学級ごと",$A126,$D126&amp;""))</f>
        <v/>
      </c>
      <c r="F126" s="150"/>
      <c r="G126" s="150"/>
      <c r="H126" s="150"/>
      <c r="I126" s="151"/>
      <c r="J126" s="41" t="str">
        <f aca="false">IF($E126="","",$E126&amp;"|"&amp;COUNTIF($E$5:$E126,$E126))</f>
        <v/>
      </c>
      <c r="K126" s="40" t="str">
        <f aca="false">IF($I126="","",LEN($I126))</f>
        <v/>
      </c>
      <c r="L126" s="13"/>
      <c r="M126" s="13"/>
      <c r="N126" s="13"/>
      <c r="O126" s="13"/>
      <c r="P126" s="152"/>
      <c r="Q126" s="149"/>
      <c r="R126" s="152"/>
      <c r="S126" s="152"/>
      <c r="T126" s="62" t="str">
        <f aca="false">IF(OR($C126="",R126=""),"",IF(R126/IF($R$2="",100,$R$2)&gt;=設定!$I$28,設定!$G$8,IF(R126/IF($R$2="",100,$R$2)&lt;設定!$I$29,設定!$G$10,設定!$G$9)))</f>
        <v/>
      </c>
      <c r="U126" s="62" t="str">
        <f aca="false">IF(OR($C126="",S126=""),"",IF(S126/IF($S$2="",100,$S$2)&gt;=設定!$I$28,設定!$G$8,IF(S126/IF($S$2="",100,$S$2)&lt;設定!$I$29,設定!$G$10,設定!$G$9)))</f>
        <v/>
      </c>
    </row>
    <row r="127" customFormat="false" ht="21" hidden="false" customHeight="true" outlineLevel="0" collapsed="false">
      <c r="A127" s="91" t="str">
        <f aca="false">IF(名簿!$D127="","",名簿!$B127&amp;"")</f>
        <v/>
      </c>
      <c r="B127" s="91" t="str">
        <f aca="false">IF(名簿!$D127="","",名簿!$C127)</f>
        <v/>
      </c>
      <c r="C127" s="59" t="str">
        <f aca="false">IF(名簿!$D127="","",名簿!$D127&amp;IF(名簿!$F127="転出","（転出）",""))</f>
        <v/>
      </c>
      <c r="D127" s="149"/>
      <c r="E127" s="61" t="str">
        <f aca="false">IF(OR($C127="",名簿!$F127="転出"),"",IF($C$2="学級ごと",$A127,$D127&amp;""))</f>
        <v/>
      </c>
      <c r="F127" s="150"/>
      <c r="G127" s="150"/>
      <c r="H127" s="150"/>
      <c r="I127" s="151"/>
      <c r="J127" s="41" t="str">
        <f aca="false">IF($E127="","",$E127&amp;"|"&amp;COUNTIF($E$5:$E127,$E127))</f>
        <v/>
      </c>
      <c r="K127" s="40" t="str">
        <f aca="false">IF($I127="","",LEN($I127))</f>
        <v/>
      </c>
      <c r="L127" s="13"/>
      <c r="M127" s="13"/>
      <c r="N127" s="13"/>
      <c r="O127" s="13"/>
      <c r="P127" s="152"/>
      <c r="Q127" s="149"/>
      <c r="R127" s="152"/>
      <c r="S127" s="152"/>
      <c r="T127" s="62" t="str">
        <f aca="false">IF(OR($C127="",R127=""),"",IF(R127/IF($R$2="",100,$R$2)&gt;=設定!$I$28,設定!$G$8,IF(R127/IF($R$2="",100,$R$2)&lt;設定!$I$29,設定!$G$10,設定!$G$9)))</f>
        <v/>
      </c>
      <c r="U127" s="62" t="str">
        <f aca="false">IF(OR($C127="",S127=""),"",IF(S127/IF($S$2="",100,$S$2)&gt;=設定!$I$28,設定!$G$8,IF(S127/IF($S$2="",100,$S$2)&lt;設定!$I$29,設定!$G$10,設定!$G$9)))</f>
        <v/>
      </c>
    </row>
    <row r="128" customFormat="false" ht="21" hidden="false" customHeight="true" outlineLevel="0" collapsed="false">
      <c r="A128" s="91" t="str">
        <f aca="false">IF(名簿!$D128="","",名簿!$B128&amp;"")</f>
        <v/>
      </c>
      <c r="B128" s="91" t="str">
        <f aca="false">IF(名簿!$D128="","",名簿!$C128)</f>
        <v/>
      </c>
      <c r="C128" s="59" t="str">
        <f aca="false">IF(名簿!$D128="","",名簿!$D128&amp;IF(名簿!$F128="転出","（転出）",""))</f>
        <v/>
      </c>
      <c r="D128" s="149"/>
      <c r="E128" s="61" t="str">
        <f aca="false">IF(OR($C128="",名簿!$F128="転出"),"",IF($C$2="学級ごと",$A128,$D128&amp;""))</f>
        <v/>
      </c>
      <c r="F128" s="150"/>
      <c r="G128" s="150"/>
      <c r="H128" s="150"/>
      <c r="I128" s="151"/>
      <c r="J128" s="41" t="str">
        <f aca="false">IF($E128="","",$E128&amp;"|"&amp;COUNTIF($E$5:$E128,$E128))</f>
        <v/>
      </c>
      <c r="K128" s="40" t="str">
        <f aca="false">IF($I128="","",LEN($I128))</f>
        <v/>
      </c>
      <c r="L128" s="13"/>
      <c r="M128" s="13"/>
      <c r="N128" s="13"/>
      <c r="O128" s="13"/>
      <c r="P128" s="152"/>
      <c r="Q128" s="149"/>
      <c r="R128" s="152"/>
      <c r="S128" s="152"/>
      <c r="T128" s="62" t="str">
        <f aca="false">IF(OR($C128="",R128=""),"",IF(R128/IF($R$2="",100,$R$2)&gt;=設定!$I$28,設定!$G$8,IF(R128/IF($R$2="",100,$R$2)&lt;設定!$I$29,設定!$G$10,設定!$G$9)))</f>
        <v/>
      </c>
      <c r="U128" s="62" t="str">
        <f aca="false">IF(OR($C128="",S128=""),"",IF(S128/IF($S$2="",100,$S$2)&gt;=設定!$I$28,設定!$G$8,IF(S128/IF($S$2="",100,$S$2)&lt;設定!$I$29,設定!$G$10,設定!$G$9)))</f>
        <v/>
      </c>
    </row>
    <row r="129" customFormat="false" ht="21" hidden="false" customHeight="true" outlineLevel="0" collapsed="false">
      <c r="A129" s="91" t="str">
        <f aca="false">IF(名簿!$D129="","",名簿!$B129&amp;"")</f>
        <v/>
      </c>
      <c r="B129" s="91" t="str">
        <f aca="false">IF(名簿!$D129="","",名簿!$C129)</f>
        <v/>
      </c>
      <c r="C129" s="59" t="str">
        <f aca="false">IF(名簿!$D129="","",名簿!$D129&amp;IF(名簿!$F129="転出","（転出）",""))</f>
        <v/>
      </c>
      <c r="D129" s="149"/>
      <c r="E129" s="61" t="str">
        <f aca="false">IF(OR($C129="",名簿!$F129="転出"),"",IF($C$2="学級ごと",$A129,$D129&amp;""))</f>
        <v/>
      </c>
      <c r="F129" s="150"/>
      <c r="G129" s="150"/>
      <c r="H129" s="150"/>
      <c r="I129" s="151"/>
      <c r="J129" s="41" t="str">
        <f aca="false">IF($E129="","",$E129&amp;"|"&amp;COUNTIF($E$5:$E129,$E129))</f>
        <v/>
      </c>
      <c r="K129" s="40" t="str">
        <f aca="false">IF($I129="","",LEN($I129))</f>
        <v/>
      </c>
      <c r="L129" s="13"/>
      <c r="M129" s="13"/>
      <c r="N129" s="13"/>
      <c r="O129" s="13"/>
      <c r="P129" s="152"/>
      <c r="Q129" s="149"/>
      <c r="R129" s="152"/>
      <c r="S129" s="152"/>
      <c r="T129" s="62" t="str">
        <f aca="false">IF(OR($C129="",R129=""),"",IF(R129/IF($R$2="",100,$R$2)&gt;=設定!$I$28,設定!$G$8,IF(R129/IF($R$2="",100,$R$2)&lt;設定!$I$29,設定!$G$10,設定!$G$9)))</f>
        <v/>
      </c>
      <c r="U129" s="62" t="str">
        <f aca="false">IF(OR($C129="",S129=""),"",IF(S129/IF($S$2="",100,$S$2)&gt;=設定!$I$28,設定!$G$8,IF(S129/IF($S$2="",100,$S$2)&lt;設定!$I$29,設定!$G$10,設定!$G$9)))</f>
        <v/>
      </c>
    </row>
    <row r="130" customFormat="false" ht="21" hidden="false" customHeight="true" outlineLevel="0" collapsed="false">
      <c r="A130" s="91" t="str">
        <f aca="false">IF(名簿!$D130="","",名簿!$B130&amp;"")</f>
        <v/>
      </c>
      <c r="B130" s="91" t="str">
        <f aca="false">IF(名簿!$D130="","",名簿!$C130)</f>
        <v/>
      </c>
      <c r="C130" s="59" t="str">
        <f aca="false">IF(名簿!$D130="","",名簿!$D130&amp;IF(名簿!$F130="転出","（転出）",""))</f>
        <v/>
      </c>
      <c r="D130" s="149"/>
      <c r="E130" s="61" t="str">
        <f aca="false">IF(OR($C130="",名簿!$F130="転出"),"",IF($C$2="学級ごと",$A130,$D130&amp;""))</f>
        <v/>
      </c>
      <c r="F130" s="150"/>
      <c r="G130" s="150"/>
      <c r="H130" s="150"/>
      <c r="I130" s="151"/>
      <c r="J130" s="41" t="str">
        <f aca="false">IF($E130="","",$E130&amp;"|"&amp;COUNTIF($E$5:$E130,$E130))</f>
        <v/>
      </c>
      <c r="K130" s="40" t="str">
        <f aca="false">IF($I130="","",LEN($I130))</f>
        <v/>
      </c>
      <c r="L130" s="13"/>
      <c r="M130" s="13"/>
      <c r="N130" s="13"/>
      <c r="O130" s="13"/>
      <c r="P130" s="152"/>
      <c r="Q130" s="149"/>
      <c r="R130" s="152"/>
      <c r="S130" s="152"/>
      <c r="T130" s="62" t="str">
        <f aca="false">IF(OR($C130="",R130=""),"",IF(R130/IF($R$2="",100,$R$2)&gt;=設定!$I$28,設定!$G$8,IF(R130/IF($R$2="",100,$R$2)&lt;設定!$I$29,設定!$G$10,設定!$G$9)))</f>
        <v/>
      </c>
      <c r="U130" s="62" t="str">
        <f aca="false">IF(OR($C130="",S130=""),"",IF(S130/IF($S$2="",100,$S$2)&gt;=設定!$I$28,設定!$G$8,IF(S130/IF($S$2="",100,$S$2)&lt;設定!$I$29,設定!$G$10,設定!$G$9)))</f>
        <v/>
      </c>
    </row>
    <row r="131" customFormat="false" ht="21" hidden="false" customHeight="true" outlineLevel="0" collapsed="false">
      <c r="A131" s="91" t="str">
        <f aca="false">IF(名簿!$D131="","",名簿!$B131&amp;"")</f>
        <v/>
      </c>
      <c r="B131" s="91" t="str">
        <f aca="false">IF(名簿!$D131="","",名簿!$C131)</f>
        <v/>
      </c>
      <c r="C131" s="59" t="str">
        <f aca="false">IF(名簿!$D131="","",名簿!$D131&amp;IF(名簿!$F131="転出","（転出）",""))</f>
        <v/>
      </c>
      <c r="D131" s="149"/>
      <c r="E131" s="61" t="str">
        <f aca="false">IF(OR($C131="",名簿!$F131="転出"),"",IF($C$2="学級ごと",$A131,$D131&amp;""))</f>
        <v/>
      </c>
      <c r="F131" s="150"/>
      <c r="G131" s="150"/>
      <c r="H131" s="150"/>
      <c r="I131" s="151"/>
      <c r="J131" s="41" t="str">
        <f aca="false">IF($E131="","",$E131&amp;"|"&amp;COUNTIF($E$5:$E131,$E131))</f>
        <v/>
      </c>
      <c r="K131" s="40" t="str">
        <f aca="false">IF($I131="","",LEN($I131))</f>
        <v/>
      </c>
      <c r="L131" s="13"/>
      <c r="M131" s="13"/>
      <c r="N131" s="13"/>
      <c r="O131" s="13"/>
      <c r="P131" s="152"/>
      <c r="Q131" s="149"/>
      <c r="R131" s="152"/>
      <c r="S131" s="152"/>
      <c r="T131" s="62" t="str">
        <f aca="false">IF(OR($C131="",R131=""),"",IF(R131/IF($R$2="",100,$R$2)&gt;=設定!$I$28,設定!$G$8,IF(R131/IF($R$2="",100,$R$2)&lt;設定!$I$29,設定!$G$10,設定!$G$9)))</f>
        <v/>
      </c>
      <c r="U131" s="62" t="str">
        <f aca="false">IF(OR($C131="",S131=""),"",IF(S131/IF($S$2="",100,$S$2)&gt;=設定!$I$28,設定!$G$8,IF(S131/IF($S$2="",100,$S$2)&lt;設定!$I$29,設定!$G$10,設定!$G$9)))</f>
        <v/>
      </c>
    </row>
    <row r="132" customFormat="false" ht="21" hidden="false" customHeight="true" outlineLevel="0" collapsed="false">
      <c r="A132" s="91" t="str">
        <f aca="false">IF(名簿!$D132="","",名簿!$B132&amp;"")</f>
        <v/>
      </c>
      <c r="B132" s="91" t="str">
        <f aca="false">IF(名簿!$D132="","",名簿!$C132)</f>
        <v/>
      </c>
      <c r="C132" s="59" t="str">
        <f aca="false">IF(名簿!$D132="","",名簿!$D132&amp;IF(名簿!$F132="転出","（転出）",""))</f>
        <v/>
      </c>
      <c r="D132" s="149"/>
      <c r="E132" s="61" t="str">
        <f aca="false">IF(OR($C132="",名簿!$F132="転出"),"",IF($C$2="学級ごと",$A132,$D132&amp;""))</f>
        <v/>
      </c>
      <c r="F132" s="150"/>
      <c r="G132" s="150"/>
      <c r="H132" s="150"/>
      <c r="I132" s="151"/>
      <c r="J132" s="41" t="str">
        <f aca="false">IF($E132="","",$E132&amp;"|"&amp;COUNTIF($E$5:$E132,$E132))</f>
        <v/>
      </c>
      <c r="K132" s="40" t="str">
        <f aca="false">IF($I132="","",LEN($I132))</f>
        <v/>
      </c>
      <c r="L132" s="13"/>
      <c r="M132" s="13"/>
      <c r="N132" s="13"/>
      <c r="O132" s="13"/>
      <c r="P132" s="152"/>
      <c r="Q132" s="149"/>
      <c r="R132" s="152"/>
      <c r="S132" s="152"/>
      <c r="T132" s="62" t="str">
        <f aca="false">IF(OR($C132="",R132=""),"",IF(R132/IF($R$2="",100,$R$2)&gt;=設定!$I$28,設定!$G$8,IF(R132/IF($R$2="",100,$R$2)&lt;設定!$I$29,設定!$G$10,設定!$G$9)))</f>
        <v/>
      </c>
      <c r="U132" s="62" t="str">
        <f aca="false">IF(OR($C132="",S132=""),"",IF(S132/IF($S$2="",100,$S$2)&gt;=設定!$I$28,設定!$G$8,IF(S132/IF($S$2="",100,$S$2)&lt;設定!$I$29,設定!$G$10,設定!$G$9)))</f>
        <v/>
      </c>
    </row>
    <row r="133" customFormat="false" ht="21" hidden="false" customHeight="true" outlineLevel="0" collapsed="false">
      <c r="A133" s="91" t="str">
        <f aca="false">IF(名簿!$D133="","",名簿!$B133&amp;"")</f>
        <v/>
      </c>
      <c r="B133" s="91" t="str">
        <f aca="false">IF(名簿!$D133="","",名簿!$C133)</f>
        <v/>
      </c>
      <c r="C133" s="59" t="str">
        <f aca="false">IF(名簿!$D133="","",名簿!$D133&amp;IF(名簿!$F133="転出","（転出）",""))</f>
        <v/>
      </c>
      <c r="D133" s="149"/>
      <c r="E133" s="61" t="str">
        <f aca="false">IF(OR($C133="",名簿!$F133="転出"),"",IF($C$2="学級ごと",$A133,$D133&amp;""))</f>
        <v/>
      </c>
      <c r="F133" s="150"/>
      <c r="G133" s="150"/>
      <c r="H133" s="150"/>
      <c r="I133" s="151"/>
      <c r="J133" s="41" t="str">
        <f aca="false">IF($E133="","",$E133&amp;"|"&amp;COUNTIF($E$5:$E133,$E133))</f>
        <v/>
      </c>
      <c r="K133" s="40" t="str">
        <f aca="false">IF($I133="","",LEN($I133))</f>
        <v/>
      </c>
      <c r="L133" s="13"/>
      <c r="M133" s="13"/>
      <c r="N133" s="13"/>
      <c r="O133" s="13"/>
      <c r="P133" s="152"/>
      <c r="Q133" s="149"/>
      <c r="R133" s="152"/>
      <c r="S133" s="152"/>
      <c r="T133" s="62" t="str">
        <f aca="false">IF(OR($C133="",R133=""),"",IF(R133/IF($R$2="",100,$R$2)&gt;=設定!$I$28,設定!$G$8,IF(R133/IF($R$2="",100,$R$2)&lt;設定!$I$29,設定!$G$10,設定!$G$9)))</f>
        <v/>
      </c>
      <c r="U133" s="62" t="str">
        <f aca="false">IF(OR($C133="",S133=""),"",IF(S133/IF($S$2="",100,$S$2)&gt;=設定!$I$28,設定!$G$8,IF(S133/IF($S$2="",100,$S$2)&lt;設定!$I$29,設定!$G$10,設定!$G$9)))</f>
        <v/>
      </c>
    </row>
    <row r="134" customFormat="false" ht="21" hidden="false" customHeight="true" outlineLevel="0" collapsed="false">
      <c r="A134" s="91" t="str">
        <f aca="false">IF(名簿!$D134="","",名簿!$B134&amp;"")</f>
        <v/>
      </c>
      <c r="B134" s="91" t="str">
        <f aca="false">IF(名簿!$D134="","",名簿!$C134)</f>
        <v/>
      </c>
      <c r="C134" s="59" t="str">
        <f aca="false">IF(名簿!$D134="","",名簿!$D134&amp;IF(名簿!$F134="転出","（転出）",""))</f>
        <v/>
      </c>
      <c r="D134" s="149"/>
      <c r="E134" s="61" t="str">
        <f aca="false">IF(OR($C134="",名簿!$F134="転出"),"",IF($C$2="学級ごと",$A134,$D134&amp;""))</f>
        <v/>
      </c>
      <c r="F134" s="150"/>
      <c r="G134" s="150"/>
      <c r="H134" s="150"/>
      <c r="I134" s="151"/>
      <c r="J134" s="41" t="str">
        <f aca="false">IF($E134="","",$E134&amp;"|"&amp;COUNTIF($E$5:$E134,$E134))</f>
        <v/>
      </c>
      <c r="K134" s="40" t="str">
        <f aca="false">IF($I134="","",LEN($I134))</f>
        <v/>
      </c>
      <c r="L134" s="13"/>
      <c r="M134" s="13"/>
      <c r="N134" s="13"/>
      <c r="O134" s="13"/>
      <c r="P134" s="152"/>
      <c r="Q134" s="149"/>
      <c r="R134" s="152"/>
      <c r="S134" s="152"/>
      <c r="T134" s="62" t="str">
        <f aca="false">IF(OR($C134="",R134=""),"",IF(R134/IF($R$2="",100,$R$2)&gt;=設定!$I$28,設定!$G$8,IF(R134/IF($R$2="",100,$R$2)&lt;設定!$I$29,設定!$G$10,設定!$G$9)))</f>
        <v/>
      </c>
      <c r="U134" s="62" t="str">
        <f aca="false">IF(OR($C134="",S134=""),"",IF(S134/IF($S$2="",100,$S$2)&gt;=設定!$I$28,設定!$G$8,IF(S134/IF($S$2="",100,$S$2)&lt;設定!$I$29,設定!$G$10,設定!$G$9)))</f>
        <v/>
      </c>
    </row>
    <row r="135" customFormat="false" ht="21" hidden="false" customHeight="true" outlineLevel="0" collapsed="false">
      <c r="A135" s="91" t="str">
        <f aca="false">IF(名簿!$D135="","",名簿!$B135&amp;"")</f>
        <v/>
      </c>
      <c r="B135" s="91" t="str">
        <f aca="false">IF(名簿!$D135="","",名簿!$C135)</f>
        <v/>
      </c>
      <c r="C135" s="59" t="str">
        <f aca="false">IF(名簿!$D135="","",名簿!$D135&amp;IF(名簿!$F135="転出","（転出）",""))</f>
        <v/>
      </c>
      <c r="D135" s="149"/>
      <c r="E135" s="61" t="str">
        <f aca="false">IF(OR($C135="",名簿!$F135="転出"),"",IF($C$2="学級ごと",$A135,$D135&amp;""))</f>
        <v/>
      </c>
      <c r="F135" s="150"/>
      <c r="G135" s="150"/>
      <c r="H135" s="150"/>
      <c r="I135" s="151"/>
      <c r="J135" s="41" t="str">
        <f aca="false">IF($E135="","",$E135&amp;"|"&amp;COUNTIF($E$5:$E135,$E135))</f>
        <v/>
      </c>
      <c r="K135" s="40" t="str">
        <f aca="false">IF($I135="","",LEN($I135))</f>
        <v/>
      </c>
      <c r="L135" s="13"/>
      <c r="M135" s="13"/>
      <c r="N135" s="13"/>
      <c r="O135" s="13"/>
      <c r="P135" s="152"/>
      <c r="Q135" s="149"/>
      <c r="R135" s="152"/>
      <c r="S135" s="152"/>
      <c r="T135" s="62" t="str">
        <f aca="false">IF(OR($C135="",R135=""),"",IF(R135/IF($R$2="",100,$R$2)&gt;=設定!$I$28,設定!$G$8,IF(R135/IF($R$2="",100,$R$2)&lt;設定!$I$29,設定!$G$10,設定!$G$9)))</f>
        <v/>
      </c>
      <c r="U135" s="62" t="str">
        <f aca="false">IF(OR($C135="",S135=""),"",IF(S135/IF($S$2="",100,$S$2)&gt;=設定!$I$28,設定!$G$8,IF(S135/IF($S$2="",100,$S$2)&lt;設定!$I$29,設定!$G$10,設定!$G$9)))</f>
        <v/>
      </c>
    </row>
    <row r="136" customFormat="false" ht="21" hidden="false" customHeight="true" outlineLevel="0" collapsed="false">
      <c r="A136" s="91" t="str">
        <f aca="false">IF(名簿!$D136="","",名簿!$B136&amp;"")</f>
        <v/>
      </c>
      <c r="B136" s="91" t="str">
        <f aca="false">IF(名簿!$D136="","",名簿!$C136)</f>
        <v/>
      </c>
      <c r="C136" s="59" t="str">
        <f aca="false">IF(名簿!$D136="","",名簿!$D136&amp;IF(名簿!$F136="転出","（転出）",""))</f>
        <v/>
      </c>
      <c r="D136" s="149"/>
      <c r="E136" s="61" t="str">
        <f aca="false">IF(OR($C136="",名簿!$F136="転出"),"",IF($C$2="学級ごと",$A136,$D136&amp;""))</f>
        <v/>
      </c>
      <c r="F136" s="150"/>
      <c r="G136" s="150"/>
      <c r="H136" s="150"/>
      <c r="I136" s="151"/>
      <c r="J136" s="41" t="str">
        <f aca="false">IF($E136="","",$E136&amp;"|"&amp;COUNTIF($E$5:$E136,$E136))</f>
        <v/>
      </c>
      <c r="K136" s="40" t="str">
        <f aca="false">IF($I136="","",LEN($I136))</f>
        <v/>
      </c>
      <c r="L136" s="13"/>
      <c r="M136" s="13"/>
      <c r="N136" s="13"/>
      <c r="O136" s="13"/>
      <c r="P136" s="152"/>
      <c r="Q136" s="149"/>
      <c r="R136" s="152"/>
      <c r="S136" s="152"/>
      <c r="T136" s="62" t="str">
        <f aca="false">IF(OR($C136="",R136=""),"",IF(R136/IF($R$2="",100,$R$2)&gt;=設定!$I$28,設定!$G$8,IF(R136/IF($R$2="",100,$R$2)&lt;設定!$I$29,設定!$G$10,設定!$G$9)))</f>
        <v/>
      </c>
      <c r="U136" s="62" t="str">
        <f aca="false">IF(OR($C136="",S136=""),"",IF(S136/IF($S$2="",100,$S$2)&gt;=設定!$I$28,設定!$G$8,IF(S136/IF($S$2="",100,$S$2)&lt;設定!$I$29,設定!$G$10,設定!$G$9)))</f>
        <v/>
      </c>
    </row>
    <row r="137" customFormat="false" ht="21" hidden="false" customHeight="true" outlineLevel="0" collapsed="false">
      <c r="A137" s="91" t="str">
        <f aca="false">IF(名簿!$D137="","",名簿!$B137&amp;"")</f>
        <v/>
      </c>
      <c r="B137" s="91" t="str">
        <f aca="false">IF(名簿!$D137="","",名簿!$C137)</f>
        <v/>
      </c>
      <c r="C137" s="59" t="str">
        <f aca="false">IF(名簿!$D137="","",名簿!$D137&amp;IF(名簿!$F137="転出","（転出）",""))</f>
        <v/>
      </c>
      <c r="D137" s="149"/>
      <c r="E137" s="61" t="str">
        <f aca="false">IF(OR($C137="",名簿!$F137="転出"),"",IF($C$2="学級ごと",$A137,$D137&amp;""))</f>
        <v/>
      </c>
      <c r="F137" s="150"/>
      <c r="G137" s="150"/>
      <c r="H137" s="150"/>
      <c r="I137" s="151"/>
      <c r="J137" s="41" t="str">
        <f aca="false">IF($E137="","",$E137&amp;"|"&amp;COUNTIF($E$5:$E137,$E137))</f>
        <v/>
      </c>
      <c r="K137" s="40" t="str">
        <f aca="false">IF($I137="","",LEN($I137))</f>
        <v/>
      </c>
      <c r="L137" s="13"/>
      <c r="M137" s="13"/>
      <c r="N137" s="13"/>
      <c r="O137" s="13"/>
      <c r="P137" s="152"/>
      <c r="Q137" s="149"/>
      <c r="R137" s="152"/>
      <c r="S137" s="152"/>
      <c r="T137" s="62" t="str">
        <f aca="false">IF(OR($C137="",R137=""),"",IF(R137/IF($R$2="",100,$R$2)&gt;=設定!$I$28,設定!$G$8,IF(R137/IF($R$2="",100,$R$2)&lt;設定!$I$29,設定!$G$10,設定!$G$9)))</f>
        <v/>
      </c>
      <c r="U137" s="62" t="str">
        <f aca="false">IF(OR($C137="",S137=""),"",IF(S137/IF($S$2="",100,$S$2)&gt;=設定!$I$28,設定!$G$8,IF(S137/IF($S$2="",100,$S$2)&lt;設定!$I$29,設定!$G$10,設定!$G$9)))</f>
        <v/>
      </c>
    </row>
    <row r="138" customFormat="false" ht="21" hidden="false" customHeight="true" outlineLevel="0" collapsed="false">
      <c r="A138" s="91" t="str">
        <f aca="false">IF(名簿!$D138="","",名簿!$B138&amp;"")</f>
        <v/>
      </c>
      <c r="B138" s="91" t="str">
        <f aca="false">IF(名簿!$D138="","",名簿!$C138)</f>
        <v/>
      </c>
      <c r="C138" s="59" t="str">
        <f aca="false">IF(名簿!$D138="","",名簿!$D138&amp;IF(名簿!$F138="転出","（転出）",""))</f>
        <v/>
      </c>
      <c r="D138" s="149"/>
      <c r="E138" s="61" t="str">
        <f aca="false">IF(OR($C138="",名簿!$F138="転出"),"",IF($C$2="学級ごと",$A138,$D138&amp;""))</f>
        <v/>
      </c>
      <c r="F138" s="150"/>
      <c r="G138" s="150"/>
      <c r="H138" s="150"/>
      <c r="I138" s="151"/>
      <c r="J138" s="41" t="str">
        <f aca="false">IF($E138="","",$E138&amp;"|"&amp;COUNTIF($E$5:$E138,$E138))</f>
        <v/>
      </c>
      <c r="K138" s="40" t="str">
        <f aca="false">IF($I138="","",LEN($I138))</f>
        <v/>
      </c>
      <c r="L138" s="13"/>
      <c r="M138" s="13"/>
      <c r="N138" s="13"/>
      <c r="O138" s="13"/>
      <c r="P138" s="152"/>
      <c r="Q138" s="149"/>
      <c r="R138" s="152"/>
      <c r="S138" s="152"/>
      <c r="T138" s="62" t="str">
        <f aca="false">IF(OR($C138="",R138=""),"",IF(R138/IF($R$2="",100,$R$2)&gt;=設定!$I$28,設定!$G$8,IF(R138/IF($R$2="",100,$R$2)&lt;設定!$I$29,設定!$G$10,設定!$G$9)))</f>
        <v/>
      </c>
      <c r="U138" s="62" t="str">
        <f aca="false">IF(OR($C138="",S138=""),"",IF(S138/IF($S$2="",100,$S$2)&gt;=設定!$I$28,設定!$G$8,IF(S138/IF($S$2="",100,$S$2)&lt;設定!$I$29,設定!$G$10,設定!$G$9)))</f>
        <v/>
      </c>
    </row>
    <row r="139" customFormat="false" ht="21" hidden="false" customHeight="true" outlineLevel="0" collapsed="false">
      <c r="A139" s="91" t="str">
        <f aca="false">IF(名簿!$D139="","",名簿!$B139&amp;"")</f>
        <v/>
      </c>
      <c r="B139" s="91" t="str">
        <f aca="false">IF(名簿!$D139="","",名簿!$C139)</f>
        <v/>
      </c>
      <c r="C139" s="59" t="str">
        <f aca="false">IF(名簿!$D139="","",名簿!$D139&amp;IF(名簿!$F139="転出","（転出）",""))</f>
        <v/>
      </c>
      <c r="D139" s="149"/>
      <c r="E139" s="61" t="str">
        <f aca="false">IF(OR($C139="",名簿!$F139="転出"),"",IF($C$2="学級ごと",$A139,$D139&amp;""))</f>
        <v/>
      </c>
      <c r="F139" s="150"/>
      <c r="G139" s="150"/>
      <c r="H139" s="150"/>
      <c r="I139" s="151"/>
      <c r="J139" s="41" t="str">
        <f aca="false">IF($E139="","",$E139&amp;"|"&amp;COUNTIF($E$5:$E139,$E139))</f>
        <v/>
      </c>
      <c r="K139" s="40" t="str">
        <f aca="false">IF($I139="","",LEN($I139))</f>
        <v/>
      </c>
      <c r="L139" s="13"/>
      <c r="M139" s="13"/>
      <c r="N139" s="13"/>
      <c r="O139" s="13"/>
      <c r="P139" s="152"/>
      <c r="Q139" s="149"/>
      <c r="R139" s="152"/>
      <c r="S139" s="152"/>
      <c r="T139" s="62" t="str">
        <f aca="false">IF(OR($C139="",R139=""),"",IF(R139/IF($R$2="",100,$R$2)&gt;=設定!$I$28,設定!$G$8,IF(R139/IF($R$2="",100,$R$2)&lt;設定!$I$29,設定!$G$10,設定!$G$9)))</f>
        <v/>
      </c>
      <c r="U139" s="62" t="str">
        <f aca="false">IF(OR($C139="",S139=""),"",IF(S139/IF($S$2="",100,$S$2)&gt;=設定!$I$28,設定!$G$8,IF(S139/IF($S$2="",100,$S$2)&lt;設定!$I$29,設定!$G$10,設定!$G$9)))</f>
        <v/>
      </c>
    </row>
    <row r="140" customFormat="false" ht="21" hidden="false" customHeight="true" outlineLevel="0" collapsed="false">
      <c r="A140" s="91" t="str">
        <f aca="false">IF(名簿!$D140="","",名簿!$B140&amp;"")</f>
        <v/>
      </c>
      <c r="B140" s="91" t="str">
        <f aca="false">IF(名簿!$D140="","",名簿!$C140)</f>
        <v/>
      </c>
      <c r="C140" s="59" t="str">
        <f aca="false">IF(名簿!$D140="","",名簿!$D140&amp;IF(名簿!$F140="転出","（転出）",""))</f>
        <v/>
      </c>
      <c r="D140" s="149"/>
      <c r="E140" s="61" t="str">
        <f aca="false">IF(OR($C140="",名簿!$F140="転出"),"",IF($C$2="学級ごと",$A140,$D140&amp;""))</f>
        <v/>
      </c>
      <c r="F140" s="150"/>
      <c r="G140" s="150"/>
      <c r="H140" s="150"/>
      <c r="I140" s="151"/>
      <c r="J140" s="41" t="str">
        <f aca="false">IF($E140="","",$E140&amp;"|"&amp;COUNTIF($E$5:$E140,$E140))</f>
        <v/>
      </c>
      <c r="K140" s="40" t="str">
        <f aca="false">IF($I140="","",LEN($I140))</f>
        <v/>
      </c>
      <c r="L140" s="13"/>
      <c r="M140" s="13"/>
      <c r="N140" s="13"/>
      <c r="O140" s="13"/>
      <c r="P140" s="152"/>
      <c r="Q140" s="149"/>
      <c r="R140" s="152"/>
      <c r="S140" s="152"/>
      <c r="T140" s="62" t="str">
        <f aca="false">IF(OR($C140="",R140=""),"",IF(R140/IF($R$2="",100,$R$2)&gt;=設定!$I$28,設定!$G$8,IF(R140/IF($R$2="",100,$R$2)&lt;設定!$I$29,設定!$G$10,設定!$G$9)))</f>
        <v/>
      </c>
      <c r="U140" s="62" t="str">
        <f aca="false">IF(OR($C140="",S140=""),"",IF(S140/IF($S$2="",100,$S$2)&gt;=設定!$I$28,設定!$G$8,IF(S140/IF($S$2="",100,$S$2)&lt;設定!$I$29,設定!$G$10,設定!$G$9)))</f>
        <v/>
      </c>
    </row>
    <row r="141" customFormat="false" ht="21" hidden="false" customHeight="true" outlineLevel="0" collapsed="false">
      <c r="A141" s="91" t="str">
        <f aca="false">IF(名簿!$D141="","",名簿!$B141&amp;"")</f>
        <v/>
      </c>
      <c r="B141" s="91" t="str">
        <f aca="false">IF(名簿!$D141="","",名簿!$C141)</f>
        <v/>
      </c>
      <c r="C141" s="59" t="str">
        <f aca="false">IF(名簿!$D141="","",名簿!$D141&amp;IF(名簿!$F141="転出","（転出）",""))</f>
        <v/>
      </c>
      <c r="D141" s="149"/>
      <c r="E141" s="61" t="str">
        <f aca="false">IF(OR($C141="",名簿!$F141="転出"),"",IF($C$2="学級ごと",$A141,$D141&amp;""))</f>
        <v/>
      </c>
      <c r="F141" s="150"/>
      <c r="G141" s="150"/>
      <c r="H141" s="150"/>
      <c r="I141" s="151"/>
      <c r="J141" s="41" t="str">
        <f aca="false">IF($E141="","",$E141&amp;"|"&amp;COUNTIF($E$5:$E141,$E141))</f>
        <v/>
      </c>
      <c r="K141" s="40" t="str">
        <f aca="false">IF($I141="","",LEN($I141))</f>
        <v/>
      </c>
      <c r="L141" s="13"/>
      <c r="M141" s="13"/>
      <c r="N141" s="13"/>
      <c r="O141" s="13"/>
      <c r="P141" s="152"/>
      <c r="Q141" s="149"/>
      <c r="R141" s="152"/>
      <c r="S141" s="152"/>
      <c r="T141" s="62" t="str">
        <f aca="false">IF(OR($C141="",R141=""),"",IF(R141/IF($R$2="",100,$R$2)&gt;=設定!$I$28,設定!$G$8,IF(R141/IF($R$2="",100,$R$2)&lt;設定!$I$29,設定!$G$10,設定!$G$9)))</f>
        <v/>
      </c>
      <c r="U141" s="62" t="str">
        <f aca="false">IF(OR($C141="",S141=""),"",IF(S141/IF($S$2="",100,$S$2)&gt;=設定!$I$28,設定!$G$8,IF(S141/IF($S$2="",100,$S$2)&lt;設定!$I$29,設定!$G$10,設定!$G$9)))</f>
        <v/>
      </c>
    </row>
    <row r="142" customFormat="false" ht="21" hidden="false" customHeight="true" outlineLevel="0" collapsed="false">
      <c r="A142" s="91" t="str">
        <f aca="false">IF(名簿!$D142="","",名簿!$B142&amp;"")</f>
        <v/>
      </c>
      <c r="B142" s="91" t="str">
        <f aca="false">IF(名簿!$D142="","",名簿!$C142)</f>
        <v/>
      </c>
      <c r="C142" s="59" t="str">
        <f aca="false">IF(名簿!$D142="","",名簿!$D142&amp;IF(名簿!$F142="転出","（転出）",""))</f>
        <v/>
      </c>
      <c r="D142" s="149"/>
      <c r="E142" s="61" t="str">
        <f aca="false">IF(OR($C142="",名簿!$F142="転出"),"",IF($C$2="学級ごと",$A142,$D142&amp;""))</f>
        <v/>
      </c>
      <c r="F142" s="150"/>
      <c r="G142" s="150"/>
      <c r="H142" s="150"/>
      <c r="I142" s="151"/>
      <c r="J142" s="41" t="str">
        <f aca="false">IF($E142="","",$E142&amp;"|"&amp;COUNTIF($E$5:$E142,$E142))</f>
        <v/>
      </c>
      <c r="K142" s="40" t="str">
        <f aca="false">IF($I142="","",LEN($I142))</f>
        <v/>
      </c>
      <c r="L142" s="13"/>
      <c r="M142" s="13"/>
      <c r="N142" s="13"/>
      <c r="O142" s="13"/>
      <c r="P142" s="152"/>
      <c r="Q142" s="149"/>
      <c r="R142" s="152"/>
      <c r="S142" s="152"/>
      <c r="T142" s="62" t="str">
        <f aca="false">IF(OR($C142="",R142=""),"",IF(R142/IF($R$2="",100,$R$2)&gt;=設定!$I$28,設定!$G$8,IF(R142/IF($R$2="",100,$R$2)&lt;設定!$I$29,設定!$G$10,設定!$G$9)))</f>
        <v/>
      </c>
      <c r="U142" s="62" t="str">
        <f aca="false">IF(OR($C142="",S142=""),"",IF(S142/IF($S$2="",100,$S$2)&gt;=設定!$I$28,設定!$G$8,IF(S142/IF($S$2="",100,$S$2)&lt;設定!$I$29,設定!$G$10,設定!$G$9)))</f>
        <v/>
      </c>
    </row>
    <row r="143" customFormat="false" ht="21" hidden="false" customHeight="true" outlineLevel="0" collapsed="false">
      <c r="A143" s="91" t="str">
        <f aca="false">IF(名簿!$D143="","",名簿!$B143&amp;"")</f>
        <v/>
      </c>
      <c r="B143" s="91" t="str">
        <f aca="false">IF(名簿!$D143="","",名簿!$C143)</f>
        <v/>
      </c>
      <c r="C143" s="59" t="str">
        <f aca="false">IF(名簿!$D143="","",名簿!$D143&amp;IF(名簿!$F143="転出","（転出）",""))</f>
        <v/>
      </c>
      <c r="D143" s="149"/>
      <c r="E143" s="61" t="str">
        <f aca="false">IF(OR($C143="",名簿!$F143="転出"),"",IF($C$2="学級ごと",$A143,$D143&amp;""))</f>
        <v/>
      </c>
      <c r="F143" s="150"/>
      <c r="G143" s="150"/>
      <c r="H143" s="150"/>
      <c r="I143" s="151"/>
      <c r="J143" s="41" t="str">
        <f aca="false">IF($E143="","",$E143&amp;"|"&amp;COUNTIF($E$5:$E143,$E143))</f>
        <v/>
      </c>
      <c r="K143" s="40" t="str">
        <f aca="false">IF($I143="","",LEN($I143))</f>
        <v/>
      </c>
      <c r="L143" s="13"/>
      <c r="M143" s="13"/>
      <c r="N143" s="13"/>
      <c r="O143" s="13"/>
      <c r="P143" s="152"/>
      <c r="Q143" s="149"/>
      <c r="R143" s="152"/>
      <c r="S143" s="152"/>
      <c r="T143" s="62" t="str">
        <f aca="false">IF(OR($C143="",R143=""),"",IF(R143/IF($R$2="",100,$R$2)&gt;=設定!$I$28,設定!$G$8,IF(R143/IF($R$2="",100,$R$2)&lt;設定!$I$29,設定!$G$10,設定!$G$9)))</f>
        <v/>
      </c>
      <c r="U143" s="62" t="str">
        <f aca="false">IF(OR($C143="",S143=""),"",IF(S143/IF($S$2="",100,$S$2)&gt;=設定!$I$28,設定!$G$8,IF(S143/IF($S$2="",100,$S$2)&lt;設定!$I$29,設定!$G$10,設定!$G$9)))</f>
        <v/>
      </c>
    </row>
    <row r="144" customFormat="false" ht="21" hidden="false" customHeight="true" outlineLevel="0" collapsed="false">
      <c r="A144" s="91" t="str">
        <f aca="false">IF(名簿!$D144="","",名簿!$B144&amp;"")</f>
        <v/>
      </c>
      <c r="B144" s="91" t="str">
        <f aca="false">IF(名簿!$D144="","",名簿!$C144)</f>
        <v/>
      </c>
      <c r="C144" s="59" t="str">
        <f aca="false">IF(名簿!$D144="","",名簿!$D144&amp;IF(名簿!$F144="転出","（転出）",""))</f>
        <v/>
      </c>
      <c r="D144" s="149"/>
      <c r="E144" s="61" t="str">
        <f aca="false">IF(OR($C144="",名簿!$F144="転出"),"",IF($C$2="学級ごと",$A144,$D144&amp;""))</f>
        <v/>
      </c>
      <c r="F144" s="150"/>
      <c r="G144" s="150"/>
      <c r="H144" s="150"/>
      <c r="I144" s="151"/>
      <c r="J144" s="41" t="str">
        <f aca="false">IF($E144="","",$E144&amp;"|"&amp;COUNTIF($E$5:$E144,$E144))</f>
        <v/>
      </c>
      <c r="K144" s="40" t="str">
        <f aca="false">IF($I144="","",LEN($I144))</f>
        <v/>
      </c>
      <c r="L144" s="13"/>
      <c r="M144" s="13"/>
      <c r="N144" s="13"/>
      <c r="O144" s="13"/>
      <c r="P144" s="152"/>
      <c r="Q144" s="149"/>
      <c r="R144" s="152"/>
      <c r="S144" s="152"/>
      <c r="T144" s="62" t="str">
        <f aca="false">IF(OR($C144="",R144=""),"",IF(R144/IF($R$2="",100,$R$2)&gt;=設定!$I$28,設定!$G$8,IF(R144/IF($R$2="",100,$R$2)&lt;設定!$I$29,設定!$G$10,設定!$G$9)))</f>
        <v/>
      </c>
      <c r="U144" s="62" t="str">
        <f aca="false">IF(OR($C144="",S144=""),"",IF(S144/IF($S$2="",100,$S$2)&gt;=設定!$I$28,設定!$G$8,IF(S144/IF($S$2="",100,$S$2)&lt;設定!$I$29,設定!$G$10,設定!$G$9)))</f>
        <v/>
      </c>
    </row>
    <row r="145" customFormat="false" ht="21" hidden="false" customHeight="true" outlineLevel="0" collapsed="false">
      <c r="A145" s="91" t="str">
        <f aca="false">IF(名簿!$D145="","",名簿!$B145&amp;"")</f>
        <v/>
      </c>
      <c r="B145" s="91" t="str">
        <f aca="false">IF(名簿!$D145="","",名簿!$C145)</f>
        <v/>
      </c>
      <c r="C145" s="59" t="str">
        <f aca="false">IF(名簿!$D145="","",名簿!$D145&amp;IF(名簿!$F145="転出","（転出）",""))</f>
        <v/>
      </c>
      <c r="D145" s="149"/>
      <c r="E145" s="61" t="str">
        <f aca="false">IF(OR($C145="",名簿!$F145="転出"),"",IF($C$2="学級ごと",$A145,$D145&amp;""))</f>
        <v/>
      </c>
      <c r="F145" s="150"/>
      <c r="G145" s="150"/>
      <c r="H145" s="150"/>
      <c r="I145" s="151"/>
      <c r="J145" s="41" t="str">
        <f aca="false">IF($E145="","",$E145&amp;"|"&amp;COUNTIF($E$5:$E145,$E145))</f>
        <v/>
      </c>
      <c r="K145" s="40" t="str">
        <f aca="false">IF($I145="","",LEN($I145))</f>
        <v/>
      </c>
      <c r="L145" s="13"/>
      <c r="M145" s="13"/>
      <c r="N145" s="13"/>
      <c r="O145" s="13"/>
      <c r="P145" s="152"/>
      <c r="Q145" s="149"/>
      <c r="R145" s="152"/>
      <c r="S145" s="152"/>
      <c r="T145" s="62" t="str">
        <f aca="false">IF(OR($C145="",R145=""),"",IF(R145/IF($R$2="",100,$R$2)&gt;=設定!$I$28,設定!$G$8,IF(R145/IF($R$2="",100,$R$2)&lt;設定!$I$29,設定!$G$10,設定!$G$9)))</f>
        <v/>
      </c>
      <c r="U145" s="62" t="str">
        <f aca="false">IF(OR($C145="",S145=""),"",IF(S145/IF($S$2="",100,$S$2)&gt;=設定!$I$28,設定!$G$8,IF(S145/IF($S$2="",100,$S$2)&lt;設定!$I$29,設定!$G$10,設定!$G$9)))</f>
        <v/>
      </c>
    </row>
    <row r="146" customFormat="false" ht="21" hidden="false" customHeight="true" outlineLevel="0" collapsed="false">
      <c r="A146" s="91" t="str">
        <f aca="false">IF(名簿!$D146="","",名簿!$B146&amp;"")</f>
        <v/>
      </c>
      <c r="B146" s="91" t="str">
        <f aca="false">IF(名簿!$D146="","",名簿!$C146)</f>
        <v/>
      </c>
      <c r="C146" s="59" t="str">
        <f aca="false">IF(名簿!$D146="","",名簿!$D146&amp;IF(名簿!$F146="転出","（転出）",""))</f>
        <v/>
      </c>
      <c r="D146" s="149"/>
      <c r="E146" s="61" t="str">
        <f aca="false">IF(OR($C146="",名簿!$F146="転出"),"",IF($C$2="学級ごと",$A146,$D146&amp;""))</f>
        <v/>
      </c>
      <c r="F146" s="150"/>
      <c r="G146" s="150"/>
      <c r="H146" s="150"/>
      <c r="I146" s="151"/>
      <c r="J146" s="41" t="str">
        <f aca="false">IF($E146="","",$E146&amp;"|"&amp;COUNTIF($E$5:$E146,$E146))</f>
        <v/>
      </c>
      <c r="K146" s="40" t="str">
        <f aca="false">IF($I146="","",LEN($I146))</f>
        <v/>
      </c>
      <c r="L146" s="13"/>
      <c r="M146" s="13"/>
      <c r="N146" s="13"/>
      <c r="O146" s="13"/>
      <c r="P146" s="152"/>
      <c r="Q146" s="149"/>
      <c r="R146" s="152"/>
      <c r="S146" s="152"/>
      <c r="T146" s="62" t="str">
        <f aca="false">IF(OR($C146="",R146=""),"",IF(R146/IF($R$2="",100,$R$2)&gt;=設定!$I$28,設定!$G$8,IF(R146/IF($R$2="",100,$R$2)&lt;設定!$I$29,設定!$G$10,設定!$G$9)))</f>
        <v/>
      </c>
      <c r="U146" s="62" t="str">
        <f aca="false">IF(OR($C146="",S146=""),"",IF(S146/IF($S$2="",100,$S$2)&gt;=設定!$I$28,設定!$G$8,IF(S146/IF($S$2="",100,$S$2)&lt;設定!$I$29,設定!$G$10,設定!$G$9)))</f>
        <v/>
      </c>
    </row>
    <row r="147" customFormat="false" ht="21" hidden="false" customHeight="true" outlineLevel="0" collapsed="false">
      <c r="A147" s="91" t="str">
        <f aca="false">IF(名簿!$D147="","",名簿!$B147&amp;"")</f>
        <v/>
      </c>
      <c r="B147" s="91" t="str">
        <f aca="false">IF(名簿!$D147="","",名簿!$C147)</f>
        <v/>
      </c>
      <c r="C147" s="59" t="str">
        <f aca="false">IF(名簿!$D147="","",名簿!$D147&amp;IF(名簿!$F147="転出","（転出）",""))</f>
        <v/>
      </c>
      <c r="D147" s="149"/>
      <c r="E147" s="61" t="str">
        <f aca="false">IF(OR($C147="",名簿!$F147="転出"),"",IF($C$2="学級ごと",$A147,$D147&amp;""))</f>
        <v/>
      </c>
      <c r="F147" s="150"/>
      <c r="G147" s="150"/>
      <c r="H147" s="150"/>
      <c r="I147" s="151"/>
      <c r="J147" s="41" t="str">
        <f aca="false">IF($E147="","",$E147&amp;"|"&amp;COUNTIF($E$5:$E147,$E147))</f>
        <v/>
      </c>
      <c r="K147" s="40" t="str">
        <f aca="false">IF($I147="","",LEN($I147))</f>
        <v/>
      </c>
      <c r="L147" s="13"/>
      <c r="M147" s="13"/>
      <c r="N147" s="13"/>
      <c r="O147" s="13"/>
      <c r="P147" s="152"/>
      <c r="Q147" s="149"/>
      <c r="R147" s="152"/>
      <c r="S147" s="152"/>
      <c r="T147" s="62" t="str">
        <f aca="false">IF(OR($C147="",R147=""),"",IF(R147/IF($R$2="",100,$R$2)&gt;=設定!$I$28,設定!$G$8,IF(R147/IF($R$2="",100,$R$2)&lt;設定!$I$29,設定!$G$10,設定!$G$9)))</f>
        <v/>
      </c>
      <c r="U147" s="62" t="str">
        <f aca="false">IF(OR($C147="",S147=""),"",IF(S147/IF($S$2="",100,$S$2)&gt;=設定!$I$28,設定!$G$8,IF(S147/IF($S$2="",100,$S$2)&lt;設定!$I$29,設定!$G$10,設定!$G$9)))</f>
        <v/>
      </c>
    </row>
    <row r="148" customFormat="false" ht="21" hidden="false" customHeight="true" outlineLevel="0" collapsed="false">
      <c r="A148" s="91" t="str">
        <f aca="false">IF(名簿!$D148="","",名簿!$B148&amp;"")</f>
        <v/>
      </c>
      <c r="B148" s="91" t="str">
        <f aca="false">IF(名簿!$D148="","",名簿!$C148)</f>
        <v/>
      </c>
      <c r="C148" s="59" t="str">
        <f aca="false">IF(名簿!$D148="","",名簿!$D148&amp;IF(名簿!$F148="転出","（転出）",""))</f>
        <v/>
      </c>
      <c r="D148" s="149"/>
      <c r="E148" s="61" t="str">
        <f aca="false">IF(OR($C148="",名簿!$F148="転出"),"",IF($C$2="学級ごと",$A148,$D148&amp;""))</f>
        <v/>
      </c>
      <c r="F148" s="150"/>
      <c r="G148" s="150"/>
      <c r="H148" s="150"/>
      <c r="I148" s="151"/>
      <c r="J148" s="41" t="str">
        <f aca="false">IF($E148="","",$E148&amp;"|"&amp;COUNTIF($E$5:$E148,$E148))</f>
        <v/>
      </c>
      <c r="K148" s="40" t="str">
        <f aca="false">IF($I148="","",LEN($I148))</f>
        <v/>
      </c>
      <c r="L148" s="13"/>
      <c r="M148" s="13"/>
      <c r="N148" s="13"/>
      <c r="O148" s="13"/>
      <c r="P148" s="152"/>
      <c r="Q148" s="149"/>
      <c r="R148" s="152"/>
      <c r="S148" s="152"/>
      <c r="T148" s="62" t="str">
        <f aca="false">IF(OR($C148="",R148=""),"",IF(R148/IF($R$2="",100,$R$2)&gt;=設定!$I$28,設定!$G$8,IF(R148/IF($R$2="",100,$R$2)&lt;設定!$I$29,設定!$G$10,設定!$G$9)))</f>
        <v/>
      </c>
      <c r="U148" s="62" t="str">
        <f aca="false">IF(OR($C148="",S148=""),"",IF(S148/IF($S$2="",100,$S$2)&gt;=設定!$I$28,設定!$G$8,IF(S148/IF($S$2="",100,$S$2)&lt;設定!$I$29,設定!$G$10,設定!$G$9)))</f>
        <v/>
      </c>
    </row>
    <row r="149" customFormat="false" ht="21" hidden="false" customHeight="true" outlineLevel="0" collapsed="false">
      <c r="A149" s="91" t="str">
        <f aca="false">IF(名簿!$D149="","",名簿!$B149&amp;"")</f>
        <v/>
      </c>
      <c r="B149" s="91" t="str">
        <f aca="false">IF(名簿!$D149="","",名簿!$C149)</f>
        <v/>
      </c>
      <c r="C149" s="59" t="str">
        <f aca="false">IF(名簿!$D149="","",名簿!$D149&amp;IF(名簿!$F149="転出","（転出）",""))</f>
        <v/>
      </c>
      <c r="D149" s="149"/>
      <c r="E149" s="61" t="str">
        <f aca="false">IF(OR($C149="",名簿!$F149="転出"),"",IF($C$2="学級ごと",$A149,$D149&amp;""))</f>
        <v/>
      </c>
      <c r="F149" s="150"/>
      <c r="G149" s="150"/>
      <c r="H149" s="150"/>
      <c r="I149" s="151"/>
      <c r="J149" s="41" t="str">
        <f aca="false">IF($E149="","",$E149&amp;"|"&amp;COUNTIF($E$5:$E149,$E149))</f>
        <v/>
      </c>
      <c r="K149" s="40" t="str">
        <f aca="false">IF($I149="","",LEN($I149))</f>
        <v/>
      </c>
      <c r="L149" s="13"/>
      <c r="M149" s="13"/>
      <c r="N149" s="13"/>
      <c r="O149" s="13"/>
      <c r="P149" s="152"/>
      <c r="Q149" s="149"/>
      <c r="R149" s="152"/>
      <c r="S149" s="152"/>
      <c r="T149" s="62" t="str">
        <f aca="false">IF(OR($C149="",R149=""),"",IF(R149/IF($R$2="",100,$R$2)&gt;=設定!$I$28,設定!$G$8,IF(R149/IF($R$2="",100,$R$2)&lt;設定!$I$29,設定!$G$10,設定!$G$9)))</f>
        <v/>
      </c>
      <c r="U149" s="62" t="str">
        <f aca="false">IF(OR($C149="",S149=""),"",IF(S149/IF($S$2="",100,$S$2)&gt;=設定!$I$28,設定!$G$8,IF(S149/IF($S$2="",100,$S$2)&lt;設定!$I$29,設定!$G$10,設定!$G$9)))</f>
        <v/>
      </c>
    </row>
    <row r="150" customFormat="false" ht="21" hidden="false" customHeight="true" outlineLevel="0" collapsed="false">
      <c r="A150" s="91" t="str">
        <f aca="false">IF(名簿!$D150="","",名簿!$B150&amp;"")</f>
        <v/>
      </c>
      <c r="B150" s="91" t="str">
        <f aca="false">IF(名簿!$D150="","",名簿!$C150)</f>
        <v/>
      </c>
      <c r="C150" s="59" t="str">
        <f aca="false">IF(名簿!$D150="","",名簿!$D150&amp;IF(名簿!$F150="転出","（転出）",""))</f>
        <v/>
      </c>
      <c r="D150" s="149"/>
      <c r="E150" s="61" t="str">
        <f aca="false">IF(OR($C150="",名簿!$F150="転出"),"",IF($C$2="学級ごと",$A150,$D150&amp;""))</f>
        <v/>
      </c>
      <c r="F150" s="150"/>
      <c r="G150" s="150"/>
      <c r="H150" s="150"/>
      <c r="I150" s="151"/>
      <c r="J150" s="41" t="str">
        <f aca="false">IF($E150="","",$E150&amp;"|"&amp;COUNTIF($E$5:$E150,$E150))</f>
        <v/>
      </c>
      <c r="K150" s="40" t="str">
        <f aca="false">IF($I150="","",LEN($I150))</f>
        <v/>
      </c>
      <c r="L150" s="13"/>
      <c r="M150" s="13"/>
      <c r="N150" s="13"/>
      <c r="O150" s="13"/>
      <c r="P150" s="152"/>
      <c r="Q150" s="149"/>
      <c r="R150" s="152"/>
      <c r="S150" s="152"/>
      <c r="T150" s="62" t="str">
        <f aca="false">IF(OR($C150="",R150=""),"",IF(R150/IF($R$2="",100,$R$2)&gt;=設定!$I$28,設定!$G$8,IF(R150/IF($R$2="",100,$R$2)&lt;設定!$I$29,設定!$G$10,設定!$G$9)))</f>
        <v/>
      </c>
      <c r="U150" s="62" t="str">
        <f aca="false">IF(OR($C150="",S150=""),"",IF(S150/IF($S$2="",100,$S$2)&gt;=設定!$I$28,設定!$G$8,IF(S150/IF($S$2="",100,$S$2)&lt;設定!$I$29,設定!$G$10,設定!$G$9)))</f>
        <v/>
      </c>
    </row>
    <row r="151" customFormat="false" ht="21" hidden="false" customHeight="true" outlineLevel="0" collapsed="false">
      <c r="A151" s="91" t="str">
        <f aca="false">IF(名簿!$D151="","",名簿!$B151&amp;"")</f>
        <v/>
      </c>
      <c r="B151" s="91" t="str">
        <f aca="false">IF(名簿!$D151="","",名簿!$C151)</f>
        <v/>
      </c>
      <c r="C151" s="59" t="str">
        <f aca="false">IF(名簿!$D151="","",名簿!$D151&amp;IF(名簿!$F151="転出","（転出）",""))</f>
        <v/>
      </c>
      <c r="D151" s="149"/>
      <c r="E151" s="61" t="str">
        <f aca="false">IF(OR($C151="",名簿!$F151="転出"),"",IF($C$2="学級ごと",$A151,$D151&amp;""))</f>
        <v/>
      </c>
      <c r="F151" s="150"/>
      <c r="G151" s="150"/>
      <c r="H151" s="150"/>
      <c r="I151" s="151"/>
      <c r="J151" s="41" t="str">
        <f aca="false">IF($E151="","",$E151&amp;"|"&amp;COUNTIF($E$5:$E151,$E151))</f>
        <v/>
      </c>
      <c r="K151" s="40" t="str">
        <f aca="false">IF($I151="","",LEN($I151))</f>
        <v/>
      </c>
      <c r="L151" s="13"/>
      <c r="M151" s="13"/>
      <c r="N151" s="13"/>
      <c r="O151" s="13"/>
      <c r="P151" s="152"/>
      <c r="Q151" s="149"/>
      <c r="R151" s="152"/>
      <c r="S151" s="152"/>
      <c r="T151" s="62" t="str">
        <f aca="false">IF(OR($C151="",R151=""),"",IF(R151/IF($R$2="",100,$R$2)&gt;=設定!$I$28,設定!$G$8,IF(R151/IF($R$2="",100,$R$2)&lt;設定!$I$29,設定!$G$10,設定!$G$9)))</f>
        <v/>
      </c>
      <c r="U151" s="62" t="str">
        <f aca="false">IF(OR($C151="",S151=""),"",IF(S151/IF($S$2="",100,$S$2)&gt;=設定!$I$28,設定!$G$8,IF(S151/IF($S$2="",100,$S$2)&lt;設定!$I$29,設定!$G$10,設定!$G$9)))</f>
        <v/>
      </c>
    </row>
    <row r="152" customFormat="false" ht="21" hidden="false" customHeight="true" outlineLevel="0" collapsed="false">
      <c r="A152" s="91" t="str">
        <f aca="false">IF(名簿!$D152="","",名簿!$B152&amp;"")</f>
        <v/>
      </c>
      <c r="B152" s="91" t="str">
        <f aca="false">IF(名簿!$D152="","",名簿!$C152)</f>
        <v/>
      </c>
      <c r="C152" s="59" t="str">
        <f aca="false">IF(名簿!$D152="","",名簿!$D152&amp;IF(名簿!$F152="転出","（転出）",""))</f>
        <v/>
      </c>
      <c r="D152" s="149"/>
      <c r="E152" s="61" t="str">
        <f aca="false">IF(OR($C152="",名簿!$F152="転出"),"",IF($C$2="学級ごと",$A152,$D152&amp;""))</f>
        <v/>
      </c>
      <c r="F152" s="150"/>
      <c r="G152" s="150"/>
      <c r="H152" s="150"/>
      <c r="I152" s="151"/>
      <c r="J152" s="41" t="str">
        <f aca="false">IF($E152="","",$E152&amp;"|"&amp;COUNTIF($E$5:$E152,$E152))</f>
        <v/>
      </c>
      <c r="K152" s="40" t="str">
        <f aca="false">IF($I152="","",LEN($I152))</f>
        <v/>
      </c>
      <c r="L152" s="13"/>
      <c r="M152" s="13"/>
      <c r="N152" s="13"/>
      <c r="O152" s="13"/>
      <c r="P152" s="152"/>
      <c r="Q152" s="149"/>
      <c r="R152" s="152"/>
      <c r="S152" s="152"/>
      <c r="T152" s="62" t="str">
        <f aca="false">IF(OR($C152="",R152=""),"",IF(R152/IF($R$2="",100,$R$2)&gt;=設定!$I$28,設定!$G$8,IF(R152/IF($R$2="",100,$R$2)&lt;設定!$I$29,設定!$G$10,設定!$G$9)))</f>
        <v/>
      </c>
      <c r="U152" s="62" t="str">
        <f aca="false">IF(OR($C152="",S152=""),"",IF(S152/IF($S$2="",100,$S$2)&gt;=設定!$I$28,設定!$G$8,IF(S152/IF($S$2="",100,$S$2)&lt;設定!$I$29,設定!$G$10,設定!$G$9)))</f>
        <v/>
      </c>
    </row>
    <row r="153" customFormat="false" ht="21" hidden="false" customHeight="true" outlineLevel="0" collapsed="false">
      <c r="A153" s="91" t="str">
        <f aca="false">IF(名簿!$D153="","",名簿!$B153&amp;"")</f>
        <v/>
      </c>
      <c r="B153" s="91" t="str">
        <f aca="false">IF(名簿!$D153="","",名簿!$C153)</f>
        <v/>
      </c>
      <c r="C153" s="59" t="str">
        <f aca="false">IF(名簿!$D153="","",名簿!$D153&amp;IF(名簿!$F153="転出","（転出）",""))</f>
        <v/>
      </c>
      <c r="D153" s="149"/>
      <c r="E153" s="61" t="str">
        <f aca="false">IF(OR($C153="",名簿!$F153="転出"),"",IF($C$2="学級ごと",$A153,$D153&amp;""))</f>
        <v/>
      </c>
      <c r="F153" s="150"/>
      <c r="G153" s="150"/>
      <c r="H153" s="150"/>
      <c r="I153" s="151"/>
      <c r="J153" s="41" t="str">
        <f aca="false">IF($E153="","",$E153&amp;"|"&amp;COUNTIF($E$5:$E153,$E153))</f>
        <v/>
      </c>
      <c r="K153" s="40" t="str">
        <f aca="false">IF($I153="","",LEN($I153))</f>
        <v/>
      </c>
      <c r="L153" s="13"/>
      <c r="M153" s="13"/>
      <c r="N153" s="13"/>
      <c r="O153" s="13"/>
      <c r="P153" s="152"/>
      <c r="Q153" s="149"/>
      <c r="R153" s="152"/>
      <c r="S153" s="152"/>
      <c r="T153" s="62" t="str">
        <f aca="false">IF(OR($C153="",R153=""),"",IF(R153/IF($R$2="",100,$R$2)&gt;=設定!$I$28,設定!$G$8,IF(R153/IF($R$2="",100,$R$2)&lt;設定!$I$29,設定!$G$10,設定!$G$9)))</f>
        <v/>
      </c>
      <c r="U153" s="62" t="str">
        <f aca="false">IF(OR($C153="",S153=""),"",IF(S153/IF($S$2="",100,$S$2)&gt;=設定!$I$28,設定!$G$8,IF(S153/IF($S$2="",100,$S$2)&lt;設定!$I$29,設定!$G$10,設定!$G$9)))</f>
        <v/>
      </c>
    </row>
    <row r="154" customFormat="false" ht="21" hidden="false" customHeight="true" outlineLevel="0" collapsed="false">
      <c r="A154" s="91" t="str">
        <f aca="false">IF(名簿!$D154="","",名簿!$B154&amp;"")</f>
        <v/>
      </c>
      <c r="B154" s="91" t="str">
        <f aca="false">IF(名簿!$D154="","",名簿!$C154)</f>
        <v/>
      </c>
      <c r="C154" s="59" t="str">
        <f aca="false">IF(名簿!$D154="","",名簿!$D154&amp;IF(名簿!$F154="転出","（転出）",""))</f>
        <v/>
      </c>
      <c r="D154" s="149"/>
      <c r="E154" s="61" t="str">
        <f aca="false">IF(OR($C154="",名簿!$F154="転出"),"",IF($C$2="学級ごと",$A154,$D154&amp;""))</f>
        <v/>
      </c>
      <c r="F154" s="150"/>
      <c r="G154" s="150"/>
      <c r="H154" s="150"/>
      <c r="I154" s="151"/>
      <c r="J154" s="41" t="str">
        <f aca="false">IF($E154="","",$E154&amp;"|"&amp;COUNTIF($E$5:$E154,$E154))</f>
        <v/>
      </c>
      <c r="K154" s="40" t="str">
        <f aca="false">IF($I154="","",LEN($I154))</f>
        <v/>
      </c>
      <c r="L154" s="13"/>
      <c r="M154" s="13"/>
      <c r="N154" s="13"/>
      <c r="O154" s="13"/>
      <c r="P154" s="152"/>
      <c r="Q154" s="149"/>
      <c r="R154" s="152"/>
      <c r="S154" s="152"/>
      <c r="T154" s="62" t="str">
        <f aca="false">IF(OR($C154="",R154=""),"",IF(R154/IF($R$2="",100,$R$2)&gt;=設定!$I$28,設定!$G$8,IF(R154/IF($R$2="",100,$R$2)&lt;設定!$I$29,設定!$G$10,設定!$G$9)))</f>
        <v/>
      </c>
      <c r="U154" s="62" t="str">
        <f aca="false">IF(OR($C154="",S154=""),"",IF(S154/IF($S$2="",100,$S$2)&gt;=設定!$I$28,設定!$G$8,IF(S154/IF($S$2="",100,$S$2)&lt;設定!$I$29,設定!$G$10,設定!$G$9)))</f>
        <v/>
      </c>
    </row>
    <row r="155" customFormat="false" ht="21" hidden="false" customHeight="true" outlineLevel="0" collapsed="false">
      <c r="A155" s="91" t="str">
        <f aca="false">IF(名簿!$D155="","",名簿!$B155&amp;"")</f>
        <v/>
      </c>
      <c r="B155" s="91" t="str">
        <f aca="false">IF(名簿!$D155="","",名簿!$C155)</f>
        <v/>
      </c>
      <c r="C155" s="59" t="str">
        <f aca="false">IF(名簿!$D155="","",名簿!$D155&amp;IF(名簿!$F155="転出","（転出）",""))</f>
        <v/>
      </c>
      <c r="D155" s="149"/>
      <c r="E155" s="61" t="str">
        <f aca="false">IF(OR($C155="",名簿!$F155="転出"),"",IF($C$2="学級ごと",$A155,$D155&amp;""))</f>
        <v/>
      </c>
      <c r="F155" s="150"/>
      <c r="G155" s="150"/>
      <c r="H155" s="150"/>
      <c r="I155" s="151"/>
      <c r="J155" s="41" t="str">
        <f aca="false">IF($E155="","",$E155&amp;"|"&amp;COUNTIF($E$5:$E155,$E155))</f>
        <v/>
      </c>
      <c r="K155" s="40" t="str">
        <f aca="false">IF($I155="","",LEN($I155))</f>
        <v/>
      </c>
      <c r="L155" s="13"/>
      <c r="M155" s="13"/>
      <c r="N155" s="13"/>
      <c r="O155" s="13"/>
      <c r="P155" s="152"/>
      <c r="Q155" s="149"/>
      <c r="R155" s="152"/>
      <c r="S155" s="152"/>
      <c r="T155" s="62" t="str">
        <f aca="false">IF(OR($C155="",R155=""),"",IF(R155/IF($R$2="",100,$R$2)&gt;=設定!$I$28,設定!$G$8,IF(R155/IF($R$2="",100,$R$2)&lt;設定!$I$29,設定!$G$10,設定!$G$9)))</f>
        <v/>
      </c>
      <c r="U155" s="62" t="str">
        <f aca="false">IF(OR($C155="",S155=""),"",IF(S155/IF($S$2="",100,$S$2)&gt;=設定!$I$28,設定!$G$8,IF(S155/IF($S$2="",100,$S$2)&lt;設定!$I$29,設定!$G$10,設定!$G$9)))</f>
        <v/>
      </c>
    </row>
    <row r="156" customFormat="false" ht="21" hidden="false" customHeight="true" outlineLevel="0" collapsed="false">
      <c r="A156" s="91" t="str">
        <f aca="false">IF(名簿!$D156="","",名簿!$B156&amp;"")</f>
        <v/>
      </c>
      <c r="B156" s="91" t="str">
        <f aca="false">IF(名簿!$D156="","",名簿!$C156)</f>
        <v/>
      </c>
      <c r="C156" s="59" t="str">
        <f aca="false">IF(名簿!$D156="","",名簿!$D156&amp;IF(名簿!$F156="転出","（転出）",""))</f>
        <v/>
      </c>
      <c r="D156" s="149"/>
      <c r="E156" s="61" t="str">
        <f aca="false">IF(OR($C156="",名簿!$F156="転出"),"",IF($C$2="学級ごと",$A156,$D156&amp;""))</f>
        <v/>
      </c>
      <c r="F156" s="150"/>
      <c r="G156" s="150"/>
      <c r="H156" s="150"/>
      <c r="I156" s="151"/>
      <c r="J156" s="41" t="str">
        <f aca="false">IF($E156="","",$E156&amp;"|"&amp;COUNTIF($E$5:$E156,$E156))</f>
        <v/>
      </c>
      <c r="K156" s="40" t="str">
        <f aca="false">IF($I156="","",LEN($I156))</f>
        <v/>
      </c>
      <c r="L156" s="13"/>
      <c r="M156" s="13"/>
      <c r="N156" s="13"/>
      <c r="O156" s="13"/>
      <c r="P156" s="152"/>
      <c r="Q156" s="149"/>
      <c r="R156" s="152"/>
      <c r="S156" s="152"/>
      <c r="T156" s="62" t="str">
        <f aca="false">IF(OR($C156="",R156=""),"",IF(R156/IF($R$2="",100,$R$2)&gt;=設定!$I$28,設定!$G$8,IF(R156/IF($R$2="",100,$R$2)&lt;設定!$I$29,設定!$G$10,設定!$G$9)))</f>
        <v/>
      </c>
      <c r="U156" s="62" t="str">
        <f aca="false">IF(OR($C156="",S156=""),"",IF(S156/IF($S$2="",100,$S$2)&gt;=設定!$I$28,設定!$G$8,IF(S156/IF($S$2="",100,$S$2)&lt;設定!$I$29,設定!$G$10,設定!$G$9)))</f>
        <v/>
      </c>
    </row>
    <row r="157" customFormat="false" ht="21" hidden="false" customHeight="true" outlineLevel="0" collapsed="false">
      <c r="A157" s="91" t="str">
        <f aca="false">IF(名簿!$D157="","",名簿!$B157&amp;"")</f>
        <v/>
      </c>
      <c r="B157" s="91" t="str">
        <f aca="false">IF(名簿!$D157="","",名簿!$C157)</f>
        <v/>
      </c>
      <c r="C157" s="59" t="str">
        <f aca="false">IF(名簿!$D157="","",名簿!$D157&amp;IF(名簿!$F157="転出","（転出）",""))</f>
        <v/>
      </c>
      <c r="D157" s="149"/>
      <c r="E157" s="61" t="str">
        <f aca="false">IF(OR($C157="",名簿!$F157="転出"),"",IF($C$2="学級ごと",$A157,$D157&amp;""))</f>
        <v/>
      </c>
      <c r="F157" s="150"/>
      <c r="G157" s="150"/>
      <c r="H157" s="150"/>
      <c r="I157" s="151"/>
      <c r="J157" s="41" t="str">
        <f aca="false">IF($E157="","",$E157&amp;"|"&amp;COUNTIF($E$5:$E157,$E157))</f>
        <v/>
      </c>
      <c r="K157" s="40" t="str">
        <f aca="false">IF($I157="","",LEN($I157))</f>
        <v/>
      </c>
      <c r="L157" s="13"/>
      <c r="M157" s="13"/>
      <c r="N157" s="13"/>
      <c r="O157" s="13"/>
      <c r="P157" s="152"/>
      <c r="Q157" s="149"/>
      <c r="R157" s="152"/>
      <c r="S157" s="152"/>
      <c r="T157" s="62" t="str">
        <f aca="false">IF(OR($C157="",R157=""),"",IF(R157/IF($R$2="",100,$R$2)&gt;=設定!$I$28,設定!$G$8,IF(R157/IF($R$2="",100,$R$2)&lt;設定!$I$29,設定!$G$10,設定!$G$9)))</f>
        <v/>
      </c>
      <c r="U157" s="62" t="str">
        <f aca="false">IF(OR($C157="",S157=""),"",IF(S157/IF($S$2="",100,$S$2)&gt;=設定!$I$28,設定!$G$8,IF(S157/IF($S$2="",100,$S$2)&lt;設定!$I$29,設定!$G$10,設定!$G$9)))</f>
        <v/>
      </c>
    </row>
    <row r="158" customFormat="false" ht="21" hidden="false" customHeight="true" outlineLevel="0" collapsed="false">
      <c r="A158" s="91" t="str">
        <f aca="false">IF(名簿!$D158="","",名簿!$B158&amp;"")</f>
        <v/>
      </c>
      <c r="B158" s="91" t="str">
        <f aca="false">IF(名簿!$D158="","",名簿!$C158)</f>
        <v/>
      </c>
      <c r="C158" s="59" t="str">
        <f aca="false">IF(名簿!$D158="","",名簿!$D158&amp;IF(名簿!$F158="転出","（転出）",""))</f>
        <v/>
      </c>
      <c r="D158" s="149"/>
      <c r="E158" s="61" t="str">
        <f aca="false">IF(OR($C158="",名簿!$F158="転出"),"",IF($C$2="学級ごと",$A158,$D158&amp;""))</f>
        <v/>
      </c>
      <c r="F158" s="150"/>
      <c r="G158" s="150"/>
      <c r="H158" s="150"/>
      <c r="I158" s="151"/>
      <c r="J158" s="41" t="str">
        <f aca="false">IF($E158="","",$E158&amp;"|"&amp;COUNTIF($E$5:$E158,$E158))</f>
        <v/>
      </c>
      <c r="K158" s="40" t="str">
        <f aca="false">IF($I158="","",LEN($I158))</f>
        <v/>
      </c>
      <c r="L158" s="13"/>
      <c r="M158" s="13"/>
      <c r="N158" s="13"/>
      <c r="O158" s="13"/>
      <c r="P158" s="152"/>
      <c r="Q158" s="149"/>
      <c r="R158" s="152"/>
      <c r="S158" s="152"/>
      <c r="T158" s="62" t="str">
        <f aca="false">IF(OR($C158="",R158=""),"",IF(R158/IF($R$2="",100,$R$2)&gt;=設定!$I$28,設定!$G$8,IF(R158/IF($R$2="",100,$R$2)&lt;設定!$I$29,設定!$G$10,設定!$G$9)))</f>
        <v/>
      </c>
      <c r="U158" s="62" t="str">
        <f aca="false">IF(OR($C158="",S158=""),"",IF(S158/IF($S$2="",100,$S$2)&gt;=設定!$I$28,設定!$G$8,IF(S158/IF($S$2="",100,$S$2)&lt;設定!$I$29,設定!$G$10,設定!$G$9)))</f>
        <v/>
      </c>
    </row>
    <row r="159" customFormat="false" ht="21" hidden="false" customHeight="true" outlineLevel="0" collapsed="false">
      <c r="A159" s="91" t="str">
        <f aca="false">IF(名簿!$D159="","",名簿!$B159&amp;"")</f>
        <v/>
      </c>
      <c r="B159" s="91" t="str">
        <f aca="false">IF(名簿!$D159="","",名簿!$C159)</f>
        <v/>
      </c>
      <c r="C159" s="59" t="str">
        <f aca="false">IF(名簿!$D159="","",名簿!$D159&amp;IF(名簿!$F159="転出","（転出）",""))</f>
        <v/>
      </c>
      <c r="D159" s="149"/>
      <c r="E159" s="61" t="str">
        <f aca="false">IF(OR($C159="",名簿!$F159="転出"),"",IF($C$2="学級ごと",$A159,$D159&amp;""))</f>
        <v/>
      </c>
      <c r="F159" s="150"/>
      <c r="G159" s="150"/>
      <c r="H159" s="150"/>
      <c r="I159" s="151"/>
      <c r="J159" s="41" t="str">
        <f aca="false">IF($E159="","",$E159&amp;"|"&amp;COUNTIF($E$5:$E159,$E159))</f>
        <v/>
      </c>
      <c r="K159" s="40" t="str">
        <f aca="false">IF($I159="","",LEN($I159))</f>
        <v/>
      </c>
      <c r="L159" s="13"/>
      <c r="M159" s="13"/>
      <c r="N159" s="13"/>
      <c r="O159" s="13"/>
      <c r="P159" s="152"/>
      <c r="Q159" s="149"/>
      <c r="R159" s="152"/>
      <c r="S159" s="152"/>
      <c r="T159" s="62" t="str">
        <f aca="false">IF(OR($C159="",R159=""),"",IF(R159/IF($R$2="",100,$R$2)&gt;=設定!$I$28,設定!$G$8,IF(R159/IF($R$2="",100,$R$2)&lt;設定!$I$29,設定!$G$10,設定!$G$9)))</f>
        <v/>
      </c>
      <c r="U159" s="62" t="str">
        <f aca="false">IF(OR($C159="",S159=""),"",IF(S159/IF($S$2="",100,$S$2)&gt;=設定!$I$28,設定!$G$8,IF(S159/IF($S$2="",100,$S$2)&lt;設定!$I$29,設定!$G$10,設定!$G$9)))</f>
        <v/>
      </c>
    </row>
    <row r="160" customFormat="false" ht="21" hidden="false" customHeight="true" outlineLevel="0" collapsed="false">
      <c r="A160" s="91" t="str">
        <f aca="false">IF(名簿!$D160="","",名簿!$B160&amp;"")</f>
        <v/>
      </c>
      <c r="B160" s="91" t="str">
        <f aca="false">IF(名簿!$D160="","",名簿!$C160)</f>
        <v/>
      </c>
      <c r="C160" s="59" t="str">
        <f aca="false">IF(名簿!$D160="","",名簿!$D160&amp;IF(名簿!$F160="転出","（転出）",""))</f>
        <v/>
      </c>
      <c r="D160" s="149"/>
      <c r="E160" s="61" t="str">
        <f aca="false">IF(OR($C160="",名簿!$F160="転出"),"",IF($C$2="学級ごと",$A160,$D160&amp;""))</f>
        <v/>
      </c>
      <c r="F160" s="150"/>
      <c r="G160" s="150"/>
      <c r="H160" s="150"/>
      <c r="I160" s="151"/>
      <c r="J160" s="41" t="str">
        <f aca="false">IF($E160="","",$E160&amp;"|"&amp;COUNTIF($E$5:$E160,$E160))</f>
        <v/>
      </c>
      <c r="K160" s="40" t="str">
        <f aca="false">IF($I160="","",LEN($I160))</f>
        <v/>
      </c>
      <c r="L160" s="13"/>
      <c r="M160" s="13"/>
      <c r="N160" s="13"/>
      <c r="O160" s="13"/>
      <c r="P160" s="152"/>
      <c r="Q160" s="149"/>
      <c r="R160" s="152"/>
      <c r="S160" s="152"/>
      <c r="T160" s="62" t="str">
        <f aca="false">IF(OR($C160="",R160=""),"",IF(R160/IF($R$2="",100,$R$2)&gt;=設定!$I$28,設定!$G$8,IF(R160/IF($R$2="",100,$R$2)&lt;設定!$I$29,設定!$G$10,設定!$G$9)))</f>
        <v/>
      </c>
      <c r="U160" s="62" t="str">
        <f aca="false">IF(OR($C160="",S160=""),"",IF(S160/IF($S$2="",100,$S$2)&gt;=設定!$I$28,設定!$G$8,IF(S160/IF($S$2="",100,$S$2)&lt;設定!$I$29,設定!$G$10,設定!$G$9)))</f>
        <v/>
      </c>
    </row>
    <row r="161" customFormat="false" ht="21" hidden="false" customHeight="true" outlineLevel="0" collapsed="false">
      <c r="A161" s="91" t="str">
        <f aca="false">IF(名簿!$D161="","",名簿!$B161&amp;"")</f>
        <v/>
      </c>
      <c r="B161" s="91" t="str">
        <f aca="false">IF(名簿!$D161="","",名簿!$C161)</f>
        <v/>
      </c>
      <c r="C161" s="59" t="str">
        <f aca="false">IF(名簿!$D161="","",名簿!$D161&amp;IF(名簿!$F161="転出","（転出）",""))</f>
        <v/>
      </c>
      <c r="D161" s="149"/>
      <c r="E161" s="61" t="str">
        <f aca="false">IF(OR($C161="",名簿!$F161="転出"),"",IF($C$2="学級ごと",$A161,$D161&amp;""))</f>
        <v/>
      </c>
      <c r="F161" s="150"/>
      <c r="G161" s="150"/>
      <c r="H161" s="150"/>
      <c r="I161" s="151"/>
      <c r="J161" s="41" t="str">
        <f aca="false">IF($E161="","",$E161&amp;"|"&amp;COUNTIF($E$5:$E161,$E161))</f>
        <v/>
      </c>
      <c r="K161" s="40" t="str">
        <f aca="false">IF($I161="","",LEN($I161))</f>
        <v/>
      </c>
      <c r="L161" s="13"/>
      <c r="M161" s="13"/>
      <c r="N161" s="13"/>
      <c r="O161" s="13"/>
      <c r="P161" s="152"/>
      <c r="Q161" s="149"/>
      <c r="R161" s="152"/>
      <c r="S161" s="152"/>
      <c r="T161" s="62" t="str">
        <f aca="false">IF(OR($C161="",R161=""),"",IF(R161/IF($R$2="",100,$R$2)&gt;=設定!$I$28,設定!$G$8,IF(R161/IF($R$2="",100,$R$2)&lt;設定!$I$29,設定!$G$10,設定!$G$9)))</f>
        <v/>
      </c>
      <c r="U161" s="62" t="str">
        <f aca="false">IF(OR($C161="",S161=""),"",IF(S161/IF($S$2="",100,$S$2)&gt;=設定!$I$28,設定!$G$8,IF(S161/IF($S$2="",100,$S$2)&lt;設定!$I$29,設定!$G$10,設定!$G$9)))</f>
        <v/>
      </c>
    </row>
    <row r="162" customFormat="false" ht="21" hidden="false" customHeight="true" outlineLevel="0" collapsed="false">
      <c r="A162" s="91" t="str">
        <f aca="false">IF(名簿!$D162="","",名簿!$B162&amp;"")</f>
        <v/>
      </c>
      <c r="B162" s="91" t="str">
        <f aca="false">IF(名簿!$D162="","",名簿!$C162)</f>
        <v/>
      </c>
      <c r="C162" s="59" t="str">
        <f aca="false">IF(名簿!$D162="","",名簿!$D162&amp;IF(名簿!$F162="転出","（転出）",""))</f>
        <v/>
      </c>
      <c r="D162" s="149"/>
      <c r="E162" s="61" t="str">
        <f aca="false">IF(OR($C162="",名簿!$F162="転出"),"",IF($C$2="学級ごと",$A162,$D162&amp;""))</f>
        <v/>
      </c>
      <c r="F162" s="150"/>
      <c r="G162" s="150"/>
      <c r="H162" s="150"/>
      <c r="I162" s="151"/>
      <c r="J162" s="41" t="str">
        <f aca="false">IF($E162="","",$E162&amp;"|"&amp;COUNTIF($E$5:$E162,$E162))</f>
        <v/>
      </c>
      <c r="K162" s="40" t="str">
        <f aca="false">IF($I162="","",LEN($I162))</f>
        <v/>
      </c>
      <c r="L162" s="13"/>
      <c r="M162" s="13"/>
      <c r="N162" s="13"/>
      <c r="O162" s="13"/>
      <c r="P162" s="152"/>
      <c r="Q162" s="149"/>
      <c r="R162" s="152"/>
      <c r="S162" s="152"/>
      <c r="T162" s="62" t="str">
        <f aca="false">IF(OR($C162="",R162=""),"",IF(R162/IF($R$2="",100,$R$2)&gt;=設定!$I$28,設定!$G$8,IF(R162/IF($R$2="",100,$R$2)&lt;設定!$I$29,設定!$G$10,設定!$G$9)))</f>
        <v/>
      </c>
      <c r="U162" s="62" t="str">
        <f aca="false">IF(OR($C162="",S162=""),"",IF(S162/IF($S$2="",100,$S$2)&gt;=設定!$I$28,設定!$G$8,IF(S162/IF($S$2="",100,$S$2)&lt;設定!$I$29,設定!$G$10,設定!$G$9)))</f>
        <v/>
      </c>
    </row>
    <row r="163" customFormat="false" ht="21" hidden="false" customHeight="true" outlineLevel="0" collapsed="false">
      <c r="A163" s="91" t="str">
        <f aca="false">IF(名簿!$D163="","",名簿!$B163&amp;"")</f>
        <v/>
      </c>
      <c r="B163" s="91" t="str">
        <f aca="false">IF(名簿!$D163="","",名簿!$C163)</f>
        <v/>
      </c>
      <c r="C163" s="59" t="str">
        <f aca="false">IF(名簿!$D163="","",名簿!$D163&amp;IF(名簿!$F163="転出","（転出）",""))</f>
        <v/>
      </c>
      <c r="D163" s="149"/>
      <c r="E163" s="61" t="str">
        <f aca="false">IF(OR($C163="",名簿!$F163="転出"),"",IF($C$2="学級ごと",$A163,$D163&amp;""))</f>
        <v/>
      </c>
      <c r="F163" s="150"/>
      <c r="G163" s="150"/>
      <c r="H163" s="150"/>
      <c r="I163" s="151"/>
      <c r="J163" s="41" t="str">
        <f aca="false">IF($E163="","",$E163&amp;"|"&amp;COUNTIF($E$5:$E163,$E163))</f>
        <v/>
      </c>
      <c r="K163" s="40" t="str">
        <f aca="false">IF($I163="","",LEN($I163))</f>
        <v/>
      </c>
      <c r="L163" s="13"/>
      <c r="M163" s="13"/>
      <c r="N163" s="13"/>
      <c r="O163" s="13"/>
      <c r="P163" s="152"/>
      <c r="Q163" s="149"/>
      <c r="R163" s="152"/>
      <c r="S163" s="152"/>
      <c r="T163" s="62" t="str">
        <f aca="false">IF(OR($C163="",R163=""),"",IF(R163/IF($R$2="",100,$R$2)&gt;=設定!$I$28,設定!$G$8,IF(R163/IF($R$2="",100,$R$2)&lt;設定!$I$29,設定!$G$10,設定!$G$9)))</f>
        <v/>
      </c>
      <c r="U163" s="62" t="str">
        <f aca="false">IF(OR($C163="",S163=""),"",IF(S163/IF($S$2="",100,$S$2)&gt;=設定!$I$28,設定!$G$8,IF(S163/IF($S$2="",100,$S$2)&lt;設定!$I$29,設定!$G$10,設定!$G$9)))</f>
        <v/>
      </c>
    </row>
    <row r="164" customFormat="false" ht="21" hidden="false" customHeight="true" outlineLevel="0" collapsed="false">
      <c r="A164" s="91" t="str">
        <f aca="false">IF(名簿!$D164="","",名簿!$B164&amp;"")</f>
        <v/>
      </c>
      <c r="B164" s="91" t="str">
        <f aca="false">IF(名簿!$D164="","",名簿!$C164)</f>
        <v/>
      </c>
      <c r="C164" s="59" t="str">
        <f aca="false">IF(名簿!$D164="","",名簿!$D164&amp;IF(名簿!$F164="転出","（転出）",""))</f>
        <v/>
      </c>
      <c r="D164" s="149"/>
      <c r="E164" s="61" t="str">
        <f aca="false">IF(OR($C164="",名簿!$F164="転出"),"",IF($C$2="学級ごと",$A164,$D164&amp;""))</f>
        <v/>
      </c>
      <c r="F164" s="150"/>
      <c r="G164" s="150"/>
      <c r="H164" s="150"/>
      <c r="I164" s="151"/>
      <c r="J164" s="41" t="str">
        <f aca="false">IF($E164="","",$E164&amp;"|"&amp;COUNTIF($E$5:$E164,$E164))</f>
        <v/>
      </c>
      <c r="K164" s="40" t="str">
        <f aca="false">IF($I164="","",LEN($I164))</f>
        <v/>
      </c>
      <c r="L164" s="13"/>
      <c r="M164" s="13"/>
      <c r="N164" s="13"/>
      <c r="O164" s="13"/>
      <c r="P164" s="152"/>
      <c r="Q164" s="149"/>
      <c r="R164" s="152"/>
      <c r="S164" s="152"/>
      <c r="T164" s="62" t="str">
        <f aca="false">IF(OR($C164="",R164=""),"",IF(R164/IF($R$2="",100,$R$2)&gt;=設定!$I$28,設定!$G$8,IF(R164/IF($R$2="",100,$R$2)&lt;設定!$I$29,設定!$G$10,設定!$G$9)))</f>
        <v/>
      </c>
      <c r="U164" s="62" t="str">
        <f aca="false">IF(OR($C164="",S164=""),"",IF(S164/IF($S$2="",100,$S$2)&gt;=設定!$I$28,設定!$G$8,IF(S164/IF($S$2="",100,$S$2)&lt;設定!$I$29,設定!$G$10,設定!$G$9)))</f>
        <v/>
      </c>
    </row>
  </sheetData>
  <sheetProtection sheet="true" formatColumns="false" formatRows="false" autoFilter="false"/>
  <autoFilter ref="A4:I164"/>
  <mergeCells count="5">
    <mergeCell ref="A1:I1"/>
    <mergeCell ref="R1:U1"/>
    <mergeCell ref="A2:B2"/>
    <mergeCell ref="D2:I2"/>
    <mergeCell ref="T2:U2"/>
  </mergeCells>
  <conditionalFormatting sqref="A5:C164">
    <cfRule type="expression" priority="2" aboveAverage="0" equalAverage="0" bottom="0" percent="0" rank="0" text="" dxfId="37">
      <formula>RIGHT($C5,4)="（転出）"</formula>
    </cfRule>
    <cfRule type="expression" priority="3" aboveAverage="0" equalAverage="0" bottom="0" percent="0" rank="0" text="" dxfId="8">
      <formula>$C5&lt;&gt;""</formula>
    </cfRule>
  </conditionalFormatting>
  <conditionalFormatting sqref="D5:D164">
    <cfRule type="expression" priority="4" aboveAverage="0" equalAverage="0" bottom="0" percent="0" rank="0" text="" dxfId="37">
      <formula>RIGHT($C5,4)="（転出）"</formula>
    </cfRule>
    <cfRule type="expression" priority="5" aboveAverage="0" equalAverage="0" bottom="0" percent="0" rank="0" text="" dxfId="38">
      <formula>AND($C5&lt;&gt;"",$C$2&lt;&gt;"習熟度別")</formula>
    </cfRule>
    <cfRule type="expression" priority="6" aboveAverage="0" equalAverage="0" bottom="0" percent="0" rank="0" text="" dxfId="39">
      <formula>AND($C5&lt;&gt;"",$E5="")</formula>
    </cfRule>
    <cfRule type="expression" priority="7" aboveAverage="0" equalAverage="0" bottom="0" percent="0" rank="0" text="" dxfId="39">
      <formula>AND($C5&lt;&gt;"",$D5&lt;&gt;"",COUNTIF(コース一覧,$D5)=0)</formula>
    </cfRule>
    <cfRule type="expression" priority="8" aboveAverage="0" equalAverage="0" bottom="0" percent="0" rank="0" text="" dxfId="40">
      <formula>AND($C5&lt;&gt;"",$C$2="習熟度別",$Q5&lt;&gt;"",$E5&lt;&gt;"",$Q5&lt;&gt;$E5)</formula>
    </cfRule>
    <cfRule type="expression" priority="9" aboveAverage="0" equalAverage="0" bottom="0" percent="0" rank="0" text="" dxfId="41">
      <formula>$C5&lt;&gt;""</formula>
    </cfRule>
  </conditionalFormatting>
  <conditionalFormatting sqref="E5:E164">
    <cfRule type="expression" priority="10" aboveAverage="0" equalAverage="0" bottom="0" percent="0" rank="0" text="" dxfId="37">
      <formula>RIGHT($C5,4)="（転出）"</formula>
    </cfRule>
    <cfRule type="expression" priority="11" aboveAverage="0" equalAverage="0" bottom="0" percent="0" rank="0" text="" dxfId="42">
      <formula>AND($E5&lt;&gt;"",$E5=$L$2)</formula>
    </cfRule>
    <cfRule type="expression" priority="12" aboveAverage="0" equalAverage="0" bottom="0" percent="0" rank="0" text="" dxfId="43">
      <formula>AND($E5&lt;&gt;"",$E5=$L$3)</formula>
    </cfRule>
    <cfRule type="expression" priority="13" aboveAverage="0" equalAverage="0" bottom="0" percent="0" rank="0" text="" dxfId="44">
      <formula>AND($E5&lt;&gt;"",$E5=$L$4)</formula>
    </cfRule>
    <cfRule type="expression" priority="14" aboveAverage="0" equalAverage="0" bottom="0" percent="0" rank="0" text="" dxfId="45">
      <formula>AND($E5&lt;&gt;"",$E5=$L$5)</formula>
    </cfRule>
    <cfRule type="expression" priority="15" aboveAverage="0" equalAverage="0" bottom="0" percent="0" rank="0" text="" dxfId="46">
      <formula>AND($E5&lt;&gt;"",$E5=$L$6)</formula>
    </cfRule>
    <cfRule type="expression" priority="16" aboveAverage="0" equalAverage="0" bottom="0" percent="0" rank="0" text="" dxfId="8">
      <formula>$C5&lt;&gt;""</formula>
    </cfRule>
  </conditionalFormatting>
  <conditionalFormatting sqref="F5:H164">
    <cfRule type="expression" priority="17" aboveAverage="0" equalAverage="0" bottom="0" percent="0" rank="0" text="" dxfId="37">
      <formula>RIGHT($C5,4)="（転出）"</formula>
    </cfRule>
    <cfRule type="expression" priority="18" aboveAverage="0" equalAverage="0" bottom="0" percent="0" rank="0" text="" dxfId="12">
      <formula>AND(F5&lt;&gt;"",F5=設定!$G$10)</formula>
    </cfRule>
    <cfRule type="expression" priority="19" aboveAverage="0" equalAverage="0" bottom="0" percent="0" rank="0" text="" dxfId="47">
      <formula>AND(F5&lt;&gt;"",F5=設定!$G$8)</formula>
    </cfRule>
    <cfRule type="expression" priority="20" aboveAverage="0" equalAverage="0" bottom="0" percent="0" rank="0" text="" dxfId="41">
      <formula>AND($C5&lt;&gt;"",$E5&lt;&gt;"")</formula>
    </cfRule>
    <cfRule type="expression" priority="21" aboveAverage="0" equalAverage="0" bottom="0" percent="0" rank="0" text="" dxfId="8">
      <formula>$C5&lt;&gt;""</formula>
    </cfRule>
  </conditionalFormatting>
  <conditionalFormatting sqref="I5:I164">
    <cfRule type="expression" priority="22" aboveAverage="0" equalAverage="0" bottom="0" percent="0" rank="0" text="" dxfId="37">
      <formula>RIGHT($C5,4)="（転出）"</formula>
    </cfRule>
    <cfRule type="expression" priority="23" aboveAverage="0" equalAverage="0" bottom="0" percent="0" rank="0" text="" dxfId="48">
      <formula>AND($C5&lt;&gt;"",$I5&lt;&gt;"",ISNUMBER(設定!$I$22),LEN($I5)&gt;設定!$I$22)</formula>
    </cfRule>
    <cfRule type="expression" priority="24" aboveAverage="0" equalAverage="0" bottom="0" percent="0" rank="0" text="" dxfId="41">
      <formula>AND($C5&lt;&gt;"",$E5&lt;&gt;"")</formula>
    </cfRule>
    <cfRule type="expression" priority="25" aboveAverage="0" equalAverage="0" bottom="0" percent="0" rank="0" text="" dxfId="8">
      <formula>$C5&lt;&gt;""</formula>
    </cfRule>
  </conditionalFormatting>
  <conditionalFormatting sqref="K5:K164">
    <cfRule type="expression" priority="26" aboveAverage="0" equalAverage="0" bottom="0" percent="0" rank="0" text="" dxfId="49">
      <formula>AND($K5&lt;&gt;"",ISNUMBER(設定!$I$22),$K5&gt;設定!$I$22)</formula>
    </cfRule>
    <cfRule type="expression" priority="27" aboveAverage="0" equalAverage="0" bottom="0" percent="0" rank="0" text="" dxfId="50">
      <formula>$C5&lt;&gt;""</formula>
    </cfRule>
  </conditionalFormatting>
  <conditionalFormatting sqref="P5:P164">
    <cfRule type="expression" priority="28" aboveAverage="0" equalAverage="0" bottom="0" percent="0" rank="0" text="" dxfId="41">
      <formula>$C5&lt;&gt;""</formula>
    </cfRule>
  </conditionalFormatting>
  <conditionalFormatting sqref="R5:R164">
    <cfRule type="expression" priority="29" aboveAverage="0" equalAverage="0" bottom="0" percent="0" rank="0" text="" dxfId="49">
      <formula>AND($C5&lt;&gt;"",$R5&lt;&gt;"",$R$2&lt;&gt;"",$R5&gt;$R$2)</formula>
    </cfRule>
    <cfRule type="expression" priority="30" aboveAverage="0" equalAverage="0" bottom="0" percent="0" rank="0" text="" dxfId="41">
      <formula>$C5&lt;&gt;""</formula>
    </cfRule>
  </conditionalFormatting>
  <conditionalFormatting sqref="S5:S164">
    <cfRule type="expression" priority="31" aboveAverage="0" equalAverage="0" bottom="0" percent="0" rank="0" text="" dxfId="49">
      <formula>AND($C5&lt;&gt;"",$S5&lt;&gt;"",$S$2&lt;&gt;"",$S5&gt;$S$2)</formula>
    </cfRule>
    <cfRule type="expression" priority="32" aboveAverage="0" equalAverage="0" bottom="0" percent="0" rank="0" text="" dxfId="41">
      <formula>$C5&lt;&gt;""</formula>
    </cfRule>
  </conditionalFormatting>
  <conditionalFormatting sqref="T5:U164">
    <cfRule type="expression" priority="33" aboveAverage="0" equalAverage="0" bottom="0" percent="0" rank="0" text="" dxfId="12">
      <formula>AND(T5&lt;&gt;"",T5=設定!$G$10)</formula>
    </cfRule>
    <cfRule type="expression" priority="34" aboveAverage="0" equalAverage="0" bottom="0" percent="0" rank="0" text="" dxfId="51">
      <formula>AND(T5&lt;&gt;"",T5=設定!$G$8)</formula>
    </cfRule>
    <cfRule type="expression" priority="35" aboveAverage="0" equalAverage="0" bottom="0" percent="0" rank="0" text="" dxfId="19">
      <formula>$C5&lt;&gt;""</formula>
    </cfRule>
  </conditionalFormatting>
  <conditionalFormatting sqref="Q5:Q164">
    <cfRule type="expression" priority="36" aboveAverage="0" equalAverage="0" bottom="0" percent="0" rank="0" text="" dxfId="40">
      <formula>AND($C5&lt;&gt;"",$Q5&lt;&gt;"",$E5&lt;&gt;"",$Q5&lt;&gt;$E5)</formula>
    </cfRule>
    <cfRule type="expression" priority="37" aboveAverage="0" equalAverage="0" bottom="0" percent="0" rank="0" text="" dxfId="41">
      <formula>$C5&lt;&gt;""</formula>
    </cfRule>
  </conditionalFormatting>
  <conditionalFormatting sqref="L2:N2">
    <cfRule type="expression" priority="38" aboveAverage="0" equalAverage="0" bottom="0" percent="0" rank="0" text="" dxfId="14">
      <formula>$L2=""</formula>
    </cfRule>
  </conditionalFormatting>
  <conditionalFormatting sqref="L3:N3">
    <cfRule type="expression" priority="39" aboveAverage="0" equalAverage="0" bottom="0" percent="0" rank="0" text="" dxfId="14">
      <formula>$L3=""</formula>
    </cfRule>
  </conditionalFormatting>
  <conditionalFormatting sqref="L4:N4">
    <cfRule type="expression" priority="40" aboveAverage="0" equalAverage="0" bottom="0" percent="0" rank="0" text="" dxfId="14">
      <formula>$L4=""</formula>
    </cfRule>
  </conditionalFormatting>
  <conditionalFormatting sqref="L5:N5">
    <cfRule type="expression" priority="41" aboveAverage="0" equalAverage="0" bottom="0" percent="0" rank="0" text="" dxfId="14">
      <formula>$L5=""</formula>
    </cfRule>
  </conditionalFormatting>
  <conditionalFormatting sqref="L6:N6">
    <cfRule type="expression" priority="42" aboveAverage="0" equalAverage="0" bottom="0" percent="0" rank="0" text="" dxfId="14">
      <formula>$L6=""</formula>
    </cfRule>
  </conditionalFormatting>
  <conditionalFormatting sqref="N7">
    <cfRule type="expression" priority="43" aboveAverage="0" equalAverage="0" bottom="0" percent="0" rank="0" text="" dxfId="52">
      <formula>$N$7=0</formula>
    </cfRule>
  </conditionalFormatting>
  <dataValidations count="6">
    <dataValidation allowBlank="false" error="一覧から選んでください。" errorStyle="stop" errorTitle="入力エラー" operator="between" showDropDown="false" showErrorMessage="true" showInputMessage="false" sqref="C2" type="list">
      <formula1>"習熟度別,学級ごと"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D5:D164" type="list">
      <formula1>コース一覧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Q5:Q164" type="list">
      <formula1>コース一覧</formula1>
      <formula2>0</formula2>
    </dataValidation>
    <dataValidation allowBlank="true" error="点数（数字）を入力してください。" errorStyle="stop" operator="between" showDropDown="false" showErrorMessage="true" showInputMessage="false" sqref="R2:S2 P5:P164 R5:S164" type="decimal">
      <formula1>0</formula1>
      <formula2>1000</formula2>
    </dataValidation>
    <dataValidation allowBlank="true" error="設定シートの評価記号（A/B/C）から選んでください。" errorStyle="stop" errorTitle="入力エラー" operator="between" showDropDown="false" showErrorMessage="true" showInputMessage="false" sqref="F5:H164" type="list">
      <formula1>評価記号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M2:M6" type="list">
      <formula1>担当者一覧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U16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5"/>
    <col collapsed="false" customWidth="true" hidden="false" outlineLevel="0" max="3" min="3" style="0" width="17"/>
    <col collapsed="false" customWidth="true" hidden="false" outlineLevel="0" max="4" min="4" style="0" width="11"/>
    <col collapsed="false" customWidth="true" hidden="false" outlineLevel="0" max="5" min="5" style="0" width="12"/>
    <col collapsed="false" customWidth="true" hidden="false" outlineLevel="0" max="8" min="6" style="0" width="6"/>
    <col collapsed="false" customWidth="true" hidden="false" outlineLevel="0" max="9" min="9" style="0" width="55"/>
    <col collapsed="false" customWidth="true" hidden="true" outlineLevel="0" max="10" min="10" style="0" width="3"/>
    <col collapsed="false" customWidth="true" hidden="false" outlineLevel="0" max="11" min="11" style="0" width="5"/>
    <col collapsed="false" customWidth="true" hidden="false" outlineLevel="0" max="12" min="12" style="0" width="14"/>
    <col collapsed="false" customWidth="true" hidden="false" outlineLevel="0" max="13" min="13" style="0" width="13"/>
    <col collapsed="false" customWidth="true" hidden="false" outlineLevel="0" max="14" min="14" style="0" width="7"/>
    <col collapsed="false" customWidth="true" hidden="false" outlineLevel="0" max="15" min="15" style="0" width="2"/>
    <col collapsed="false" customWidth="true" hidden="false" outlineLevel="0" max="16" min="16" style="0" width="9"/>
    <col collapsed="false" customWidth="true" hidden="false" outlineLevel="0" max="17" min="17" style="0" width="12"/>
    <col collapsed="false" customWidth="true" hidden="false" outlineLevel="0" max="19" min="18" style="0" width="7"/>
    <col collapsed="false" customWidth="true" hidden="false" outlineLevel="0" max="21" min="20" style="0" width="6"/>
  </cols>
  <sheetData>
    <row r="1" customFormat="false" ht="33.75" hidden="false" customHeight="true" outlineLevel="0" collapsed="false">
      <c r="A1" s="14" t="str">
        <f aca="false">"単元2　"&amp;IF(設定!$D$18="","（設定シートで単元名を入力）",設定!$D$18)&amp;IF(設定!$C$18="","","　／　"&amp;設定!$C$18&amp;IF(ISNUMBER(設定!$C$18),"学期",""))</f>
        <v>単元2　（設定シートで単元名を入力）</v>
      </c>
      <c r="B1" s="14"/>
      <c r="C1" s="14"/>
      <c r="D1" s="14"/>
      <c r="E1" s="14"/>
      <c r="F1" s="14"/>
      <c r="G1" s="14"/>
      <c r="H1" s="14"/>
      <c r="I1" s="14"/>
      <c r="J1" s="13"/>
      <c r="K1" s="13"/>
      <c r="L1" s="16" t="s">
        <v>153</v>
      </c>
      <c r="M1" s="16" t="s">
        <v>68</v>
      </c>
      <c r="N1" s="16" t="s">
        <v>128</v>
      </c>
      <c r="O1" s="13"/>
      <c r="P1" s="13"/>
      <c r="Q1" s="13"/>
      <c r="R1" s="131" t="s">
        <v>154</v>
      </c>
      <c r="S1" s="131"/>
      <c r="T1" s="131"/>
      <c r="U1" s="131"/>
    </row>
    <row r="2" customFormat="false" ht="25.5" hidden="false" customHeight="true" outlineLevel="0" collapsed="false">
      <c r="A2" s="16" t="s">
        <v>131</v>
      </c>
      <c r="B2" s="16"/>
      <c r="C2" s="138" t="s">
        <v>164</v>
      </c>
      <c r="D2" s="139" t="str">
        <f aca="false">IF($C$2="習熟度別","← D列「コース」で一人ずつ選びます",IF($C$2="前の単元と同じ","← 前の単元のコースをそのまま使います","← 在籍学級のまま分かれます"))</f>
        <v>← D列「コース」で一人ずつ選びます</v>
      </c>
      <c r="E2" s="139"/>
      <c r="F2" s="139"/>
      <c r="G2" s="139"/>
      <c r="H2" s="139"/>
      <c r="I2" s="139"/>
      <c r="J2" s="13"/>
      <c r="K2" s="13"/>
      <c r="L2" s="119" t="str">
        <f aca="false">IF($C$2="前の単元と同じ",単元01!$L2&amp;"",IF($C$2="学級ごと",IF(設定!$B$8="","",設定!$B$8&amp;""),IF(設定!$D$8="","",設定!$D$8&amp;"")))</f>
        <v>深める</v>
      </c>
      <c r="M2" s="39"/>
      <c r="N2" s="140" t="n">
        <f aca="false">IF($L2="","",COUNTIF($E$5:$E$164,$L2))</f>
        <v>0</v>
      </c>
      <c r="O2" s="13"/>
      <c r="P2" s="13"/>
      <c r="Q2" s="13"/>
      <c r="R2" s="141" t="n">
        <v>100</v>
      </c>
      <c r="S2" s="141" t="n">
        <v>100</v>
      </c>
      <c r="T2" s="142" t="s">
        <v>165</v>
      </c>
      <c r="U2" s="142"/>
    </row>
    <row r="3" customFormat="false" ht="17.15" hidden="false" customHeight="false" outlineLevel="0" collapsed="false">
      <c r="A3" s="4" t="s">
        <v>166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23" t="str">
        <f aca="false">IF($C$2="前の単元と同じ",単元01!$L3&amp;"",IF($C$2="学級ごと",IF(設定!$B$9="","",設定!$B$9&amp;""),IF(設定!$D$9="","",設定!$D$9&amp;"")))</f>
        <v>広げるA</v>
      </c>
      <c r="M3" s="39"/>
      <c r="N3" s="140" t="n">
        <f aca="false">IF($L3="","",COUNTIF($E$5:$E$164,$L3))</f>
        <v>0</v>
      </c>
      <c r="O3" s="13"/>
      <c r="P3" s="143" t="s">
        <v>167</v>
      </c>
      <c r="Q3" s="13"/>
      <c r="R3" s="144" t="s">
        <v>168</v>
      </c>
      <c r="S3" s="13"/>
      <c r="T3" s="13"/>
      <c r="U3" s="13"/>
    </row>
    <row r="4" customFormat="false" ht="30" hidden="false" customHeight="true" outlineLevel="0" collapsed="false">
      <c r="A4" s="16" t="s">
        <v>121</v>
      </c>
      <c r="B4" s="16" t="s">
        <v>122</v>
      </c>
      <c r="C4" s="16" t="s">
        <v>123</v>
      </c>
      <c r="D4" s="145" t="s">
        <v>153</v>
      </c>
      <c r="E4" s="16" t="s">
        <v>169</v>
      </c>
      <c r="F4" s="146" t="str">
        <f aca="false">設定!$I$8</f>
        <v>知</v>
      </c>
      <c r="G4" s="146" t="str">
        <f aca="false">設定!$I$9</f>
        <v>思</v>
      </c>
      <c r="H4" s="146" t="str">
        <f aca="false">設定!$I$10</f>
        <v>態</v>
      </c>
      <c r="I4" s="146" t="s">
        <v>107</v>
      </c>
      <c r="J4" s="16"/>
      <c r="K4" s="110" t="s">
        <v>170</v>
      </c>
      <c r="L4" s="124" t="str">
        <f aca="false">IF($C$2="前の単元と同じ",単元01!$L4&amp;"",IF($C$2="学級ごと",IF(設定!$B$10="","",設定!$B$10&amp;""),IF(設定!$D$10="","",設定!$D$10&amp;"")))</f>
        <v>広げるB</v>
      </c>
      <c r="M4" s="39"/>
      <c r="N4" s="140" t="n">
        <f aca="false">IF($L4="","",COUNTIF($E$5:$E$164,$L4))</f>
        <v>0</v>
      </c>
      <c r="O4" s="13"/>
      <c r="P4" s="147" t="s">
        <v>171</v>
      </c>
      <c r="Q4" s="147" t="s">
        <v>172</v>
      </c>
      <c r="R4" s="131" t="str">
        <f aca="false">設定!$I$8&amp;"得点"</f>
        <v>知得点</v>
      </c>
      <c r="S4" s="131" t="str">
        <f aca="false">設定!$I$9&amp;"得点"</f>
        <v>思得点</v>
      </c>
      <c r="T4" s="148" t="str">
        <f aca="false">設定!$I$8&amp;"目安"</f>
        <v>知目安</v>
      </c>
      <c r="U4" s="148" t="str">
        <f aca="false">設定!$I$9&amp;"目安"</f>
        <v>思目安</v>
      </c>
    </row>
    <row r="5" customFormat="false" ht="21" hidden="false" customHeight="true" outlineLevel="0" collapsed="false">
      <c r="A5" s="91" t="str">
        <f aca="false">IF(名簿!$D5="","",名簿!$B5&amp;"")</f>
        <v/>
      </c>
      <c r="B5" s="91" t="str">
        <f aca="false">IF(名簿!$D5="","",名簿!$C5)</f>
        <v/>
      </c>
      <c r="C5" s="59" t="str">
        <f aca="false">IF(名簿!$D5="","",名簿!$D5&amp;IF(名簿!$F5="転出","（転出）",""))</f>
        <v/>
      </c>
      <c r="D5" s="149"/>
      <c r="E5" s="61" t="str">
        <f aca="false">IF(OR($C5="",名簿!$F5="転出"),"",IF($C$2="学級ごと",$A5,IF($C$2="前の単元と同じ",単元01!$E5&amp;"",$D5&amp;"")))</f>
        <v/>
      </c>
      <c r="F5" s="150"/>
      <c r="G5" s="150"/>
      <c r="H5" s="150"/>
      <c r="I5" s="151"/>
      <c r="J5" s="41" t="str">
        <f aca="false">IF($E5="","",$E5&amp;"|"&amp;COUNTIF($E$5:$E5,$E5))</f>
        <v/>
      </c>
      <c r="K5" s="40" t="str">
        <f aca="false">IF($I5="","",LEN($I5))</f>
        <v/>
      </c>
      <c r="L5" s="125" t="str">
        <f aca="false">IF($C$2="前の単元と同じ",単元01!$L5&amp;"",IF($C$2="学級ごと",IF(設定!$B$11="","",設定!$B$11&amp;""),IF(設定!$D$11="","",設定!$D$11&amp;"")))</f>
        <v>かためる</v>
      </c>
      <c r="M5" s="39"/>
      <c r="N5" s="140" t="n">
        <f aca="false">IF($L5="","",COUNTIF($E$5:$E$164,$L5))</f>
        <v>0</v>
      </c>
      <c r="O5" s="13"/>
      <c r="P5" s="152"/>
      <c r="Q5" s="149"/>
      <c r="R5" s="152"/>
      <c r="S5" s="152"/>
      <c r="T5" s="62" t="str">
        <f aca="false">IF(OR($C5="",R5=""),"",IF(R5/IF($R$2="",100,$R$2)&gt;=設定!$I$28,設定!$G$8,IF(R5/IF($R$2="",100,$R$2)&lt;設定!$I$29,設定!$G$10,設定!$G$9)))</f>
        <v/>
      </c>
      <c r="U5" s="62" t="str">
        <f aca="false">IF(OR($C5="",S5=""),"",IF(S5/IF($S$2="",100,$S$2)&gt;=設定!$I$28,設定!$G$8,IF(S5/IF($S$2="",100,$S$2)&lt;設定!$I$29,設定!$G$10,設定!$G$9)))</f>
        <v/>
      </c>
    </row>
    <row r="6" customFormat="false" ht="21" hidden="false" customHeight="true" outlineLevel="0" collapsed="false">
      <c r="A6" s="91" t="str">
        <f aca="false">IF(名簿!$D6="","",名簿!$B6&amp;"")</f>
        <v/>
      </c>
      <c r="B6" s="91" t="str">
        <f aca="false">IF(名簿!$D6="","",名簿!$C6)</f>
        <v/>
      </c>
      <c r="C6" s="59" t="str">
        <f aca="false">IF(名簿!$D6="","",名簿!$D6&amp;IF(名簿!$F6="転出","（転出）",""))</f>
        <v/>
      </c>
      <c r="D6" s="149"/>
      <c r="E6" s="61" t="str">
        <f aca="false">IF(OR($C6="",名簿!$F6="転出"),"",IF($C$2="学級ごと",$A6,IF($C$2="前の単元と同じ",単元01!$E6&amp;"",$D6&amp;"")))</f>
        <v/>
      </c>
      <c r="F6" s="150"/>
      <c r="G6" s="150"/>
      <c r="H6" s="150"/>
      <c r="I6" s="151"/>
      <c r="J6" s="41" t="str">
        <f aca="false">IF($E6="","",$E6&amp;"|"&amp;COUNTIF($E$5:$E6,$E6))</f>
        <v/>
      </c>
      <c r="K6" s="40" t="str">
        <f aca="false">IF($I6="","",LEN($I6))</f>
        <v/>
      </c>
      <c r="L6" s="126" t="str">
        <f aca="false">IF($C$2="前の単元と同じ",単元01!$L6&amp;"",IF($C$2="学級ごと",IF(設定!$B$12="","",設定!$B$12&amp;""),IF(設定!$D$12="","",設定!$D$12&amp;"")))</f>
        <v/>
      </c>
      <c r="M6" s="39"/>
      <c r="N6" s="153" t="str">
        <f aca="false">IF($L6="","",COUNTIF($E$5:$E$164,$L6))</f>
        <v/>
      </c>
      <c r="O6" s="13"/>
      <c r="P6" s="152"/>
      <c r="Q6" s="149"/>
      <c r="R6" s="152"/>
      <c r="S6" s="152"/>
      <c r="T6" s="62" t="str">
        <f aca="false">IF(OR($C6="",R6=""),"",IF(R6/IF($R$2="",100,$R$2)&gt;=設定!$I$28,設定!$G$8,IF(R6/IF($R$2="",100,$R$2)&lt;設定!$I$29,設定!$G$10,設定!$G$9)))</f>
        <v/>
      </c>
      <c r="U6" s="62" t="str">
        <f aca="false">IF(OR($C6="",S6=""),"",IF(S6/IF($S$2="",100,$S$2)&gt;=設定!$I$28,設定!$G$8,IF(S6/IF($S$2="",100,$S$2)&lt;設定!$I$29,設定!$G$10,設定!$G$9)))</f>
        <v/>
      </c>
    </row>
    <row r="7" customFormat="false" ht="21" hidden="false" customHeight="true" outlineLevel="0" collapsed="false">
      <c r="A7" s="91" t="str">
        <f aca="false">IF(名簿!$D7="","",名簿!$B7&amp;"")</f>
        <v/>
      </c>
      <c r="B7" s="91" t="str">
        <f aca="false">IF(名簿!$D7="","",名簿!$C7)</f>
        <v/>
      </c>
      <c r="C7" s="59" t="str">
        <f aca="false">IF(名簿!$D7="","",名簿!$D7&amp;IF(名簿!$F7="転出","（転出）",""))</f>
        <v/>
      </c>
      <c r="D7" s="149"/>
      <c r="E7" s="61" t="str">
        <f aca="false">IF(OR($C7="",名簿!$F7="転出"),"",IF($C$2="学級ごと",$A7,IF($C$2="前の単元と同じ",単元01!$E7&amp;"",$D7&amp;"")))</f>
        <v/>
      </c>
      <c r="F7" s="150"/>
      <c r="G7" s="150"/>
      <c r="H7" s="150"/>
      <c r="I7" s="151"/>
      <c r="J7" s="41" t="str">
        <f aca="false">IF($E7="","",$E7&amp;"|"&amp;COUNTIF($E$5:$E7,$E7))</f>
        <v/>
      </c>
      <c r="K7" s="40" t="str">
        <f aca="false">IF($I7="","",LEN($I7))</f>
        <v/>
      </c>
      <c r="L7" s="154" t="s">
        <v>133</v>
      </c>
      <c r="M7" s="155" t="s">
        <v>173</v>
      </c>
      <c r="N7" s="156" t="n">
        <f aca="false">SUMPRODUCT(($C$5:$C$164&lt;&gt;"")*(名簿!$F$5:$F$164&lt;&gt;"転出")*($E$5:$E$164=""))</f>
        <v>0</v>
      </c>
      <c r="O7" s="13"/>
      <c r="P7" s="152"/>
      <c r="Q7" s="149"/>
      <c r="R7" s="152"/>
      <c r="S7" s="152"/>
      <c r="T7" s="62" t="str">
        <f aca="false">IF(OR($C7="",R7=""),"",IF(R7/IF($R$2="",100,$R$2)&gt;=設定!$I$28,設定!$G$8,IF(R7/IF($R$2="",100,$R$2)&lt;設定!$I$29,設定!$G$10,設定!$G$9)))</f>
        <v/>
      </c>
      <c r="U7" s="62" t="str">
        <f aca="false">IF(OR($C7="",S7=""),"",IF(S7/IF($S$2="",100,$S$2)&gt;=設定!$I$28,設定!$G$8,IF(S7/IF($S$2="",100,$S$2)&lt;設定!$I$29,設定!$G$10,設定!$G$9)))</f>
        <v/>
      </c>
    </row>
    <row r="8" customFormat="false" ht="21" hidden="false" customHeight="true" outlineLevel="0" collapsed="false">
      <c r="A8" s="91" t="str">
        <f aca="false">IF(名簿!$D8="","",名簿!$B8&amp;"")</f>
        <v/>
      </c>
      <c r="B8" s="91" t="str">
        <f aca="false">IF(名簿!$D8="","",名簿!$C8)</f>
        <v/>
      </c>
      <c r="C8" s="59" t="str">
        <f aca="false">IF(名簿!$D8="","",名簿!$D8&amp;IF(名簿!$F8="転出","（転出）",""))</f>
        <v/>
      </c>
      <c r="D8" s="149"/>
      <c r="E8" s="61" t="str">
        <f aca="false">IF(OR($C8="",名簿!$F8="転出"),"",IF($C$2="学級ごと",$A8,IF($C$2="前の単元と同じ",単元01!$E8&amp;"",$D8&amp;"")))</f>
        <v/>
      </c>
      <c r="F8" s="150"/>
      <c r="G8" s="150"/>
      <c r="H8" s="150"/>
      <c r="I8" s="151"/>
      <c r="J8" s="41" t="str">
        <f aca="false">IF($E8="","",$E8&amp;"|"&amp;COUNTIF($E$5:$E8,$E8))</f>
        <v/>
      </c>
      <c r="K8" s="40" t="str">
        <f aca="false">IF($I8="","",LEN($I8))</f>
        <v/>
      </c>
      <c r="L8" s="157" t="s">
        <v>174</v>
      </c>
      <c r="M8" s="158" t="s">
        <v>175</v>
      </c>
      <c r="N8" s="159" t="n">
        <f aca="false">SUMPRODUCT(($E$5:$E$164&lt;&gt;"")*(($F$5:$F$164="")+($G$5:$G$164="")+($H$5:$H$164="")&gt;0))</f>
        <v>0</v>
      </c>
      <c r="O8" s="13"/>
      <c r="P8" s="152"/>
      <c r="Q8" s="149"/>
      <c r="R8" s="152"/>
      <c r="S8" s="152"/>
      <c r="T8" s="62" t="str">
        <f aca="false">IF(OR($C8="",R8=""),"",IF(R8/IF($R$2="",100,$R$2)&gt;=設定!$I$28,設定!$G$8,IF(R8/IF($R$2="",100,$R$2)&lt;設定!$I$29,設定!$G$10,設定!$G$9)))</f>
        <v/>
      </c>
      <c r="U8" s="62" t="str">
        <f aca="false">IF(OR($C8="",S8=""),"",IF(S8/IF($S$2="",100,$S$2)&gt;=設定!$I$28,設定!$G$8,IF(S8/IF($S$2="",100,$S$2)&lt;設定!$I$29,設定!$G$10,設定!$G$9)))</f>
        <v/>
      </c>
    </row>
    <row r="9" customFormat="false" ht="21" hidden="false" customHeight="true" outlineLevel="0" collapsed="false">
      <c r="A9" s="91" t="str">
        <f aca="false">IF(名簿!$D9="","",名簿!$B9&amp;"")</f>
        <v/>
      </c>
      <c r="B9" s="91" t="str">
        <f aca="false">IF(名簿!$D9="","",名簿!$C9)</f>
        <v/>
      </c>
      <c r="C9" s="59" t="str">
        <f aca="false">IF(名簿!$D9="","",名簿!$D9&amp;IF(名簿!$F9="転出","（転出）",""))</f>
        <v/>
      </c>
      <c r="D9" s="149"/>
      <c r="E9" s="61" t="str">
        <f aca="false">IF(OR($C9="",名簿!$F9="転出"),"",IF($C$2="学級ごと",$A9,IF($C$2="前の単元と同じ",単元01!$E9&amp;"",$D9&amp;"")))</f>
        <v/>
      </c>
      <c r="F9" s="150"/>
      <c r="G9" s="150"/>
      <c r="H9" s="150"/>
      <c r="I9" s="151"/>
      <c r="J9" s="41" t="str">
        <f aca="false">IF($E9="","",$E9&amp;"|"&amp;COUNTIF($E$5:$E9,$E9))</f>
        <v/>
      </c>
      <c r="K9" s="40" t="str">
        <f aca="false">IF($I9="","",LEN($I9))</f>
        <v/>
      </c>
      <c r="L9" s="13"/>
      <c r="M9" s="13"/>
      <c r="N9" s="13"/>
      <c r="O9" s="13"/>
      <c r="P9" s="152"/>
      <c r="Q9" s="149"/>
      <c r="R9" s="152"/>
      <c r="S9" s="152"/>
      <c r="T9" s="62" t="str">
        <f aca="false">IF(OR($C9="",R9=""),"",IF(R9/IF($R$2="",100,$R$2)&gt;=設定!$I$28,設定!$G$8,IF(R9/IF($R$2="",100,$R$2)&lt;設定!$I$29,設定!$G$10,設定!$G$9)))</f>
        <v/>
      </c>
      <c r="U9" s="62" t="str">
        <f aca="false">IF(OR($C9="",S9=""),"",IF(S9/IF($S$2="",100,$S$2)&gt;=設定!$I$28,設定!$G$8,IF(S9/IF($S$2="",100,$S$2)&lt;設定!$I$29,設定!$G$10,設定!$G$9)))</f>
        <v/>
      </c>
    </row>
    <row r="10" customFormat="false" ht="21" hidden="false" customHeight="true" outlineLevel="0" collapsed="false">
      <c r="A10" s="91" t="str">
        <f aca="false">IF(名簿!$D10="","",名簿!$B10&amp;"")</f>
        <v/>
      </c>
      <c r="B10" s="91" t="str">
        <f aca="false">IF(名簿!$D10="","",名簿!$C10)</f>
        <v/>
      </c>
      <c r="C10" s="59" t="str">
        <f aca="false">IF(名簿!$D10="","",名簿!$D10&amp;IF(名簿!$F10="転出","（転出）",""))</f>
        <v/>
      </c>
      <c r="D10" s="149"/>
      <c r="E10" s="61" t="str">
        <f aca="false">IF(OR($C10="",名簿!$F10="転出"),"",IF($C$2="学級ごと",$A10,IF($C$2="前の単元と同じ",単元01!$E10&amp;"",$D10&amp;"")))</f>
        <v/>
      </c>
      <c r="F10" s="150"/>
      <c r="G10" s="150"/>
      <c r="H10" s="150"/>
      <c r="I10" s="151"/>
      <c r="J10" s="41" t="str">
        <f aca="false">IF($E10="","",$E10&amp;"|"&amp;COUNTIF($E$5:$E10,$E10))</f>
        <v/>
      </c>
      <c r="K10" s="40" t="str">
        <f aca="false">IF($I10="","",LEN($I10))</f>
        <v/>
      </c>
      <c r="L10" s="13"/>
      <c r="M10" s="13"/>
      <c r="N10" s="13"/>
      <c r="O10" s="13"/>
      <c r="P10" s="152"/>
      <c r="Q10" s="149"/>
      <c r="R10" s="152"/>
      <c r="S10" s="152"/>
      <c r="T10" s="62" t="str">
        <f aca="false">IF(OR($C10="",R10=""),"",IF(R10/IF($R$2="",100,$R$2)&gt;=設定!$I$28,設定!$G$8,IF(R10/IF($R$2="",100,$R$2)&lt;設定!$I$29,設定!$G$10,設定!$G$9)))</f>
        <v/>
      </c>
      <c r="U10" s="62" t="str">
        <f aca="false">IF(OR($C10="",S10=""),"",IF(S10/IF($S$2="",100,$S$2)&gt;=設定!$I$28,設定!$G$8,IF(S10/IF($S$2="",100,$S$2)&lt;設定!$I$29,設定!$G$10,設定!$G$9)))</f>
        <v/>
      </c>
    </row>
    <row r="11" customFormat="false" ht="21" hidden="false" customHeight="true" outlineLevel="0" collapsed="false">
      <c r="A11" s="91" t="str">
        <f aca="false">IF(名簿!$D11="","",名簿!$B11&amp;"")</f>
        <v/>
      </c>
      <c r="B11" s="91" t="str">
        <f aca="false">IF(名簿!$D11="","",名簿!$C11)</f>
        <v/>
      </c>
      <c r="C11" s="59" t="str">
        <f aca="false">IF(名簿!$D11="","",名簿!$D11&amp;IF(名簿!$F11="転出","（転出）",""))</f>
        <v/>
      </c>
      <c r="D11" s="149"/>
      <c r="E11" s="61" t="str">
        <f aca="false">IF(OR($C11="",名簿!$F11="転出"),"",IF($C$2="学級ごと",$A11,IF($C$2="前の単元と同じ",単元01!$E11&amp;"",$D11&amp;"")))</f>
        <v/>
      </c>
      <c r="F11" s="150"/>
      <c r="G11" s="150"/>
      <c r="H11" s="150"/>
      <c r="I11" s="151"/>
      <c r="J11" s="41" t="str">
        <f aca="false">IF($E11="","",$E11&amp;"|"&amp;COUNTIF($E$5:$E11,$E11))</f>
        <v/>
      </c>
      <c r="K11" s="40" t="str">
        <f aca="false">IF($I11="","",LEN($I11))</f>
        <v/>
      </c>
      <c r="L11" s="13"/>
      <c r="M11" s="13"/>
      <c r="N11" s="13"/>
      <c r="O11" s="13"/>
      <c r="P11" s="152"/>
      <c r="Q11" s="149"/>
      <c r="R11" s="152"/>
      <c r="S11" s="152"/>
      <c r="T11" s="62" t="str">
        <f aca="false">IF(OR($C11="",R11=""),"",IF(R11/IF($R$2="",100,$R$2)&gt;=設定!$I$28,設定!$G$8,IF(R11/IF($R$2="",100,$R$2)&lt;設定!$I$29,設定!$G$10,設定!$G$9)))</f>
        <v/>
      </c>
      <c r="U11" s="62" t="str">
        <f aca="false">IF(OR($C11="",S11=""),"",IF(S11/IF($S$2="",100,$S$2)&gt;=設定!$I$28,設定!$G$8,IF(S11/IF($S$2="",100,$S$2)&lt;設定!$I$29,設定!$G$10,設定!$G$9)))</f>
        <v/>
      </c>
    </row>
    <row r="12" customFormat="false" ht="21" hidden="false" customHeight="true" outlineLevel="0" collapsed="false">
      <c r="A12" s="91" t="str">
        <f aca="false">IF(名簿!$D12="","",名簿!$B12&amp;"")</f>
        <v/>
      </c>
      <c r="B12" s="91" t="str">
        <f aca="false">IF(名簿!$D12="","",名簿!$C12)</f>
        <v/>
      </c>
      <c r="C12" s="59" t="str">
        <f aca="false">IF(名簿!$D12="","",名簿!$D12&amp;IF(名簿!$F12="転出","（転出）",""))</f>
        <v/>
      </c>
      <c r="D12" s="149"/>
      <c r="E12" s="61" t="str">
        <f aca="false">IF(OR($C12="",名簿!$F12="転出"),"",IF($C$2="学級ごと",$A12,IF($C$2="前の単元と同じ",単元01!$E12&amp;"",$D12&amp;"")))</f>
        <v/>
      </c>
      <c r="F12" s="150"/>
      <c r="G12" s="150"/>
      <c r="H12" s="150"/>
      <c r="I12" s="151"/>
      <c r="J12" s="41" t="str">
        <f aca="false">IF($E12="","",$E12&amp;"|"&amp;COUNTIF($E$5:$E12,$E12))</f>
        <v/>
      </c>
      <c r="K12" s="40" t="str">
        <f aca="false">IF($I12="","",LEN($I12))</f>
        <v/>
      </c>
      <c r="L12" s="13"/>
      <c r="M12" s="13"/>
      <c r="N12" s="13"/>
      <c r="O12" s="13"/>
      <c r="P12" s="152"/>
      <c r="Q12" s="149"/>
      <c r="R12" s="152"/>
      <c r="S12" s="152"/>
      <c r="T12" s="62" t="str">
        <f aca="false">IF(OR($C12="",R12=""),"",IF(R12/IF($R$2="",100,$R$2)&gt;=設定!$I$28,設定!$G$8,IF(R12/IF($R$2="",100,$R$2)&lt;設定!$I$29,設定!$G$10,設定!$G$9)))</f>
        <v/>
      </c>
      <c r="U12" s="62" t="str">
        <f aca="false">IF(OR($C12="",S12=""),"",IF(S12/IF($S$2="",100,$S$2)&gt;=設定!$I$28,設定!$G$8,IF(S12/IF($S$2="",100,$S$2)&lt;設定!$I$29,設定!$G$10,設定!$G$9)))</f>
        <v/>
      </c>
    </row>
    <row r="13" customFormat="false" ht="21" hidden="false" customHeight="true" outlineLevel="0" collapsed="false">
      <c r="A13" s="91" t="str">
        <f aca="false">IF(名簿!$D13="","",名簿!$B13&amp;"")</f>
        <v/>
      </c>
      <c r="B13" s="91" t="str">
        <f aca="false">IF(名簿!$D13="","",名簿!$C13)</f>
        <v/>
      </c>
      <c r="C13" s="59" t="str">
        <f aca="false">IF(名簿!$D13="","",名簿!$D13&amp;IF(名簿!$F13="転出","（転出）",""))</f>
        <v/>
      </c>
      <c r="D13" s="149"/>
      <c r="E13" s="61" t="str">
        <f aca="false">IF(OR($C13="",名簿!$F13="転出"),"",IF($C$2="学級ごと",$A13,IF($C$2="前の単元と同じ",単元01!$E13&amp;"",$D13&amp;"")))</f>
        <v/>
      </c>
      <c r="F13" s="150"/>
      <c r="G13" s="150"/>
      <c r="H13" s="150"/>
      <c r="I13" s="151"/>
      <c r="J13" s="41" t="str">
        <f aca="false">IF($E13="","",$E13&amp;"|"&amp;COUNTIF($E$5:$E13,$E13))</f>
        <v/>
      </c>
      <c r="K13" s="40" t="str">
        <f aca="false">IF($I13="","",LEN($I13))</f>
        <v/>
      </c>
      <c r="L13" s="13"/>
      <c r="M13" s="13"/>
      <c r="N13" s="13"/>
      <c r="O13" s="13"/>
      <c r="P13" s="152"/>
      <c r="Q13" s="149"/>
      <c r="R13" s="152"/>
      <c r="S13" s="152"/>
      <c r="T13" s="62" t="str">
        <f aca="false">IF(OR($C13="",R13=""),"",IF(R13/IF($R$2="",100,$R$2)&gt;=設定!$I$28,設定!$G$8,IF(R13/IF($R$2="",100,$R$2)&lt;設定!$I$29,設定!$G$10,設定!$G$9)))</f>
        <v/>
      </c>
      <c r="U13" s="62" t="str">
        <f aca="false">IF(OR($C13="",S13=""),"",IF(S13/IF($S$2="",100,$S$2)&gt;=設定!$I$28,設定!$G$8,IF(S13/IF($S$2="",100,$S$2)&lt;設定!$I$29,設定!$G$10,設定!$G$9)))</f>
        <v/>
      </c>
    </row>
    <row r="14" customFormat="false" ht="21" hidden="false" customHeight="true" outlineLevel="0" collapsed="false">
      <c r="A14" s="91" t="str">
        <f aca="false">IF(名簿!$D14="","",名簿!$B14&amp;"")</f>
        <v/>
      </c>
      <c r="B14" s="91" t="str">
        <f aca="false">IF(名簿!$D14="","",名簿!$C14)</f>
        <v/>
      </c>
      <c r="C14" s="59" t="str">
        <f aca="false">IF(名簿!$D14="","",名簿!$D14&amp;IF(名簿!$F14="転出","（転出）",""))</f>
        <v/>
      </c>
      <c r="D14" s="149"/>
      <c r="E14" s="61" t="str">
        <f aca="false">IF(OR($C14="",名簿!$F14="転出"),"",IF($C$2="学級ごと",$A14,IF($C$2="前の単元と同じ",単元01!$E14&amp;"",$D14&amp;"")))</f>
        <v/>
      </c>
      <c r="F14" s="150"/>
      <c r="G14" s="150"/>
      <c r="H14" s="150"/>
      <c r="I14" s="151"/>
      <c r="J14" s="41" t="str">
        <f aca="false">IF($E14="","",$E14&amp;"|"&amp;COUNTIF($E$5:$E14,$E14))</f>
        <v/>
      </c>
      <c r="K14" s="40" t="str">
        <f aca="false">IF($I14="","",LEN($I14))</f>
        <v/>
      </c>
      <c r="L14" s="13"/>
      <c r="M14" s="13"/>
      <c r="N14" s="13"/>
      <c r="O14" s="13"/>
      <c r="P14" s="152"/>
      <c r="Q14" s="149"/>
      <c r="R14" s="152"/>
      <c r="S14" s="152"/>
      <c r="T14" s="62" t="str">
        <f aca="false">IF(OR($C14="",R14=""),"",IF(R14/IF($R$2="",100,$R$2)&gt;=設定!$I$28,設定!$G$8,IF(R14/IF($R$2="",100,$R$2)&lt;設定!$I$29,設定!$G$10,設定!$G$9)))</f>
        <v/>
      </c>
      <c r="U14" s="62" t="str">
        <f aca="false">IF(OR($C14="",S14=""),"",IF(S14/IF($S$2="",100,$S$2)&gt;=設定!$I$28,設定!$G$8,IF(S14/IF($S$2="",100,$S$2)&lt;設定!$I$29,設定!$G$10,設定!$G$9)))</f>
        <v/>
      </c>
    </row>
    <row r="15" customFormat="false" ht="21" hidden="false" customHeight="true" outlineLevel="0" collapsed="false">
      <c r="A15" s="91" t="str">
        <f aca="false">IF(名簿!$D15="","",名簿!$B15&amp;"")</f>
        <v/>
      </c>
      <c r="B15" s="91" t="str">
        <f aca="false">IF(名簿!$D15="","",名簿!$C15)</f>
        <v/>
      </c>
      <c r="C15" s="59" t="str">
        <f aca="false">IF(名簿!$D15="","",名簿!$D15&amp;IF(名簿!$F15="転出","（転出）",""))</f>
        <v/>
      </c>
      <c r="D15" s="149"/>
      <c r="E15" s="61" t="str">
        <f aca="false">IF(OR($C15="",名簿!$F15="転出"),"",IF($C$2="学級ごと",$A15,IF($C$2="前の単元と同じ",単元01!$E15&amp;"",$D15&amp;"")))</f>
        <v/>
      </c>
      <c r="F15" s="150"/>
      <c r="G15" s="150"/>
      <c r="H15" s="150"/>
      <c r="I15" s="151"/>
      <c r="J15" s="41" t="str">
        <f aca="false">IF($E15="","",$E15&amp;"|"&amp;COUNTIF($E$5:$E15,$E15))</f>
        <v/>
      </c>
      <c r="K15" s="40" t="str">
        <f aca="false">IF($I15="","",LEN($I15))</f>
        <v/>
      </c>
      <c r="L15" s="13"/>
      <c r="M15" s="13"/>
      <c r="N15" s="13"/>
      <c r="O15" s="13"/>
      <c r="P15" s="152"/>
      <c r="Q15" s="149"/>
      <c r="R15" s="152"/>
      <c r="S15" s="152"/>
      <c r="T15" s="62" t="str">
        <f aca="false">IF(OR($C15="",R15=""),"",IF(R15/IF($R$2="",100,$R$2)&gt;=設定!$I$28,設定!$G$8,IF(R15/IF($R$2="",100,$R$2)&lt;設定!$I$29,設定!$G$10,設定!$G$9)))</f>
        <v/>
      </c>
      <c r="U15" s="62" t="str">
        <f aca="false">IF(OR($C15="",S15=""),"",IF(S15/IF($S$2="",100,$S$2)&gt;=設定!$I$28,設定!$G$8,IF(S15/IF($S$2="",100,$S$2)&lt;設定!$I$29,設定!$G$10,設定!$G$9)))</f>
        <v/>
      </c>
    </row>
    <row r="16" customFormat="false" ht="21" hidden="false" customHeight="true" outlineLevel="0" collapsed="false">
      <c r="A16" s="91" t="str">
        <f aca="false">IF(名簿!$D16="","",名簿!$B16&amp;"")</f>
        <v/>
      </c>
      <c r="B16" s="91" t="str">
        <f aca="false">IF(名簿!$D16="","",名簿!$C16)</f>
        <v/>
      </c>
      <c r="C16" s="59" t="str">
        <f aca="false">IF(名簿!$D16="","",名簿!$D16&amp;IF(名簿!$F16="転出","（転出）",""))</f>
        <v/>
      </c>
      <c r="D16" s="149"/>
      <c r="E16" s="61" t="str">
        <f aca="false">IF(OR($C16="",名簿!$F16="転出"),"",IF($C$2="学級ごと",$A16,IF($C$2="前の単元と同じ",単元01!$E16&amp;"",$D16&amp;"")))</f>
        <v/>
      </c>
      <c r="F16" s="150"/>
      <c r="G16" s="150"/>
      <c r="H16" s="150"/>
      <c r="I16" s="151"/>
      <c r="J16" s="41" t="str">
        <f aca="false">IF($E16="","",$E16&amp;"|"&amp;COUNTIF($E$5:$E16,$E16))</f>
        <v/>
      </c>
      <c r="K16" s="40" t="str">
        <f aca="false">IF($I16="","",LEN($I16))</f>
        <v/>
      </c>
      <c r="L16" s="13"/>
      <c r="M16" s="13"/>
      <c r="N16" s="13"/>
      <c r="O16" s="13"/>
      <c r="P16" s="152"/>
      <c r="Q16" s="149"/>
      <c r="R16" s="152"/>
      <c r="S16" s="152"/>
      <c r="T16" s="62" t="str">
        <f aca="false">IF(OR($C16="",R16=""),"",IF(R16/IF($R$2="",100,$R$2)&gt;=設定!$I$28,設定!$G$8,IF(R16/IF($R$2="",100,$R$2)&lt;設定!$I$29,設定!$G$10,設定!$G$9)))</f>
        <v/>
      </c>
      <c r="U16" s="62" t="str">
        <f aca="false">IF(OR($C16="",S16=""),"",IF(S16/IF($S$2="",100,$S$2)&gt;=設定!$I$28,設定!$G$8,IF(S16/IF($S$2="",100,$S$2)&lt;設定!$I$29,設定!$G$10,設定!$G$9)))</f>
        <v/>
      </c>
    </row>
    <row r="17" customFormat="false" ht="21" hidden="false" customHeight="true" outlineLevel="0" collapsed="false">
      <c r="A17" s="91" t="str">
        <f aca="false">IF(名簿!$D17="","",名簿!$B17&amp;"")</f>
        <v/>
      </c>
      <c r="B17" s="91" t="str">
        <f aca="false">IF(名簿!$D17="","",名簿!$C17)</f>
        <v/>
      </c>
      <c r="C17" s="59" t="str">
        <f aca="false">IF(名簿!$D17="","",名簿!$D17&amp;IF(名簿!$F17="転出","（転出）",""))</f>
        <v/>
      </c>
      <c r="D17" s="149"/>
      <c r="E17" s="61" t="str">
        <f aca="false">IF(OR($C17="",名簿!$F17="転出"),"",IF($C$2="学級ごと",$A17,IF($C$2="前の単元と同じ",単元01!$E17&amp;"",$D17&amp;"")))</f>
        <v/>
      </c>
      <c r="F17" s="150"/>
      <c r="G17" s="150"/>
      <c r="H17" s="150"/>
      <c r="I17" s="151"/>
      <c r="J17" s="41" t="str">
        <f aca="false">IF($E17="","",$E17&amp;"|"&amp;COUNTIF($E$5:$E17,$E17))</f>
        <v/>
      </c>
      <c r="K17" s="40" t="str">
        <f aca="false">IF($I17="","",LEN($I17))</f>
        <v/>
      </c>
      <c r="L17" s="13"/>
      <c r="M17" s="13"/>
      <c r="N17" s="13"/>
      <c r="O17" s="13"/>
      <c r="P17" s="152"/>
      <c r="Q17" s="149"/>
      <c r="R17" s="152"/>
      <c r="S17" s="152"/>
      <c r="T17" s="62" t="str">
        <f aca="false">IF(OR($C17="",R17=""),"",IF(R17/IF($R$2="",100,$R$2)&gt;=設定!$I$28,設定!$G$8,IF(R17/IF($R$2="",100,$R$2)&lt;設定!$I$29,設定!$G$10,設定!$G$9)))</f>
        <v/>
      </c>
      <c r="U17" s="62" t="str">
        <f aca="false">IF(OR($C17="",S17=""),"",IF(S17/IF($S$2="",100,$S$2)&gt;=設定!$I$28,設定!$G$8,IF(S17/IF($S$2="",100,$S$2)&lt;設定!$I$29,設定!$G$10,設定!$G$9)))</f>
        <v/>
      </c>
    </row>
    <row r="18" customFormat="false" ht="21" hidden="false" customHeight="true" outlineLevel="0" collapsed="false">
      <c r="A18" s="91" t="str">
        <f aca="false">IF(名簿!$D18="","",名簿!$B18&amp;"")</f>
        <v/>
      </c>
      <c r="B18" s="91" t="str">
        <f aca="false">IF(名簿!$D18="","",名簿!$C18)</f>
        <v/>
      </c>
      <c r="C18" s="59" t="str">
        <f aca="false">IF(名簿!$D18="","",名簿!$D18&amp;IF(名簿!$F18="転出","（転出）",""))</f>
        <v/>
      </c>
      <c r="D18" s="149"/>
      <c r="E18" s="61" t="str">
        <f aca="false">IF(OR($C18="",名簿!$F18="転出"),"",IF($C$2="学級ごと",$A18,IF($C$2="前の単元と同じ",単元01!$E18&amp;"",$D18&amp;"")))</f>
        <v/>
      </c>
      <c r="F18" s="150"/>
      <c r="G18" s="150"/>
      <c r="H18" s="150"/>
      <c r="I18" s="151"/>
      <c r="J18" s="41" t="str">
        <f aca="false">IF($E18="","",$E18&amp;"|"&amp;COUNTIF($E$5:$E18,$E18))</f>
        <v/>
      </c>
      <c r="K18" s="40" t="str">
        <f aca="false">IF($I18="","",LEN($I18))</f>
        <v/>
      </c>
      <c r="L18" s="13"/>
      <c r="M18" s="13"/>
      <c r="N18" s="13"/>
      <c r="O18" s="13"/>
      <c r="P18" s="152"/>
      <c r="Q18" s="149"/>
      <c r="R18" s="152"/>
      <c r="S18" s="152"/>
      <c r="T18" s="62" t="str">
        <f aca="false">IF(OR($C18="",R18=""),"",IF(R18/IF($R$2="",100,$R$2)&gt;=設定!$I$28,設定!$G$8,IF(R18/IF($R$2="",100,$R$2)&lt;設定!$I$29,設定!$G$10,設定!$G$9)))</f>
        <v/>
      </c>
      <c r="U18" s="62" t="str">
        <f aca="false">IF(OR($C18="",S18=""),"",IF(S18/IF($S$2="",100,$S$2)&gt;=設定!$I$28,設定!$G$8,IF(S18/IF($S$2="",100,$S$2)&lt;設定!$I$29,設定!$G$10,設定!$G$9)))</f>
        <v/>
      </c>
    </row>
    <row r="19" customFormat="false" ht="21" hidden="false" customHeight="true" outlineLevel="0" collapsed="false">
      <c r="A19" s="91" t="str">
        <f aca="false">IF(名簿!$D19="","",名簿!$B19&amp;"")</f>
        <v/>
      </c>
      <c r="B19" s="91" t="str">
        <f aca="false">IF(名簿!$D19="","",名簿!$C19)</f>
        <v/>
      </c>
      <c r="C19" s="59" t="str">
        <f aca="false">IF(名簿!$D19="","",名簿!$D19&amp;IF(名簿!$F19="転出","（転出）",""))</f>
        <v/>
      </c>
      <c r="D19" s="149"/>
      <c r="E19" s="61" t="str">
        <f aca="false">IF(OR($C19="",名簿!$F19="転出"),"",IF($C$2="学級ごと",$A19,IF($C$2="前の単元と同じ",単元01!$E19&amp;"",$D19&amp;"")))</f>
        <v/>
      </c>
      <c r="F19" s="150"/>
      <c r="G19" s="150"/>
      <c r="H19" s="150"/>
      <c r="I19" s="151"/>
      <c r="J19" s="41" t="str">
        <f aca="false">IF($E19="","",$E19&amp;"|"&amp;COUNTIF($E$5:$E19,$E19))</f>
        <v/>
      </c>
      <c r="K19" s="40" t="str">
        <f aca="false">IF($I19="","",LEN($I19))</f>
        <v/>
      </c>
      <c r="L19" s="13"/>
      <c r="M19" s="13"/>
      <c r="N19" s="13"/>
      <c r="O19" s="13"/>
      <c r="P19" s="152"/>
      <c r="Q19" s="149"/>
      <c r="R19" s="152"/>
      <c r="S19" s="152"/>
      <c r="T19" s="62" t="str">
        <f aca="false">IF(OR($C19="",R19=""),"",IF(R19/IF($R$2="",100,$R$2)&gt;=設定!$I$28,設定!$G$8,IF(R19/IF($R$2="",100,$R$2)&lt;設定!$I$29,設定!$G$10,設定!$G$9)))</f>
        <v/>
      </c>
      <c r="U19" s="62" t="str">
        <f aca="false">IF(OR($C19="",S19=""),"",IF(S19/IF($S$2="",100,$S$2)&gt;=設定!$I$28,設定!$G$8,IF(S19/IF($S$2="",100,$S$2)&lt;設定!$I$29,設定!$G$10,設定!$G$9)))</f>
        <v/>
      </c>
    </row>
    <row r="20" customFormat="false" ht="21" hidden="false" customHeight="true" outlineLevel="0" collapsed="false">
      <c r="A20" s="91" t="str">
        <f aca="false">IF(名簿!$D20="","",名簿!$B20&amp;"")</f>
        <v/>
      </c>
      <c r="B20" s="91" t="str">
        <f aca="false">IF(名簿!$D20="","",名簿!$C20)</f>
        <v/>
      </c>
      <c r="C20" s="59" t="str">
        <f aca="false">IF(名簿!$D20="","",名簿!$D20&amp;IF(名簿!$F20="転出","（転出）",""))</f>
        <v/>
      </c>
      <c r="D20" s="149"/>
      <c r="E20" s="61" t="str">
        <f aca="false">IF(OR($C20="",名簿!$F20="転出"),"",IF($C$2="学級ごと",$A20,IF($C$2="前の単元と同じ",単元01!$E20&amp;"",$D20&amp;"")))</f>
        <v/>
      </c>
      <c r="F20" s="150"/>
      <c r="G20" s="150"/>
      <c r="H20" s="150"/>
      <c r="I20" s="151"/>
      <c r="J20" s="41" t="str">
        <f aca="false">IF($E20="","",$E20&amp;"|"&amp;COUNTIF($E$5:$E20,$E20))</f>
        <v/>
      </c>
      <c r="K20" s="40" t="str">
        <f aca="false">IF($I20="","",LEN($I20))</f>
        <v/>
      </c>
      <c r="L20" s="13"/>
      <c r="M20" s="13"/>
      <c r="N20" s="13"/>
      <c r="O20" s="13"/>
      <c r="P20" s="152"/>
      <c r="Q20" s="149"/>
      <c r="R20" s="152"/>
      <c r="S20" s="152"/>
      <c r="T20" s="62" t="str">
        <f aca="false">IF(OR($C20="",R20=""),"",IF(R20/IF($R$2="",100,$R$2)&gt;=設定!$I$28,設定!$G$8,IF(R20/IF($R$2="",100,$R$2)&lt;設定!$I$29,設定!$G$10,設定!$G$9)))</f>
        <v/>
      </c>
      <c r="U20" s="62" t="str">
        <f aca="false">IF(OR($C20="",S20=""),"",IF(S20/IF($S$2="",100,$S$2)&gt;=設定!$I$28,設定!$G$8,IF(S20/IF($S$2="",100,$S$2)&lt;設定!$I$29,設定!$G$10,設定!$G$9)))</f>
        <v/>
      </c>
    </row>
    <row r="21" customFormat="false" ht="21" hidden="false" customHeight="true" outlineLevel="0" collapsed="false">
      <c r="A21" s="91" t="str">
        <f aca="false">IF(名簿!$D21="","",名簿!$B21&amp;"")</f>
        <v/>
      </c>
      <c r="B21" s="91" t="str">
        <f aca="false">IF(名簿!$D21="","",名簿!$C21)</f>
        <v/>
      </c>
      <c r="C21" s="59" t="str">
        <f aca="false">IF(名簿!$D21="","",名簿!$D21&amp;IF(名簿!$F21="転出","（転出）",""))</f>
        <v/>
      </c>
      <c r="D21" s="149"/>
      <c r="E21" s="61" t="str">
        <f aca="false">IF(OR($C21="",名簿!$F21="転出"),"",IF($C$2="学級ごと",$A21,IF($C$2="前の単元と同じ",単元01!$E21&amp;"",$D21&amp;"")))</f>
        <v/>
      </c>
      <c r="F21" s="150"/>
      <c r="G21" s="150"/>
      <c r="H21" s="150"/>
      <c r="I21" s="151"/>
      <c r="J21" s="41" t="str">
        <f aca="false">IF($E21="","",$E21&amp;"|"&amp;COUNTIF($E$5:$E21,$E21))</f>
        <v/>
      </c>
      <c r="K21" s="40" t="str">
        <f aca="false">IF($I21="","",LEN($I21))</f>
        <v/>
      </c>
      <c r="L21" s="13"/>
      <c r="M21" s="13"/>
      <c r="N21" s="13"/>
      <c r="O21" s="13"/>
      <c r="P21" s="152"/>
      <c r="Q21" s="149"/>
      <c r="R21" s="152"/>
      <c r="S21" s="152"/>
      <c r="T21" s="62" t="str">
        <f aca="false">IF(OR($C21="",R21=""),"",IF(R21/IF($R$2="",100,$R$2)&gt;=設定!$I$28,設定!$G$8,IF(R21/IF($R$2="",100,$R$2)&lt;設定!$I$29,設定!$G$10,設定!$G$9)))</f>
        <v/>
      </c>
      <c r="U21" s="62" t="str">
        <f aca="false">IF(OR($C21="",S21=""),"",IF(S21/IF($S$2="",100,$S$2)&gt;=設定!$I$28,設定!$G$8,IF(S21/IF($S$2="",100,$S$2)&lt;設定!$I$29,設定!$G$10,設定!$G$9)))</f>
        <v/>
      </c>
    </row>
    <row r="22" customFormat="false" ht="21" hidden="false" customHeight="true" outlineLevel="0" collapsed="false">
      <c r="A22" s="91" t="str">
        <f aca="false">IF(名簿!$D22="","",名簿!$B22&amp;"")</f>
        <v/>
      </c>
      <c r="B22" s="91" t="str">
        <f aca="false">IF(名簿!$D22="","",名簿!$C22)</f>
        <v/>
      </c>
      <c r="C22" s="59" t="str">
        <f aca="false">IF(名簿!$D22="","",名簿!$D22&amp;IF(名簿!$F22="転出","（転出）",""))</f>
        <v/>
      </c>
      <c r="D22" s="149"/>
      <c r="E22" s="61" t="str">
        <f aca="false">IF(OR($C22="",名簿!$F22="転出"),"",IF($C$2="学級ごと",$A22,IF($C$2="前の単元と同じ",単元01!$E22&amp;"",$D22&amp;"")))</f>
        <v/>
      </c>
      <c r="F22" s="150"/>
      <c r="G22" s="150"/>
      <c r="H22" s="150"/>
      <c r="I22" s="151"/>
      <c r="J22" s="41" t="str">
        <f aca="false">IF($E22="","",$E22&amp;"|"&amp;COUNTIF($E$5:$E22,$E22))</f>
        <v/>
      </c>
      <c r="K22" s="40" t="str">
        <f aca="false">IF($I22="","",LEN($I22))</f>
        <v/>
      </c>
      <c r="L22" s="13"/>
      <c r="M22" s="13"/>
      <c r="N22" s="13"/>
      <c r="O22" s="13"/>
      <c r="P22" s="152"/>
      <c r="Q22" s="149"/>
      <c r="R22" s="152"/>
      <c r="S22" s="152"/>
      <c r="T22" s="62" t="str">
        <f aca="false">IF(OR($C22="",R22=""),"",IF(R22/IF($R$2="",100,$R$2)&gt;=設定!$I$28,設定!$G$8,IF(R22/IF($R$2="",100,$R$2)&lt;設定!$I$29,設定!$G$10,設定!$G$9)))</f>
        <v/>
      </c>
      <c r="U22" s="62" t="str">
        <f aca="false">IF(OR($C22="",S22=""),"",IF(S22/IF($S$2="",100,$S$2)&gt;=設定!$I$28,設定!$G$8,IF(S22/IF($S$2="",100,$S$2)&lt;設定!$I$29,設定!$G$10,設定!$G$9)))</f>
        <v/>
      </c>
    </row>
    <row r="23" customFormat="false" ht="21" hidden="false" customHeight="true" outlineLevel="0" collapsed="false">
      <c r="A23" s="91" t="str">
        <f aca="false">IF(名簿!$D23="","",名簿!$B23&amp;"")</f>
        <v/>
      </c>
      <c r="B23" s="91" t="str">
        <f aca="false">IF(名簿!$D23="","",名簿!$C23)</f>
        <v/>
      </c>
      <c r="C23" s="59" t="str">
        <f aca="false">IF(名簿!$D23="","",名簿!$D23&amp;IF(名簿!$F23="転出","（転出）",""))</f>
        <v/>
      </c>
      <c r="D23" s="149"/>
      <c r="E23" s="61" t="str">
        <f aca="false">IF(OR($C23="",名簿!$F23="転出"),"",IF($C$2="学級ごと",$A23,IF($C$2="前の単元と同じ",単元01!$E23&amp;"",$D23&amp;"")))</f>
        <v/>
      </c>
      <c r="F23" s="150"/>
      <c r="G23" s="150"/>
      <c r="H23" s="150"/>
      <c r="I23" s="151"/>
      <c r="J23" s="41" t="str">
        <f aca="false">IF($E23="","",$E23&amp;"|"&amp;COUNTIF($E$5:$E23,$E23))</f>
        <v/>
      </c>
      <c r="K23" s="40" t="str">
        <f aca="false">IF($I23="","",LEN($I23))</f>
        <v/>
      </c>
      <c r="L23" s="13"/>
      <c r="M23" s="13"/>
      <c r="N23" s="13"/>
      <c r="O23" s="13"/>
      <c r="P23" s="152"/>
      <c r="Q23" s="149"/>
      <c r="R23" s="152"/>
      <c r="S23" s="152"/>
      <c r="T23" s="62" t="str">
        <f aca="false">IF(OR($C23="",R23=""),"",IF(R23/IF($R$2="",100,$R$2)&gt;=設定!$I$28,設定!$G$8,IF(R23/IF($R$2="",100,$R$2)&lt;設定!$I$29,設定!$G$10,設定!$G$9)))</f>
        <v/>
      </c>
      <c r="U23" s="62" t="str">
        <f aca="false">IF(OR($C23="",S23=""),"",IF(S23/IF($S$2="",100,$S$2)&gt;=設定!$I$28,設定!$G$8,IF(S23/IF($S$2="",100,$S$2)&lt;設定!$I$29,設定!$G$10,設定!$G$9)))</f>
        <v/>
      </c>
    </row>
    <row r="24" customFormat="false" ht="21" hidden="false" customHeight="true" outlineLevel="0" collapsed="false">
      <c r="A24" s="91" t="str">
        <f aca="false">IF(名簿!$D24="","",名簿!$B24&amp;"")</f>
        <v/>
      </c>
      <c r="B24" s="91" t="str">
        <f aca="false">IF(名簿!$D24="","",名簿!$C24)</f>
        <v/>
      </c>
      <c r="C24" s="59" t="str">
        <f aca="false">IF(名簿!$D24="","",名簿!$D24&amp;IF(名簿!$F24="転出","（転出）",""))</f>
        <v/>
      </c>
      <c r="D24" s="149"/>
      <c r="E24" s="61" t="str">
        <f aca="false">IF(OR($C24="",名簿!$F24="転出"),"",IF($C$2="学級ごと",$A24,IF($C$2="前の単元と同じ",単元01!$E24&amp;"",$D24&amp;"")))</f>
        <v/>
      </c>
      <c r="F24" s="150"/>
      <c r="G24" s="150"/>
      <c r="H24" s="150"/>
      <c r="I24" s="151"/>
      <c r="J24" s="41" t="str">
        <f aca="false">IF($E24="","",$E24&amp;"|"&amp;COUNTIF($E$5:$E24,$E24))</f>
        <v/>
      </c>
      <c r="K24" s="40" t="str">
        <f aca="false">IF($I24="","",LEN($I24))</f>
        <v/>
      </c>
      <c r="L24" s="13"/>
      <c r="M24" s="13"/>
      <c r="N24" s="13"/>
      <c r="O24" s="13"/>
      <c r="P24" s="152"/>
      <c r="Q24" s="149"/>
      <c r="R24" s="152"/>
      <c r="S24" s="152"/>
      <c r="T24" s="62" t="str">
        <f aca="false">IF(OR($C24="",R24=""),"",IF(R24/IF($R$2="",100,$R$2)&gt;=設定!$I$28,設定!$G$8,IF(R24/IF($R$2="",100,$R$2)&lt;設定!$I$29,設定!$G$10,設定!$G$9)))</f>
        <v/>
      </c>
      <c r="U24" s="62" t="str">
        <f aca="false">IF(OR($C24="",S24=""),"",IF(S24/IF($S$2="",100,$S$2)&gt;=設定!$I$28,設定!$G$8,IF(S24/IF($S$2="",100,$S$2)&lt;設定!$I$29,設定!$G$10,設定!$G$9)))</f>
        <v/>
      </c>
    </row>
    <row r="25" customFormat="false" ht="21" hidden="false" customHeight="true" outlineLevel="0" collapsed="false">
      <c r="A25" s="91" t="str">
        <f aca="false">IF(名簿!$D25="","",名簿!$B25&amp;"")</f>
        <v/>
      </c>
      <c r="B25" s="91" t="str">
        <f aca="false">IF(名簿!$D25="","",名簿!$C25)</f>
        <v/>
      </c>
      <c r="C25" s="59" t="str">
        <f aca="false">IF(名簿!$D25="","",名簿!$D25&amp;IF(名簿!$F25="転出","（転出）",""))</f>
        <v/>
      </c>
      <c r="D25" s="149"/>
      <c r="E25" s="61" t="str">
        <f aca="false">IF(OR($C25="",名簿!$F25="転出"),"",IF($C$2="学級ごと",$A25,IF($C$2="前の単元と同じ",単元01!$E25&amp;"",$D25&amp;"")))</f>
        <v/>
      </c>
      <c r="F25" s="150"/>
      <c r="G25" s="150"/>
      <c r="H25" s="150"/>
      <c r="I25" s="151"/>
      <c r="J25" s="41" t="str">
        <f aca="false">IF($E25="","",$E25&amp;"|"&amp;COUNTIF($E$5:$E25,$E25))</f>
        <v/>
      </c>
      <c r="K25" s="40" t="str">
        <f aca="false">IF($I25="","",LEN($I25))</f>
        <v/>
      </c>
      <c r="L25" s="13"/>
      <c r="M25" s="13"/>
      <c r="N25" s="13"/>
      <c r="O25" s="13"/>
      <c r="P25" s="152"/>
      <c r="Q25" s="149"/>
      <c r="R25" s="152"/>
      <c r="S25" s="152"/>
      <c r="T25" s="62" t="str">
        <f aca="false">IF(OR($C25="",R25=""),"",IF(R25/IF($R$2="",100,$R$2)&gt;=設定!$I$28,設定!$G$8,IF(R25/IF($R$2="",100,$R$2)&lt;設定!$I$29,設定!$G$10,設定!$G$9)))</f>
        <v/>
      </c>
      <c r="U25" s="62" t="str">
        <f aca="false">IF(OR($C25="",S25=""),"",IF(S25/IF($S$2="",100,$S$2)&gt;=設定!$I$28,設定!$G$8,IF(S25/IF($S$2="",100,$S$2)&lt;設定!$I$29,設定!$G$10,設定!$G$9)))</f>
        <v/>
      </c>
    </row>
    <row r="26" customFormat="false" ht="21" hidden="false" customHeight="true" outlineLevel="0" collapsed="false">
      <c r="A26" s="91" t="str">
        <f aca="false">IF(名簿!$D26="","",名簿!$B26&amp;"")</f>
        <v/>
      </c>
      <c r="B26" s="91" t="str">
        <f aca="false">IF(名簿!$D26="","",名簿!$C26)</f>
        <v/>
      </c>
      <c r="C26" s="59" t="str">
        <f aca="false">IF(名簿!$D26="","",名簿!$D26&amp;IF(名簿!$F26="転出","（転出）",""))</f>
        <v/>
      </c>
      <c r="D26" s="149"/>
      <c r="E26" s="61" t="str">
        <f aca="false">IF(OR($C26="",名簿!$F26="転出"),"",IF($C$2="学級ごと",$A26,IF($C$2="前の単元と同じ",単元01!$E26&amp;"",$D26&amp;"")))</f>
        <v/>
      </c>
      <c r="F26" s="150"/>
      <c r="G26" s="150"/>
      <c r="H26" s="150"/>
      <c r="I26" s="151"/>
      <c r="J26" s="41" t="str">
        <f aca="false">IF($E26="","",$E26&amp;"|"&amp;COUNTIF($E$5:$E26,$E26))</f>
        <v/>
      </c>
      <c r="K26" s="40" t="str">
        <f aca="false">IF($I26="","",LEN($I26))</f>
        <v/>
      </c>
      <c r="L26" s="13"/>
      <c r="M26" s="13"/>
      <c r="N26" s="13"/>
      <c r="O26" s="13"/>
      <c r="P26" s="152"/>
      <c r="Q26" s="149"/>
      <c r="R26" s="152"/>
      <c r="S26" s="152"/>
      <c r="T26" s="62" t="str">
        <f aca="false">IF(OR($C26="",R26=""),"",IF(R26/IF($R$2="",100,$R$2)&gt;=設定!$I$28,設定!$G$8,IF(R26/IF($R$2="",100,$R$2)&lt;設定!$I$29,設定!$G$10,設定!$G$9)))</f>
        <v/>
      </c>
      <c r="U26" s="62" t="str">
        <f aca="false">IF(OR($C26="",S26=""),"",IF(S26/IF($S$2="",100,$S$2)&gt;=設定!$I$28,設定!$G$8,IF(S26/IF($S$2="",100,$S$2)&lt;設定!$I$29,設定!$G$10,設定!$G$9)))</f>
        <v/>
      </c>
    </row>
    <row r="27" customFormat="false" ht="21" hidden="false" customHeight="true" outlineLevel="0" collapsed="false">
      <c r="A27" s="91" t="str">
        <f aca="false">IF(名簿!$D27="","",名簿!$B27&amp;"")</f>
        <v/>
      </c>
      <c r="B27" s="91" t="str">
        <f aca="false">IF(名簿!$D27="","",名簿!$C27)</f>
        <v/>
      </c>
      <c r="C27" s="59" t="str">
        <f aca="false">IF(名簿!$D27="","",名簿!$D27&amp;IF(名簿!$F27="転出","（転出）",""))</f>
        <v/>
      </c>
      <c r="D27" s="149"/>
      <c r="E27" s="61" t="str">
        <f aca="false">IF(OR($C27="",名簿!$F27="転出"),"",IF($C$2="学級ごと",$A27,IF($C$2="前の単元と同じ",単元01!$E27&amp;"",$D27&amp;"")))</f>
        <v/>
      </c>
      <c r="F27" s="150"/>
      <c r="G27" s="150"/>
      <c r="H27" s="150"/>
      <c r="I27" s="151"/>
      <c r="J27" s="41" t="str">
        <f aca="false">IF($E27="","",$E27&amp;"|"&amp;COUNTIF($E$5:$E27,$E27))</f>
        <v/>
      </c>
      <c r="K27" s="40" t="str">
        <f aca="false">IF($I27="","",LEN($I27))</f>
        <v/>
      </c>
      <c r="L27" s="13"/>
      <c r="M27" s="13"/>
      <c r="N27" s="13"/>
      <c r="O27" s="13"/>
      <c r="P27" s="152"/>
      <c r="Q27" s="149"/>
      <c r="R27" s="152"/>
      <c r="S27" s="152"/>
      <c r="T27" s="62" t="str">
        <f aca="false">IF(OR($C27="",R27=""),"",IF(R27/IF($R$2="",100,$R$2)&gt;=設定!$I$28,設定!$G$8,IF(R27/IF($R$2="",100,$R$2)&lt;設定!$I$29,設定!$G$10,設定!$G$9)))</f>
        <v/>
      </c>
      <c r="U27" s="62" t="str">
        <f aca="false">IF(OR($C27="",S27=""),"",IF(S27/IF($S$2="",100,$S$2)&gt;=設定!$I$28,設定!$G$8,IF(S27/IF($S$2="",100,$S$2)&lt;設定!$I$29,設定!$G$10,設定!$G$9)))</f>
        <v/>
      </c>
    </row>
    <row r="28" customFormat="false" ht="21" hidden="false" customHeight="true" outlineLevel="0" collapsed="false">
      <c r="A28" s="91" t="str">
        <f aca="false">IF(名簿!$D28="","",名簿!$B28&amp;"")</f>
        <v/>
      </c>
      <c r="B28" s="91" t="str">
        <f aca="false">IF(名簿!$D28="","",名簿!$C28)</f>
        <v/>
      </c>
      <c r="C28" s="59" t="str">
        <f aca="false">IF(名簿!$D28="","",名簿!$D28&amp;IF(名簿!$F28="転出","（転出）",""))</f>
        <v/>
      </c>
      <c r="D28" s="149"/>
      <c r="E28" s="61" t="str">
        <f aca="false">IF(OR($C28="",名簿!$F28="転出"),"",IF($C$2="学級ごと",$A28,IF($C$2="前の単元と同じ",単元01!$E28&amp;"",$D28&amp;"")))</f>
        <v/>
      </c>
      <c r="F28" s="150"/>
      <c r="G28" s="150"/>
      <c r="H28" s="150"/>
      <c r="I28" s="151"/>
      <c r="J28" s="41" t="str">
        <f aca="false">IF($E28="","",$E28&amp;"|"&amp;COUNTIF($E$5:$E28,$E28))</f>
        <v/>
      </c>
      <c r="K28" s="40" t="str">
        <f aca="false">IF($I28="","",LEN($I28))</f>
        <v/>
      </c>
      <c r="L28" s="13"/>
      <c r="M28" s="13"/>
      <c r="N28" s="13"/>
      <c r="O28" s="13"/>
      <c r="P28" s="152"/>
      <c r="Q28" s="149"/>
      <c r="R28" s="152"/>
      <c r="S28" s="152"/>
      <c r="T28" s="62" t="str">
        <f aca="false">IF(OR($C28="",R28=""),"",IF(R28/IF($R$2="",100,$R$2)&gt;=設定!$I$28,設定!$G$8,IF(R28/IF($R$2="",100,$R$2)&lt;設定!$I$29,設定!$G$10,設定!$G$9)))</f>
        <v/>
      </c>
      <c r="U28" s="62" t="str">
        <f aca="false">IF(OR($C28="",S28=""),"",IF(S28/IF($S$2="",100,$S$2)&gt;=設定!$I$28,設定!$G$8,IF(S28/IF($S$2="",100,$S$2)&lt;設定!$I$29,設定!$G$10,設定!$G$9)))</f>
        <v/>
      </c>
    </row>
    <row r="29" customFormat="false" ht="21" hidden="false" customHeight="true" outlineLevel="0" collapsed="false">
      <c r="A29" s="91" t="str">
        <f aca="false">IF(名簿!$D29="","",名簿!$B29&amp;"")</f>
        <v/>
      </c>
      <c r="B29" s="91" t="str">
        <f aca="false">IF(名簿!$D29="","",名簿!$C29)</f>
        <v/>
      </c>
      <c r="C29" s="59" t="str">
        <f aca="false">IF(名簿!$D29="","",名簿!$D29&amp;IF(名簿!$F29="転出","（転出）",""))</f>
        <v/>
      </c>
      <c r="D29" s="149"/>
      <c r="E29" s="61" t="str">
        <f aca="false">IF(OR($C29="",名簿!$F29="転出"),"",IF($C$2="学級ごと",$A29,IF($C$2="前の単元と同じ",単元01!$E29&amp;"",$D29&amp;"")))</f>
        <v/>
      </c>
      <c r="F29" s="150"/>
      <c r="G29" s="150"/>
      <c r="H29" s="150"/>
      <c r="I29" s="151"/>
      <c r="J29" s="41" t="str">
        <f aca="false">IF($E29="","",$E29&amp;"|"&amp;COUNTIF($E$5:$E29,$E29))</f>
        <v/>
      </c>
      <c r="K29" s="40" t="str">
        <f aca="false">IF($I29="","",LEN($I29))</f>
        <v/>
      </c>
      <c r="L29" s="13"/>
      <c r="M29" s="13"/>
      <c r="N29" s="13"/>
      <c r="O29" s="13"/>
      <c r="P29" s="152"/>
      <c r="Q29" s="149"/>
      <c r="R29" s="152"/>
      <c r="S29" s="152"/>
      <c r="T29" s="62" t="str">
        <f aca="false">IF(OR($C29="",R29=""),"",IF(R29/IF($R$2="",100,$R$2)&gt;=設定!$I$28,設定!$G$8,IF(R29/IF($R$2="",100,$R$2)&lt;設定!$I$29,設定!$G$10,設定!$G$9)))</f>
        <v/>
      </c>
      <c r="U29" s="62" t="str">
        <f aca="false">IF(OR($C29="",S29=""),"",IF(S29/IF($S$2="",100,$S$2)&gt;=設定!$I$28,設定!$G$8,IF(S29/IF($S$2="",100,$S$2)&lt;設定!$I$29,設定!$G$10,設定!$G$9)))</f>
        <v/>
      </c>
    </row>
    <row r="30" customFormat="false" ht="21" hidden="false" customHeight="true" outlineLevel="0" collapsed="false">
      <c r="A30" s="91" t="str">
        <f aca="false">IF(名簿!$D30="","",名簿!$B30&amp;"")</f>
        <v/>
      </c>
      <c r="B30" s="91" t="str">
        <f aca="false">IF(名簿!$D30="","",名簿!$C30)</f>
        <v/>
      </c>
      <c r="C30" s="59" t="str">
        <f aca="false">IF(名簿!$D30="","",名簿!$D30&amp;IF(名簿!$F30="転出","（転出）",""))</f>
        <v/>
      </c>
      <c r="D30" s="149"/>
      <c r="E30" s="61" t="str">
        <f aca="false">IF(OR($C30="",名簿!$F30="転出"),"",IF($C$2="学級ごと",$A30,IF($C$2="前の単元と同じ",単元01!$E30&amp;"",$D30&amp;"")))</f>
        <v/>
      </c>
      <c r="F30" s="150"/>
      <c r="G30" s="150"/>
      <c r="H30" s="150"/>
      <c r="I30" s="151"/>
      <c r="J30" s="41" t="str">
        <f aca="false">IF($E30="","",$E30&amp;"|"&amp;COUNTIF($E$5:$E30,$E30))</f>
        <v/>
      </c>
      <c r="K30" s="40" t="str">
        <f aca="false">IF($I30="","",LEN($I30))</f>
        <v/>
      </c>
      <c r="L30" s="13"/>
      <c r="M30" s="13"/>
      <c r="N30" s="13"/>
      <c r="O30" s="13"/>
      <c r="P30" s="152"/>
      <c r="Q30" s="149"/>
      <c r="R30" s="152"/>
      <c r="S30" s="152"/>
      <c r="T30" s="62" t="str">
        <f aca="false">IF(OR($C30="",R30=""),"",IF(R30/IF($R$2="",100,$R$2)&gt;=設定!$I$28,設定!$G$8,IF(R30/IF($R$2="",100,$R$2)&lt;設定!$I$29,設定!$G$10,設定!$G$9)))</f>
        <v/>
      </c>
      <c r="U30" s="62" t="str">
        <f aca="false">IF(OR($C30="",S30=""),"",IF(S30/IF($S$2="",100,$S$2)&gt;=設定!$I$28,設定!$G$8,IF(S30/IF($S$2="",100,$S$2)&lt;設定!$I$29,設定!$G$10,設定!$G$9)))</f>
        <v/>
      </c>
    </row>
    <row r="31" customFormat="false" ht="21" hidden="false" customHeight="true" outlineLevel="0" collapsed="false">
      <c r="A31" s="91" t="str">
        <f aca="false">IF(名簿!$D31="","",名簿!$B31&amp;"")</f>
        <v/>
      </c>
      <c r="B31" s="91" t="str">
        <f aca="false">IF(名簿!$D31="","",名簿!$C31)</f>
        <v/>
      </c>
      <c r="C31" s="59" t="str">
        <f aca="false">IF(名簿!$D31="","",名簿!$D31&amp;IF(名簿!$F31="転出","（転出）",""))</f>
        <v/>
      </c>
      <c r="D31" s="149"/>
      <c r="E31" s="61" t="str">
        <f aca="false">IF(OR($C31="",名簿!$F31="転出"),"",IF($C$2="学級ごと",$A31,IF($C$2="前の単元と同じ",単元01!$E31&amp;"",$D31&amp;"")))</f>
        <v/>
      </c>
      <c r="F31" s="150"/>
      <c r="G31" s="150"/>
      <c r="H31" s="150"/>
      <c r="I31" s="151"/>
      <c r="J31" s="41" t="str">
        <f aca="false">IF($E31="","",$E31&amp;"|"&amp;COUNTIF($E$5:$E31,$E31))</f>
        <v/>
      </c>
      <c r="K31" s="40" t="str">
        <f aca="false">IF($I31="","",LEN($I31))</f>
        <v/>
      </c>
      <c r="L31" s="13"/>
      <c r="M31" s="13"/>
      <c r="N31" s="13"/>
      <c r="O31" s="13"/>
      <c r="P31" s="152"/>
      <c r="Q31" s="149"/>
      <c r="R31" s="152"/>
      <c r="S31" s="152"/>
      <c r="T31" s="62" t="str">
        <f aca="false">IF(OR($C31="",R31=""),"",IF(R31/IF($R$2="",100,$R$2)&gt;=設定!$I$28,設定!$G$8,IF(R31/IF($R$2="",100,$R$2)&lt;設定!$I$29,設定!$G$10,設定!$G$9)))</f>
        <v/>
      </c>
      <c r="U31" s="62" t="str">
        <f aca="false">IF(OR($C31="",S31=""),"",IF(S31/IF($S$2="",100,$S$2)&gt;=設定!$I$28,設定!$G$8,IF(S31/IF($S$2="",100,$S$2)&lt;設定!$I$29,設定!$G$10,設定!$G$9)))</f>
        <v/>
      </c>
    </row>
    <row r="32" customFormat="false" ht="21" hidden="false" customHeight="true" outlineLevel="0" collapsed="false">
      <c r="A32" s="91" t="str">
        <f aca="false">IF(名簿!$D32="","",名簿!$B32&amp;"")</f>
        <v/>
      </c>
      <c r="B32" s="91" t="str">
        <f aca="false">IF(名簿!$D32="","",名簿!$C32)</f>
        <v/>
      </c>
      <c r="C32" s="59" t="str">
        <f aca="false">IF(名簿!$D32="","",名簿!$D32&amp;IF(名簿!$F32="転出","（転出）",""))</f>
        <v/>
      </c>
      <c r="D32" s="149"/>
      <c r="E32" s="61" t="str">
        <f aca="false">IF(OR($C32="",名簿!$F32="転出"),"",IF($C$2="学級ごと",$A32,IF($C$2="前の単元と同じ",単元01!$E32&amp;"",$D32&amp;"")))</f>
        <v/>
      </c>
      <c r="F32" s="150"/>
      <c r="G32" s="150"/>
      <c r="H32" s="150"/>
      <c r="I32" s="151"/>
      <c r="J32" s="41" t="str">
        <f aca="false">IF($E32="","",$E32&amp;"|"&amp;COUNTIF($E$5:$E32,$E32))</f>
        <v/>
      </c>
      <c r="K32" s="40" t="str">
        <f aca="false">IF($I32="","",LEN($I32))</f>
        <v/>
      </c>
      <c r="L32" s="13"/>
      <c r="M32" s="13"/>
      <c r="N32" s="13"/>
      <c r="O32" s="13"/>
      <c r="P32" s="152"/>
      <c r="Q32" s="149"/>
      <c r="R32" s="152"/>
      <c r="S32" s="152"/>
      <c r="T32" s="62" t="str">
        <f aca="false">IF(OR($C32="",R32=""),"",IF(R32/IF($R$2="",100,$R$2)&gt;=設定!$I$28,設定!$G$8,IF(R32/IF($R$2="",100,$R$2)&lt;設定!$I$29,設定!$G$10,設定!$G$9)))</f>
        <v/>
      </c>
      <c r="U32" s="62" t="str">
        <f aca="false">IF(OR($C32="",S32=""),"",IF(S32/IF($S$2="",100,$S$2)&gt;=設定!$I$28,設定!$G$8,IF(S32/IF($S$2="",100,$S$2)&lt;設定!$I$29,設定!$G$10,設定!$G$9)))</f>
        <v/>
      </c>
    </row>
    <row r="33" customFormat="false" ht="21" hidden="false" customHeight="true" outlineLevel="0" collapsed="false">
      <c r="A33" s="91" t="str">
        <f aca="false">IF(名簿!$D33="","",名簿!$B33&amp;"")</f>
        <v/>
      </c>
      <c r="B33" s="91" t="str">
        <f aca="false">IF(名簿!$D33="","",名簿!$C33)</f>
        <v/>
      </c>
      <c r="C33" s="59" t="str">
        <f aca="false">IF(名簿!$D33="","",名簿!$D33&amp;IF(名簿!$F33="転出","（転出）",""))</f>
        <v/>
      </c>
      <c r="D33" s="149"/>
      <c r="E33" s="61" t="str">
        <f aca="false">IF(OR($C33="",名簿!$F33="転出"),"",IF($C$2="学級ごと",$A33,IF($C$2="前の単元と同じ",単元01!$E33&amp;"",$D33&amp;"")))</f>
        <v/>
      </c>
      <c r="F33" s="150"/>
      <c r="G33" s="150"/>
      <c r="H33" s="150"/>
      <c r="I33" s="151"/>
      <c r="J33" s="41" t="str">
        <f aca="false">IF($E33="","",$E33&amp;"|"&amp;COUNTIF($E$5:$E33,$E33))</f>
        <v/>
      </c>
      <c r="K33" s="40" t="str">
        <f aca="false">IF($I33="","",LEN($I33))</f>
        <v/>
      </c>
      <c r="L33" s="13"/>
      <c r="M33" s="13"/>
      <c r="N33" s="13"/>
      <c r="O33" s="13"/>
      <c r="P33" s="152"/>
      <c r="Q33" s="149"/>
      <c r="R33" s="152"/>
      <c r="S33" s="152"/>
      <c r="T33" s="62" t="str">
        <f aca="false">IF(OR($C33="",R33=""),"",IF(R33/IF($R$2="",100,$R$2)&gt;=設定!$I$28,設定!$G$8,IF(R33/IF($R$2="",100,$R$2)&lt;設定!$I$29,設定!$G$10,設定!$G$9)))</f>
        <v/>
      </c>
      <c r="U33" s="62" t="str">
        <f aca="false">IF(OR($C33="",S33=""),"",IF(S33/IF($S$2="",100,$S$2)&gt;=設定!$I$28,設定!$G$8,IF(S33/IF($S$2="",100,$S$2)&lt;設定!$I$29,設定!$G$10,設定!$G$9)))</f>
        <v/>
      </c>
    </row>
    <row r="34" customFormat="false" ht="21" hidden="false" customHeight="true" outlineLevel="0" collapsed="false">
      <c r="A34" s="91" t="str">
        <f aca="false">IF(名簿!$D34="","",名簿!$B34&amp;"")</f>
        <v/>
      </c>
      <c r="B34" s="91" t="str">
        <f aca="false">IF(名簿!$D34="","",名簿!$C34)</f>
        <v/>
      </c>
      <c r="C34" s="59" t="str">
        <f aca="false">IF(名簿!$D34="","",名簿!$D34&amp;IF(名簿!$F34="転出","（転出）",""))</f>
        <v/>
      </c>
      <c r="D34" s="149"/>
      <c r="E34" s="61" t="str">
        <f aca="false">IF(OR($C34="",名簿!$F34="転出"),"",IF($C$2="学級ごと",$A34,IF($C$2="前の単元と同じ",単元01!$E34&amp;"",$D34&amp;"")))</f>
        <v/>
      </c>
      <c r="F34" s="150"/>
      <c r="G34" s="150"/>
      <c r="H34" s="150"/>
      <c r="I34" s="151"/>
      <c r="J34" s="41" t="str">
        <f aca="false">IF($E34="","",$E34&amp;"|"&amp;COUNTIF($E$5:$E34,$E34))</f>
        <v/>
      </c>
      <c r="K34" s="40" t="str">
        <f aca="false">IF($I34="","",LEN($I34))</f>
        <v/>
      </c>
      <c r="L34" s="13"/>
      <c r="M34" s="13"/>
      <c r="N34" s="13"/>
      <c r="O34" s="13"/>
      <c r="P34" s="152"/>
      <c r="Q34" s="149"/>
      <c r="R34" s="152"/>
      <c r="S34" s="152"/>
      <c r="T34" s="62" t="str">
        <f aca="false">IF(OR($C34="",R34=""),"",IF(R34/IF($R$2="",100,$R$2)&gt;=設定!$I$28,設定!$G$8,IF(R34/IF($R$2="",100,$R$2)&lt;設定!$I$29,設定!$G$10,設定!$G$9)))</f>
        <v/>
      </c>
      <c r="U34" s="62" t="str">
        <f aca="false">IF(OR($C34="",S34=""),"",IF(S34/IF($S$2="",100,$S$2)&gt;=設定!$I$28,設定!$G$8,IF(S34/IF($S$2="",100,$S$2)&lt;設定!$I$29,設定!$G$10,設定!$G$9)))</f>
        <v/>
      </c>
    </row>
    <row r="35" customFormat="false" ht="21" hidden="false" customHeight="true" outlineLevel="0" collapsed="false">
      <c r="A35" s="91" t="str">
        <f aca="false">IF(名簿!$D35="","",名簿!$B35&amp;"")</f>
        <v/>
      </c>
      <c r="B35" s="91" t="str">
        <f aca="false">IF(名簿!$D35="","",名簿!$C35)</f>
        <v/>
      </c>
      <c r="C35" s="59" t="str">
        <f aca="false">IF(名簿!$D35="","",名簿!$D35&amp;IF(名簿!$F35="転出","（転出）",""))</f>
        <v/>
      </c>
      <c r="D35" s="149"/>
      <c r="E35" s="61" t="str">
        <f aca="false">IF(OR($C35="",名簿!$F35="転出"),"",IF($C$2="学級ごと",$A35,IF($C$2="前の単元と同じ",単元01!$E35&amp;"",$D35&amp;"")))</f>
        <v/>
      </c>
      <c r="F35" s="150"/>
      <c r="G35" s="150"/>
      <c r="H35" s="150"/>
      <c r="I35" s="151"/>
      <c r="J35" s="41" t="str">
        <f aca="false">IF($E35="","",$E35&amp;"|"&amp;COUNTIF($E$5:$E35,$E35))</f>
        <v/>
      </c>
      <c r="K35" s="40" t="str">
        <f aca="false">IF($I35="","",LEN($I35))</f>
        <v/>
      </c>
      <c r="L35" s="13"/>
      <c r="M35" s="13"/>
      <c r="N35" s="13"/>
      <c r="O35" s="13"/>
      <c r="P35" s="152"/>
      <c r="Q35" s="149"/>
      <c r="R35" s="152"/>
      <c r="S35" s="152"/>
      <c r="T35" s="62" t="str">
        <f aca="false">IF(OR($C35="",R35=""),"",IF(R35/IF($R$2="",100,$R$2)&gt;=設定!$I$28,設定!$G$8,IF(R35/IF($R$2="",100,$R$2)&lt;設定!$I$29,設定!$G$10,設定!$G$9)))</f>
        <v/>
      </c>
      <c r="U35" s="62" t="str">
        <f aca="false">IF(OR($C35="",S35=""),"",IF(S35/IF($S$2="",100,$S$2)&gt;=設定!$I$28,設定!$G$8,IF(S35/IF($S$2="",100,$S$2)&lt;設定!$I$29,設定!$G$10,設定!$G$9)))</f>
        <v/>
      </c>
    </row>
    <row r="36" customFormat="false" ht="21" hidden="false" customHeight="true" outlineLevel="0" collapsed="false">
      <c r="A36" s="91" t="str">
        <f aca="false">IF(名簿!$D36="","",名簿!$B36&amp;"")</f>
        <v/>
      </c>
      <c r="B36" s="91" t="str">
        <f aca="false">IF(名簿!$D36="","",名簿!$C36)</f>
        <v/>
      </c>
      <c r="C36" s="59" t="str">
        <f aca="false">IF(名簿!$D36="","",名簿!$D36&amp;IF(名簿!$F36="転出","（転出）",""))</f>
        <v/>
      </c>
      <c r="D36" s="149"/>
      <c r="E36" s="61" t="str">
        <f aca="false">IF(OR($C36="",名簿!$F36="転出"),"",IF($C$2="学級ごと",$A36,IF($C$2="前の単元と同じ",単元01!$E36&amp;"",$D36&amp;"")))</f>
        <v/>
      </c>
      <c r="F36" s="150"/>
      <c r="G36" s="150"/>
      <c r="H36" s="150"/>
      <c r="I36" s="151"/>
      <c r="J36" s="41" t="str">
        <f aca="false">IF($E36="","",$E36&amp;"|"&amp;COUNTIF($E$5:$E36,$E36))</f>
        <v/>
      </c>
      <c r="K36" s="40" t="str">
        <f aca="false">IF($I36="","",LEN($I36))</f>
        <v/>
      </c>
      <c r="L36" s="13"/>
      <c r="M36" s="13"/>
      <c r="N36" s="13"/>
      <c r="O36" s="13"/>
      <c r="P36" s="152"/>
      <c r="Q36" s="149"/>
      <c r="R36" s="152"/>
      <c r="S36" s="152"/>
      <c r="T36" s="62" t="str">
        <f aca="false">IF(OR($C36="",R36=""),"",IF(R36/IF($R$2="",100,$R$2)&gt;=設定!$I$28,設定!$G$8,IF(R36/IF($R$2="",100,$R$2)&lt;設定!$I$29,設定!$G$10,設定!$G$9)))</f>
        <v/>
      </c>
      <c r="U36" s="62" t="str">
        <f aca="false">IF(OR($C36="",S36=""),"",IF(S36/IF($S$2="",100,$S$2)&gt;=設定!$I$28,設定!$G$8,IF(S36/IF($S$2="",100,$S$2)&lt;設定!$I$29,設定!$G$10,設定!$G$9)))</f>
        <v/>
      </c>
    </row>
    <row r="37" customFormat="false" ht="21" hidden="false" customHeight="true" outlineLevel="0" collapsed="false">
      <c r="A37" s="91" t="str">
        <f aca="false">IF(名簿!$D37="","",名簿!$B37&amp;"")</f>
        <v/>
      </c>
      <c r="B37" s="91" t="str">
        <f aca="false">IF(名簿!$D37="","",名簿!$C37)</f>
        <v/>
      </c>
      <c r="C37" s="59" t="str">
        <f aca="false">IF(名簿!$D37="","",名簿!$D37&amp;IF(名簿!$F37="転出","（転出）",""))</f>
        <v/>
      </c>
      <c r="D37" s="149"/>
      <c r="E37" s="61" t="str">
        <f aca="false">IF(OR($C37="",名簿!$F37="転出"),"",IF($C$2="学級ごと",$A37,IF($C$2="前の単元と同じ",単元01!$E37&amp;"",$D37&amp;"")))</f>
        <v/>
      </c>
      <c r="F37" s="150"/>
      <c r="G37" s="150"/>
      <c r="H37" s="150"/>
      <c r="I37" s="151"/>
      <c r="J37" s="41" t="str">
        <f aca="false">IF($E37="","",$E37&amp;"|"&amp;COUNTIF($E$5:$E37,$E37))</f>
        <v/>
      </c>
      <c r="K37" s="40" t="str">
        <f aca="false">IF($I37="","",LEN($I37))</f>
        <v/>
      </c>
      <c r="L37" s="13"/>
      <c r="M37" s="13"/>
      <c r="N37" s="13"/>
      <c r="O37" s="13"/>
      <c r="P37" s="152"/>
      <c r="Q37" s="149"/>
      <c r="R37" s="152"/>
      <c r="S37" s="152"/>
      <c r="T37" s="62" t="str">
        <f aca="false">IF(OR($C37="",R37=""),"",IF(R37/IF($R$2="",100,$R$2)&gt;=設定!$I$28,設定!$G$8,IF(R37/IF($R$2="",100,$R$2)&lt;設定!$I$29,設定!$G$10,設定!$G$9)))</f>
        <v/>
      </c>
      <c r="U37" s="62" t="str">
        <f aca="false">IF(OR($C37="",S37=""),"",IF(S37/IF($S$2="",100,$S$2)&gt;=設定!$I$28,設定!$G$8,IF(S37/IF($S$2="",100,$S$2)&lt;設定!$I$29,設定!$G$10,設定!$G$9)))</f>
        <v/>
      </c>
    </row>
    <row r="38" customFormat="false" ht="21" hidden="false" customHeight="true" outlineLevel="0" collapsed="false">
      <c r="A38" s="91" t="str">
        <f aca="false">IF(名簿!$D38="","",名簿!$B38&amp;"")</f>
        <v/>
      </c>
      <c r="B38" s="91" t="str">
        <f aca="false">IF(名簿!$D38="","",名簿!$C38)</f>
        <v/>
      </c>
      <c r="C38" s="59" t="str">
        <f aca="false">IF(名簿!$D38="","",名簿!$D38&amp;IF(名簿!$F38="転出","（転出）",""))</f>
        <v/>
      </c>
      <c r="D38" s="149"/>
      <c r="E38" s="61" t="str">
        <f aca="false">IF(OR($C38="",名簿!$F38="転出"),"",IF($C$2="学級ごと",$A38,IF($C$2="前の単元と同じ",単元01!$E38&amp;"",$D38&amp;"")))</f>
        <v/>
      </c>
      <c r="F38" s="150"/>
      <c r="G38" s="150"/>
      <c r="H38" s="150"/>
      <c r="I38" s="151"/>
      <c r="J38" s="41" t="str">
        <f aca="false">IF($E38="","",$E38&amp;"|"&amp;COUNTIF($E$5:$E38,$E38))</f>
        <v/>
      </c>
      <c r="K38" s="40" t="str">
        <f aca="false">IF($I38="","",LEN($I38))</f>
        <v/>
      </c>
      <c r="L38" s="13"/>
      <c r="M38" s="13"/>
      <c r="N38" s="13"/>
      <c r="O38" s="13"/>
      <c r="P38" s="152"/>
      <c r="Q38" s="149"/>
      <c r="R38" s="152"/>
      <c r="S38" s="152"/>
      <c r="T38" s="62" t="str">
        <f aca="false">IF(OR($C38="",R38=""),"",IF(R38/IF($R$2="",100,$R$2)&gt;=設定!$I$28,設定!$G$8,IF(R38/IF($R$2="",100,$R$2)&lt;設定!$I$29,設定!$G$10,設定!$G$9)))</f>
        <v/>
      </c>
      <c r="U38" s="62" t="str">
        <f aca="false">IF(OR($C38="",S38=""),"",IF(S38/IF($S$2="",100,$S$2)&gt;=設定!$I$28,設定!$G$8,IF(S38/IF($S$2="",100,$S$2)&lt;設定!$I$29,設定!$G$10,設定!$G$9)))</f>
        <v/>
      </c>
    </row>
    <row r="39" customFormat="false" ht="21" hidden="false" customHeight="true" outlineLevel="0" collapsed="false">
      <c r="A39" s="91" t="str">
        <f aca="false">IF(名簿!$D39="","",名簿!$B39&amp;"")</f>
        <v/>
      </c>
      <c r="B39" s="91" t="str">
        <f aca="false">IF(名簿!$D39="","",名簿!$C39)</f>
        <v/>
      </c>
      <c r="C39" s="59" t="str">
        <f aca="false">IF(名簿!$D39="","",名簿!$D39&amp;IF(名簿!$F39="転出","（転出）",""))</f>
        <v/>
      </c>
      <c r="D39" s="149"/>
      <c r="E39" s="61" t="str">
        <f aca="false">IF(OR($C39="",名簿!$F39="転出"),"",IF($C$2="学級ごと",$A39,IF($C$2="前の単元と同じ",単元01!$E39&amp;"",$D39&amp;"")))</f>
        <v/>
      </c>
      <c r="F39" s="150"/>
      <c r="G39" s="150"/>
      <c r="H39" s="150"/>
      <c r="I39" s="151"/>
      <c r="J39" s="41" t="str">
        <f aca="false">IF($E39="","",$E39&amp;"|"&amp;COUNTIF($E$5:$E39,$E39))</f>
        <v/>
      </c>
      <c r="K39" s="40" t="str">
        <f aca="false">IF($I39="","",LEN($I39))</f>
        <v/>
      </c>
      <c r="L39" s="13"/>
      <c r="M39" s="13"/>
      <c r="N39" s="13"/>
      <c r="O39" s="13"/>
      <c r="P39" s="152"/>
      <c r="Q39" s="149"/>
      <c r="R39" s="152"/>
      <c r="S39" s="152"/>
      <c r="T39" s="62" t="str">
        <f aca="false">IF(OR($C39="",R39=""),"",IF(R39/IF($R$2="",100,$R$2)&gt;=設定!$I$28,設定!$G$8,IF(R39/IF($R$2="",100,$R$2)&lt;設定!$I$29,設定!$G$10,設定!$G$9)))</f>
        <v/>
      </c>
      <c r="U39" s="62" t="str">
        <f aca="false">IF(OR($C39="",S39=""),"",IF(S39/IF($S$2="",100,$S$2)&gt;=設定!$I$28,設定!$G$8,IF(S39/IF($S$2="",100,$S$2)&lt;設定!$I$29,設定!$G$10,設定!$G$9)))</f>
        <v/>
      </c>
    </row>
    <row r="40" customFormat="false" ht="21" hidden="false" customHeight="true" outlineLevel="0" collapsed="false">
      <c r="A40" s="91" t="str">
        <f aca="false">IF(名簿!$D40="","",名簿!$B40&amp;"")</f>
        <v/>
      </c>
      <c r="B40" s="91" t="str">
        <f aca="false">IF(名簿!$D40="","",名簿!$C40)</f>
        <v/>
      </c>
      <c r="C40" s="59" t="str">
        <f aca="false">IF(名簿!$D40="","",名簿!$D40&amp;IF(名簿!$F40="転出","（転出）",""))</f>
        <v/>
      </c>
      <c r="D40" s="149"/>
      <c r="E40" s="61" t="str">
        <f aca="false">IF(OR($C40="",名簿!$F40="転出"),"",IF($C$2="学級ごと",$A40,IF($C$2="前の単元と同じ",単元01!$E40&amp;"",$D40&amp;"")))</f>
        <v/>
      </c>
      <c r="F40" s="150"/>
      <c r="G40" s="150"/>
      <c r="H40" s="150"/>
      <c r="I40" s="151"/>
      <c r="J40" s="41" t="str">
        <f aca="false">IF($E40="","",$E40&amp;"|"&amp;COUNTIF($E$5:$E40,$E40))</f>
        <v/>
      </c>
      <c r="K40" s="40" t="str">
        <f aca="false">IF($I40="","",LEN($I40))</f>
        <v/>
      </c>
      <c r="L40" s="13"/>
      <c r="M40" s="13"/>
      <c r="N40" s="13"/>
      <c r="O40" s="13"/>
      <c r="P40" s="152"/>
      <c r="Q40" s="149"/>
      <c r="R40" s="152"/>
      <c r="S40" s="152"/>
      <c r="T40" s="62" t="str">
        <f aca="false">IF(OR($C40="",R40=""),"",IF(R40/IF($R$2="",100,$R$2)&gt;=設定!$I$28,設定!$G$8,IF(R40/IF($R$2="",100,$R$2)&lt;設定!$I$29,設定!$G$10,設定!$G$9)))</f>
        <v/>
      </c>
      <c r="U40" s="62" t="str">
        <f aca="false">IF(OR($C40="",S40=""),"",IF(S40/IF($S$2="",100,$S$2)&gt;=設定!$I$28,設定!$G$8,IF(S40/IF($S$2="",100,$S$2)&lt;設定!$I$29,設定!$G$10,設定!$G$9)))</f>
        <v/>
      </c>
    </row>
    <row r="41" customFormat="false" ht="21" hidden="false" customHeight="true" outlineLevel="0" collapsed="false">
      <c r="A41" s="91" t="str">
        <f aca="false">IF(名簿!$D41="","",名簿!$B41&amp;"")</f>
        <v/>
      </c>
      <c r="B41" s="91" t="str">
        <f aca="false">IF(名簿!$D41="","",名簿!$C41)</f>
        <v/>
      </c>
      <c r="C41" s="59" t="str">
        <f aca="false">IF(名簿!$D41="","",名簿!$D41&amp;IF(名簿!$F41="転出","（転出）",""))</f>
        <v/>
      </c>
      <c r="D41" s="149"/>
      <c r="E41" s="61" t="str">
        <f aca="false">IF(OR($C41="",名簿!$F41="転出"),"",IF($C$2="学級ごと",$A41,IF($C$2="前の単元と同じ",単元01!$E41&amp;"",$D41&amp;"")))</f>
        <v/>
      </c>
      <c r="F41" s="150"/>
      <c r="G41" s="150"/>
      <c r="H41" s="150"/>
      <c r="I41" s="151"/>
      <c r="J41" s="41" t="str">
        <f aca="false">IF($E41="","",$E41&amp;"|"&amp;COUNTIF($E$5:$E41,$E41))</f>
        <v/>
      </c>
      <c r="K41" s="40" t="str">
        <f aca="false">IF($I41="","",LEN($I41))</f>
        <v/>
      </c>
      <c r="L41" s="13"/>
      <c r="M41" s="13"/>
      <c r="N41" s="13"/>
      <c r="O41" s="13"/>
      <c r="P41" s="152"/>
      <c r="Q41" s="149"/>
      <c r="R41" s="152"/>
      <c r="S41" s="152"/>
      <c r="T41" s="62" t="str">
        <f aca="false">IF(OR($C41="",R41=""),"",IF(R41/IF($R$2="",100,$R$2)&gt;=設定!$I$28,設定!$G$8,IF(R41/IF($R$2="",100,$R$2)&lt;設定!$I$29,設定!$G$10,設定!$G$9)))</f>
        <v/>
      </c>
      <c r="U41" s="62" t="str">
        <f aca="false">IF(OR($C41="",S41=""),"",IF(S41/IF($S$2="",100,$S$2)&gt;=設定!$I$28,設定!$G$8,IF(S41/IF($S$2="",100,$S$2)&lt;設定!$I$29,設定!$G$10,設定!$G$9)))</f>
        <v/>
      </c>
    </row>
    <row r="42" customFormat="false" ht="21" hidden="false" customHeight="true" outlineLevel="0" collapsed="false">
      <c r="A42" s="91" t="str">
        <f aca="false">IF(名簿!$D42="","",名簿!$B42&amp;"")</f>
        <v/>
      </c>
      <c r="B42" s="91" t="str">
        <f aca="false">IF(名簿!$D42="","",名簿!$C42)</f>
        <v/>
      </c>
      <c r="C42" s="59" t="str">
        <f aca="false">IF(名簿!$D42="","",名簿!$D42&amp;IF(名簿!$F42="転出","（転出）",""))</f>
        <v/>
      </c>
      <c r="D42" s="149"/>
      <c r="E42" s="61" t="str">
        <f aca="false">IF(OR($C42="",名簿!$F42="転出"),"",IF($C$2="学級ごと",$A42,IF($C$2="前の単元と同じ",単元01!$E42&amp;"",$D42&amp;"")))</f>
        <v/>
      </c>
      <c r="F42" s="150"/>
      <c r="G42" s="150"/>
      <c r="H42" s="150"/>
      <c r="I42" s="151"/>
      <c r="J42" s="41" t="str">
        <f aca="false">IF($E42="","",$E42&amp;"|"&amp;COUNTIF($E$5:$E42,$E42))</f>
        <v/>
      </c>
      <c r="K42" s="40" t="str">
        <f aca="false">IF($I42="","",LEN($I42))</f>
        <v/>
      </c>
      <c r="L42" s="13"/>
      <c r="M42" s="13"/>
      <c r="N42" s="13"/>
      <c r="O42" s="13"/>
      <c r="P42" s="152"/>
      <c r="Q42" s="149"/>
      <c r="R42" s="152"/>
      <c r="S42" s="152"/>
      <c r="T42" s="62" t="str">
        <f aca="false">IF(OR($C42="",R42=""),"",IF(R42/IF($R$2="",100,$R$2)&gt;=設定!$I$28,設定!$G$8,IF(R42/IF($R$2="",100,$R$2)&lt;設定!$I$29,設定!$G$10,設定!$G$9)))</f>
        <v/>
      </c>
      <c r="U42" s="62" t="str">
        <f aca="false">IF(OR($C42="",S42=""),"",IF(S42/IF($S$2="",100,$S$2)&gt;=設定!$I$28,設定!$G$8,IF(S42/IF($S$2="",100,$S$2)&lt;設定!$I$29,設定!$G$10,設定!$G$9)))</f>
        <v/>
      </c>
    </row>
    <row r="43" customFormat="false" ht="21" hidden="false" customHeight="true" outlineLevel="0" collapsed="false">
      <c r="A43" s="91" t="str">
        <f aca="false">IF(名簿!$D43="","",名簿!$B43&amp;"")</f>
        <v/>
      </c>
      <c r="B43" s="91" t="str">
        <f aca="false">IF(名簿!$D43="","",名簿!$C43)</f>
        <v/>
      </c>
      <c r="C43" s="59" t="str">
        <f aca="false">IF(名簿!$D43="","",名簿!$D43&amp;IF(名簿!$F43="転出","（転出）",""))</f>
        <v/>
      </c>
      <c r="D43" s="149"/>
      <c r="E43" s="61" t="str">
        <f aca="false">IF(OR($C43="",名簿!$F43="転出"),"",IF($C$2="学級ごと",$A43,IF($C$2="前の単元と同じ",単元01!$E43&amp;"",$D43&amp;"")))</f>
        <v/>
      </c>
      <c r="F43" s="150"/>
      <c r="G43" s="150"/>
      <c r="H43" s="150"/>
      <c r="I43" s="151"/>
      <c r="J43" s="41" t="str">
        <f aca="false">IF($E43="","",$E43&amp;"|"&amp;COUNTIF($E$5:$E43,$E43))</f>
        <v/>
      </c>
      <c r="K43" s="40" t="str">
        <f aca="false">IF($I43="","",LEN($I43))</f>
        <v/>
      </c>
      <c r="L43" s="13"/>
      <c r="M43" s="13"/>
      <c r="N43" s="13"/>
      <c r="O43" s="13"/>
      <c r="P43" s="152"/>
      <c r="Q43" s="149"/>
      <c r="R43" s="152"/>
      <c r="S43" s="152"/>
      <c r="T43" s="62" t="str">
        <f aca="false">IF(OR($C43="",R43=""),"",IF(R43/IF($R$2="",100,$R$2)&gt;=設定!$I$28,設定!$G$8,IF(R43/IF($R$2="",100,$R$2)&lt;設定!$I$29,設定!$G$10,設定!$G$9)))</f>
        <v/>
      </c>
      <c r="U43" s="62" t="str">
        <f aca="false">IF(OR($C43="",S43=""),"",IF(S43/IF($S$2="",100,$S$2)&gt;=設定!$I$28,設定!$G$8,IF(S43/IF($S$2="",100,$S$2)&lt;設定!$I$29,設定!$G$10,設定!$G$9)))</f>
        <v/>
      </c>
    </row>
    <row r="44" customFormat="false" ht="21" hidden="false" customHeight="true" outlineLevel="0" collapsed="false">
      <c r="A44" s="91" t="str">
        <f aca="false">IF(名簿!$D44="","",名簿!$B44&amp;"")</f>
        <v/>
      </c>
      <c r="B44" s="91" t="str">
        <f aca="false">IF(名簿!$D44="","",名簿!$C44)</f>
        <v/>
      </c>
      <c r="C44" s="59" t="str">
        <f aca="false">IF(名簿!$D44="","",名簿!$D44&amp;IF(名簿!$F44="転出","（転出）",""))</f>
        <v/>
      </c>
      <c r="D44" s="149"/>
      <c r="E44" s="61" t="str">
        <f aca="false">IF(OR($C44="",名簿!$F44="転出"),"",IF($C$2="学級ごと",$A44,IF($C$2="前の単元と同じ",単元01!$E44&amp;"",$D44&amp;"")))</f>
        <v/>
      </c>
      <c r="F44" s="150"/>
      <c r="G44" s="150"/>
      <c r="H44" s="150"/>
      <c r="I44" s="151"/>
      <c r="J44" s="41" t="str">
        <f aca="false">IF($E44="","",$E44&amp;"|"&amp;COUNTIF($E$5:$E44,$E44))</f>
        <v/>
      </c>
      <c r="K44" s="40" t="str">
        <f aca="false">IF($I44="","",LEN($I44))</f>
        <v/>
      </c>
      <c r="L44" s="13"/>
      <c r="M44" s="13"/>
      <c r="N44" s="13"/>
      <c r="O44" s="13"/>
      <c r="P44" s="152"/>
      <c r="Q44" s="149"/>
      <c r="R44" s="152"/>
      <c r="S44" s="152"/>
      <c r="T44" s="62" t="str">
        <f aca="false">IF(OR($C44="",R44=""),"",IF(R44/IF($R$2="",100,$R$2)&gt;=設定!$I$28,設定!$G$8,IF(R44/IF($R$2="",100,$R$2)&lt;設定!$I$29,設定!$G$10,設定!$G$9)))</f>
        <v/>
      </c>
      <c r="U44" s="62" t="str">
        <f aca="false">IF(OR($C44="",S44=""),"",IF(S44/IF($S$2="",100,$S$2)&gt;=設定!$I$28,設定!$G$8,IF(S44/IF($S$2="",100,$S$2)&lt;設定!$I$29,設定!$G$10,設定!$G$9)))</f>
        <v/>
      </c>
    </row>
    <row r="45" customFormat="false" ht="21" hidden="false" customHeight="true" outlineLevel="0" collapsed="false">
      <c r="A45" s="91" t="str">
        <f aca="false">IF(名簿!$D45="","",名簿!$B45&amp;"")</f>
        <v/>
      </c>
      <c r="B45" s="91" t="str">
        <f aca="false">IF(名簿!$D45="","",名簿!$C45)</f>
        <v/>
      </c>
      <c r="C45" s="59" t="str">
        <f aca="false">IF(名簿!$D45="","",名簿!$D45&amp;IF(名簿!$F45="転出","（転出）",""))</f>
        <v/>
      </c>
      <c r="D45" s="149"/>
      <c r="E45" s="61" t="str">
        <f aca="false">IF(OR($C45="",名簿!$F45="転出"),"",IF($C$2="学級ごと",$A45,IF($C$2="前の単元と同じ",単元01!$E45&amp;"",$D45&amp;"")))</f>
        <v/>
      </c>
      <c r="F45" s="150"/>
      <c r="G45" s="150"/>
      <c r="H45" s="150"/>
      <c r="I45" s="151"/>
      <c r="J45" s="41" t="str">
        <f aca="false">IF($E45="","",$E45&amp;"|"&amp;COUNTIF($E$5:$E45,$E45))</f>
        <v/>
      </c>
      <c r="K45" s="40" t="str">
        <f aca="false">IF($I45="","",LEN($I45))</f>
        <v/>
      </c>
      <c r="L45" s="13"/>
      <c r="M45" s="13"/>
      <c r="N45" s="13"/>
      <c r="O45" s="13"/>
      <c r="P45" s="152"/>
      <c r="Q45" s="149"/>
      <c r="R45" s="152"/>
      <c r="S45" s="152"/>
      <c r="T45" s="62" t="str">
        <f aca="false">IF(OR($C45="",R45=""),"",IF(R45/IF($R$2="",100,$R$2)&gt;=設定!$I$28,設定!$G$8,IF(R45/IF($R$2="",100,$R$2)&lt;設定!$I$29,設定!$G$10,設定!$G$9)))</f>
        <v/>
      </c>
      <c r="U45" s="62" t="str">
        <f aca="false">IF(OR($C45="",S45=""),"",IF(S45/IF($S$2="",100,$S$2)&gt;=設定!$I$28,設定!$G$8,IF(S45/IF($S$2="",100,$S$2)&lt;設定!$I$29,設定!$G$10,設定!$G$9)))</f>
        <v/>
      </c>
    </row>
    <row r="46" customFormat="false" ht="21" hidden="false" customHeight="true" outlineLevel="0" collapsed="false">
      <c r="A46" s="91" t="str">
        <f aca="false">IF(名簿!$D46="","",名簿!$B46&amp;"")</f>
        <v/>
      </c>
      <c r="B46" s="91" t="str">
        <f aca="false">IF(名簿!$D46="","",名簿!$C46)</f>
        <v/>
      </c>
      <c r="C46" s="59" t="str">
        <f aca="false">IF(名簿!$D46="","",名簿!$D46&amp;IF(名簿!$F46="転出","（転出）",""))</f>
        <v/>
      </c>
      <c r="D46" s="149"/>
      <c r="E46" s="61" t="str">
        <f aca="false">IF(OR($C46="",名簿!$F46="転出"),"",IF($C$2="学級ごと",$A46,IF($C$2="前の単元と同じ",単元01!$E46&amp;"",$D46&amp;"")))</f>
        <v/>
      </c>
      <c r="F46" s="150"/>
      <c r="G46" s="150"/>
      <c r="H46" s="150"/>
      <c r="I46" s="151"/>
      <c r="J46" s="41" t="str">
        <f aca="false">IF($E46="","",$E46&amp;"|"&amp;COUNTIF($E$5:$E46,$E46))</f>
        <v/>
      </c>
      <c r="K46" s="40" t="str">
        <f aca="false">IF($I46="","",LEN($I46))</f>
        <v/>
      </c>
      <c r="L46" s="13"/>
      <c r="M46" s="13"/>
      <c r="N46" s="13"/>
      <c r="O46" s="13"/>
      <c r="P46" s="152"/>
      <c r="Q46" s="149"/>
      <c r="R46" s="152"/>
      <c r="S46" s="152"/>
      <c r="T46" s="62" t="str">
        <f aca="false">IF(OR($C46="",R46=""),"",IF(R46/IF($R$2="",100,$R$2)&gt;=設定!$I$28,設定!$G$8,IF(R46/IF($R$2="",100,$R$2)&lt;設定!$I$29,設定!$G$10,設定!$G$9)))</f>
        <v/>
      </c>
      <c r="U46" s="62" t="str">
        <f aca="false">IF(OR($C46="",S46=""),"",IF(S46/IF($S$2="",100,$S$2)&gt;=設定!$I$28,設定!$G$8,IF(S46/IF($S$2="",100,$S$2)&lt;設定!$I$29,設定!$G$10,設定!$G$9)))</f>
        <v/>
      </c>
    </row>
    <row r="47" customFormat="false" ht="21" hidden="false" customHeight="true" outlineLevel="0" collapsed="false">
      <c r="A47" s="91" t="str">
        <f aca="false">IF(名簿!$D47="","",名簿!$B47&amp;"")</f>
        <v/>
      </c>
      <c r="B47" s="91" t="str">
        <f aca="false">IF(名簿!$D47="","",名簿!$C47)</f>
        <v/>
      </c>
      <c r="C47" s="59" t="str">
        <f aca="false">IF(名簿!$D47="","",名簿!$D47&amp;IF(名簿!$F47="転出","（転出）",""))</f>
        <v/>
      </c>
      <c r="D47" s="149"/>
      <c r="E47" s="61" t="str">
        <f aca="false">IF(OR($C47="",名簿!$F47="転出"),"",IF($C$2="学級ごと",$A47,IF($C$2="前の単元と同じ",単元01!$E47&amp;"",$D47&amp;"")))</f>
        <v/>
      </c>
      <c r="F47" s="150"/>
      <c r="G47" s="150"/>
      <c r="H47" s="150"/>
      <c r="I47" s="151"/>
      <c r="J47" s="41" t="str">
        <f aca="false">IF($E47="","",$E47&amp;"|"&amp;COUNTIF($E$5:$E47,$E47))</f>
        <v/>
      </c>
      <c r="K47" s="40" t="str">
        <f aca="false">IF($I47="","",LEN($I47))</f>
        <v/>
      </c>
      <c r="L47" s="13"/>
      <c r="M47" s="13"/>
      <c r="N47" s="13"/>
      <c r="O47" s="13"/>
      <c r="P47" s="152"/>
      <c r="Q47" s="149"/>
      <c r="R47" s="152"/>
      <c r="S47" s="152"/>
      <c r="T47" s="62" t="str">
        <f aca="false">IF(OR($C47="",R47=""),"",IF(R47/IF($R$2="",100,$R$2)&gt;=設定!$I$28,設定!$G$8,IF(R47/IF($R$2="",100,$R$2)&lt;設定!$I$29,設定!$G$10,設定!$G$9)))</f>
        <v/>
      </c>
      <c r="U47" s="62" t="str">
        <f aca="false">IF(OR($C47="",S47=""),"",IF(S47/IF($S$2="",100,$S$2)&gt;=設定!$I$28,設定!$G$8,IF(S47/IF($S$2="",100,$S$2)&lt;設定!$I$29,設定!$G$10,設定!$G$9)))</f>
        <v/>
      </c>
    </row>
    <row r="48" customFormat="false" ht="21" hidden="false" customHeight="true" outlineLevel="0" collapsed="false">
      <c r="A48" s="91" t="str">
        <f aca="false">IF(名簿!$D48="","",名簿!$B48&amp;"")</f>
        <v/>
      </c>
      <c r="B48" s="91" t="str">
        <f aca="false">IF(名簿!$D48="","",名簿!$C48)</f>
        <v/>
      </c>
      <c r="C48" s="59" t="str">
        <f aca="false">IF(名簿!$D48="","",名簿!$D48&amp;IF(名簿!$F48="転出","（転出）",""))</f>
        <v/>
      </c>
      <c r="D48" s="149"/>
      <c r="E48" s="61" t="str">
        <f aca="false">IF(OR($C48="",名簿!$F48="転出"),"",IF($C$2="学級ごと",$A48,IF($C$2="前の単元と同じ",単元01!$E48&amp;"",$D48&amp;"")))</f>
        <v/>
      </c>
      <c r="F48" s="150"/>
      <c r="G48" s="150"/>
      <c r="H48" s="150"/>
      <c r="I48" s="151"/>
      <c r="J48" s="41" t="str">
        <f aca="false">IF($E48="","",$E48&amp;"|"&amp;COUNTIF($E$5:$E48,$E48))</f>
        <v/>
      </c>
      <c r="K48" s="40" t="str">
        <f aca="false">IF($I48="","",LEN($I48))</f>
        <v/>
      </c>
      <c r="L48" s="13"/>
      <c r="M48" s="13"/>
      <c r="N48" s="13"/>
      <c r="O48" s="13"/>
      <c r="P48" s="152"/>
      <c r="Q48" s="149"/>
      <c r="R48" s="152"/>
      <c r="S48" s="152"/>
      <c r="T48" s="62" t="str">
        <f aca="false">IF(OR($C48="",R48=""),"",IF(R48/IF($R$2="",100,$R$2)&gt;=設定!$I$28,設定!$G$8,IF(R48/IF($R$2="",100,$R$2)&lt;設定!$I$29,設定!$G$10,設定!$G$9)))</f>
        <v/>
      </c>
      <c r="U48" s="62" t="str">
        <f aca="false">IF(OR($C48="",S48=""),"",IF(S48/IF($S$2="",100,$S$2)&gt;=設定!$I$28,設定!$G$8,IF(S48/IF($S$2="",100,$S$2)&lt;設定!$I$29,設定!$G$10,設定!$G$9)))</f>
        <v/>
      </c>
    </row>
    <row r="49" customFormat="false" ht="21" hidden="false" customHeight="true" outlineLevel="0" collapsed="false">
      <c r="A49" s="91" t="str">
        <f aca="false">IF(名簿!$D49="","",名簿!$B49&amp;"")</f>
        <v/>
      </c>
      <c r="B49" s="91" t="str">
        <f aca="false">IF(名簿!$D49="","",名簿!$C49)</f>
        <v/>
      </c>
      <c r="C49" s="59" t="str">
        <f aca="false">IF(名簿!$D49="","",名簿!$D49&amp;IF(名簿!$F49="転出","（転出）",""))</f>
        <v/>
      </c>
      <c r="D49" s="149"/>
      <c r="E49" s="61" t="str">
        <f aca="false">IF(OR($C49="",名簿!$F49="転出"),"",IF($C$2="学級ごと",$A49,IF($C$2="前の単元と同じ",単元01!$E49&amp;"",$D49&amp;"")))</f>
        <v/>
      </c>
      <c r="F49" s="150"/>
      <c r="G49" s="150"/>
      <c r="H49" s="150"/>
      <c r="I49" s="151"/>
      <c r="J49" s="41" t="str">
        <f aca="false">IF($E49="","",$E49&amp;"|"&amp;COUNTIF($E$5:$E49,$E49))</f>
        <v/>
      </c>
      <c r="K49" s="40" t="str">
        <f aca="false">IF($I49="","",LEN($I49))</f>
        <v/>
      </c>
      <c r="L49" s="13"/>
      <c r="M49" s="13"/>
      <c r="N49" s="13"/>
      <c r="O49" s="13"/>
      <c r="P49" s="152"/>
      <c r="Q49" s="149"/>
      <c r="R49" s="152"/>
      <c r="S49" s="152"/>
      <c r="T49" s="62" t="str">
        <f aca="false">IF(OR($C49="",R49=""),"",IF(R49/IF($R$2="",100,$R$2)&gt;=設定!$I$28,設定!$G$8,IF(R49/IF($R$2="",100,$R$2)&lt;設定!$I$29,設定!$G$10,設定!$G$9)))</f>
        <v/>
      </c>
      <c r="U49" s="62" t="str">
        <f aca="false">IF(OR($C49="",S49=""),"",IF(S49/IF($S$2="",100,$S$2)&gt;=設定!$I$28,設定!$G$8,IF(S49/IF($S$2="",100,$S$2)&lt;設定!$I$29,設定!$G$10,設定!$G$9)))</f>
        <v/>
      </c>
    </row>
    <row r="50" customFormat="false" ht="21" hidden="false" customHeight="true" outlineLevel="0" collapsed="false">
      <c r="A50" s="91" t="str">
        <f aca="false">IF(名簿!$D50="","",名簿!$B50&amp;"")</f>
        <v/>
      </c>
      <c r="B50" s="91" t="str">
        <f aca="false">IF(名簿!$D50="","",名簿!$C50)</f>
        <v/>
      </c>
      <c r="C50" s="59" t="str">
        <f aca="false">IF(名簿!$D50="","",名簿!$D50&amp;IF(名簿!$F50="転出","（転出）",""))</f>
        <v/>
      </c>
      <c r="D50" s="149"/>
      <c r="E50" s="61" t="str">
        <f aca="false">IF(OR($C50="",名簿!$F50="転出"),"",IF($C$2="学級ごと",$A50,IF($C$2="前の単元と同じ",単元01!$E50&amp;"",$D50&amp;"")))</f>
        <v/>
      </c>
      <c r="F50" s="150"/>
      <c r="G50" s="150"/>
      <c r="H50" s="150"/>
      <c r="I50" s="151"/>
      <c r="J50" s="41" t="str">
        <f aca="false">IF($E50="","",$E50&amp;"|"&amp;COUNTIF($E$5:$E50,$E50))</f>
        <v/>
      </c>
      <c r="K50" s="40" t="str">
        <f aca="false">IF($I50="","",LEN($I50))</f>
        <v/>
      </c>
      <c r="L50" s="13"/>
      <c r="M50" s="13"/>
      <c r="N50" s="13"/>
      <c r="O50" s="13"/>
      <c r="P50" s="152"/>
      <c r="Q50" s="149"/>
      <c r="R50" s="152"/>
      <c r="S50" s="152"/>
      <c r="T50" s="62" t="str">
        <f aca="false">IF(OR($C50="",R50=""),"",IF(R50/IF($R$2="",100,$R$2)&gt;=設定!$I$28,設定!$G$8,IF(R50/IF($R$2="",100,$R$2)&lt;設定!$I$29,設定!$G$10,設定!$G$9)))</f>
        <v/>
      </c>
      <c r="U50" s="62" t="str">
        <f aca="false">IF(OR($C50="",S50=""),"",IF(S50/IF($S$2="",100,$S$2)&gt;=設定!$I$28,設定!$G$8,IF(S50/IF($S$2="",100,$S$2)&lt;設定!$I$29,設定!$G$10,設定!$G$9)))</f>
        <v/>
      </c>
    </row>
    <row r="51" customFormat="false" ht="21" hidden="false" customHeight="true" outlineLevel="0" collapsed="false">
      <c r="A51" s="91" t="str">
        <f aca="false">IF(名簿!$D51="","",名簿!$B51&amp;"")</f>
        <v/>
      </c>
      <c r="B51" s="91" t="str">
        <f aca="false">IF(名簿!$D51="","",名簿!$C51)</f>
        <v/>
      </c>
      <c r="C51" s="59" t="str">
        <f aca="false">IF(名簿!$D51="","",名簿!$D51&amp;IF(名簿!$F51="転出","（転出）",""))</f>
        <v/>
      </c>
      <c r="D51" s="149"/>
      <c r="E51" s="61" t="str">
        <f aca="false">IF(OR($C51="",名簿!$F51="転出"),"",IF($C$2="学級ごと",$A51,IF($C$2="前の単元と同じ",単元01!$E51&amp;"",$D51&amp;"")))</f>
        <v/>
      </c>
      <c r="F51" s="150"/>
      <c r="G51" s="150"/>
      <c r="H51" s="150"/>
      <c r="I51" s="151"/>
      <c r="J51" s="41" t="str">
        <f aca="false">IF($E51="","",$E51&amp;"|"&amp;COUNTIF($E$5:$E51,$E51))</f>
        <v/>
      </c>
      <c r="K51" s="40" t="str">
        <f aca="false">IF($I51="","",LEN($I51))</f>
        <v/>
      </c>
      <c r="L51" s="13"/>
      <c r="M51" s="13"/>
      <c r="N51" s="13"/>
      <c r="O51" s="13"/>
      <c r="P51" s="152"/>
      <c r="Q51" s="149"/>
      <c r="R51" s="152"/>
      <c r="S51" s="152"/>
      <c r="T51" s="62" t="str">
        <f aca="false">IF(OR($C51="",R51=""),"",IF(R51/IF($R$2="",100,$R$2)&gt;=設定!$I$28,設定!$G$8,IF(R51/IF($R$2="",100,$R$2)&lt;設定!$I$29,設定!$G$10,設定!$G$9)))</f>
        <v/>
      </c>
      <c r="U51" s="62" t="str">
        <f aca="false">IF(OR($C51="",S51=""),"",IF(S51/IF($S$2="",100,$S$2)&gt;=設定!$I$28,設定!$G$8,IF(S51/IF($S$2="",100,$S$2)&lt;設定!$I$29,設定!$G$10,設定!$G$9)))</f>
        <v/>
      </c>
    </row>
    <row r="52" customFormat="false" ht="21" hidden="false" customHeight="true" outlineLevel="0" collapsed="false">
      <c r="A52" s="91" t="str">
        <f aca="false">IF(名簿!$D52="","",名簿!$B52&amp;"")</f>
        <v/>
      </c>
      <c r="B52" s="91" t="str">
        <f aca="false">IF(名簿!$D52="","",名簿!$C52)</f>
        <v/>
      </c>
      <c r="C52" s="59" t="str">
        <f aca="false">IF(名簿!$D52="","",名簿!$D52&amp;IF(名簿!$F52="転出","（転出）",""))</f>
        <v/>
      </c>
      <c r="D52" s="149"/>
      <c r="E52" s="61" t="str">
        <f aca="false">IF(OR($C52="",名簿!$F52="転出"),"",IF($C$2="学級ごと",$A52,IF($C$2="前の単元と同じ",単元01!$E52&amp;"",$D52&amp;"")))</f>
        <v/>
      </c>
      <c r="F52" s="150"/>
      <c r="G52" s="150"/>
      <c r="H52" s="150"/>
      <c r="I52" s="151"/>
      <c r="J52" s="41" t="str">
        <f aca="false">IF($E52="","",$E52&amp;"|"&amp;COUNTIF($E$5:$E52,$E52))</f>
        <v/>
      </c>
      <c r="K52" s="40" t="str">
        <f aca="false">IF($I52="","",LEN($I52))</f>
        <v/>
      </c>
      <c r="L52" s="13"/>
      <c r="M52" s="13"/>
      <c r="N52" s="13"/>
      <c r="O52" s="13"/>
      <c r="P52" s="152"/>
      <c r="Q52" s="149"/>
      <c r="R52" s="152"/>
      <c r="S52" s="152"/>
      <c r="T52" s="62" t="str">
        <f aca="false">IF(OR($C52="",R52=""),"",IF(R52/IF($R$2="",100,$R$2)&gt;=設定!$I$28,設定!$G$8,IF(R52/IF($R$2="",100,$R$2)&lt;設定!$I$29,設定!$G$10,設定!$G$9)))</f>
        <v/>
      </c>
      <c r="U52" s="62" t="str">
        <f aca="false">IF(OR($C52="",S52=""),"",IF(S52/IF($S$2="",100,$S$2)&gt;=設定!$I$28,設定!$G$8,IF(S52/IF($S$2="",100,$S$2)&lt;設定!$I$29,設定!$G$10,設定!$G$9)))</f>
        <v/>
      </c>
    </row>
    <row r="53" customFormat="false" ht="21" hidden="false" customHeight="true" outlineLevel="0" collapsed="false">
      <c r="A53" s="91" t="str">
        <f aca="false">IF(名簿!$D53="","",名簿!$B53&amp;"")</f>
        <v/>
      </c>
      <c r="B53" s="91" t="str">
        <f aca="false">IF(名簿!$D53="","",名簿!$C53)</f>
        <v/>
      </c>
      <c r="C53" s="59" t="str">
        <f aca="false">IF(名簿!$D53="","",名簿!$D53&amp;IF(名簿!$F53="転出","（転出）",""))</f>
        <v/>
      </c>
      <c r="D53" s="149"/>
      <c r="E53" s="61" t="str">
        <f aca="false">IF(OR($C53="",名簿!$F53="転出"),"",IF($C$2="学級ごと",$A53,IF($C$2="前の単元と同じ",単元01!$E53&amp;"",$D53&amp;"")))</f>
        <v/>
      </c>
      <c r="F53" s="150"/>
      <c r="G53" s="150"/>
      <c r="H53" s="150"/>
      <c r="I53" s="151"/>
      <c r="J53" s="41" t="str">
        <f aca="false">IF($E53="","",$E53&amp;"|"&amp;COUNTIF($E$5:$E53,$E53))</f>
        <v/>
      </c>
      <c r="K53" s="40" t="str">
        <f aca="false">IF($I53="","",LEN($I53))</f>
        <v/>
      </c>
      <c r="L53" s="13"/>
      <c r="M53" s="13"/>
      <c r="N53" s="13"/>
      <c r="O53" s="13"/>
      <c r="P53" s="152"/>
      <c r="Q53" s="149"/>
      <c r="R53" s="152"/>
      <c r="S53" s="152"/>
      <c r="T53" s="62" t="str">
        <f aca="false">IF(OR($C53="",R53=""),"",IF(R53/IF($R$2="",100,$R$2)&gt;=設定!$I$28,設定!$G$8,IF(R53/IF($R$2="",100,$R$2)&lt;設定!$I$29,設定!$G$10,設定!$G$9)))</f>
        <v/>
      </c>
      <c r="U53" s="62" t="str">
        <f aca="false">IF(OR($C53="",S53=""),"",IF(S53/IF($S$2="",100,$S$2)&gt;=設定!$I$28,設定!$G$8,IF(S53/IF($S$2="",100,$S$2)&lt;設定!$I$29,設定!$G$10,設定!$G$9)))</f>
        <v/>
      </c>
    </row>
    <row r="54" customFormat="false" ht="21" hidden="false" customHeight="true" outlineLevel="0" collapsed="false">
      <c r="A54" s="91" t="str">
        <f aca="false">IF(名簿!$D54="","",名簿!$B54&amp;"")</f>
        <v/>
      </c>
      <c r="B54" s="91" t="str">
        <f aca="false">IF(名簿!$D54="","",名簿!$C54)</f>
        <v/>
      </c>
      <c r="C54" s="59" t="str">
        <f aca="false">IF(名簿!$D54="","",名簿!$D54&amp;IF(名簿!$F54="転出","（転出）",""))</f>
        <v/>
      </c>
      <c r="D54" s="149"/>
      <c r="E54" s="61" t="str">
        <f aca="false">IF(OR($C54="",名簿!$F54="転出"),"",IF($C$2="学級ごと",$A54,IF($C$2="前の単元と同じ",単元01!$E54&amp;"",$D54&amp;"")))</f>
        <v/>
      </c>
      <c r="F54" s="150"/>
      <c r="G54" s="150"/>
      <c r="H54" s="150"/>
      <c r="I54" s="151"/>
      <c r="J54" s="41" t="str">
        <f aca="false">IF($E54="","",$E54&amp;"|"&amp;COUNTIF($E$5:$E54,$E54))</f>
        <v/>
      </c>
      <c r="K54" s="40" t="str">
        <f aca="false">IF($I54="","",LEN($I54))</f>
        <v/>
      </c>
      <c r="L54" s="13"/>
      <c r="M54" s="13"/>
      <c r="N54" s="13"/>
      <c r="O54" s="13"/>
      <c r="P54" s="152"/>
      <c r="Q54" s="149"/>
      <c r="R54" s="152"/>
      <c r="S54" s="152"/>
      <c r="T54" s="62" t="str">
        <f aca="false">IF(OR($C54="",R54=""),"",IF(R54/IF($R$2="",100,$R$2)&gt;=設定!$I$28,設定!$G$8,IF(R54/IF($R$2="",100,$R$2)&lt;設定!$I$29,設定!$G$10,設定!$G$9)))</f>
        <v/>
      </c>
      <c r="U54" s="62" t="str">
        <f aca="false">IF(OR($C54="",S54=""),"",IF(S54/IF($S$2="",100,$S$2)&gt;=設定!$I$28,設定!$G$8,IF(S54/IF($S$2="",100,$S$2)&lt;設定!$I$29,設定!$G$10,設定!$G$9)))</f>
        <v/>
      </c>
    </row>
    <row r="55" customFormat="false" ht="21" hidden="false" customHeight="true" outlineLevel="0" collapsed="false">
      <c r="A55" s="91" t="str">
        <f aca="false">IF(名簿!$D55="","",名簿!$B55&amp;"")</f>
        <v/>
      </c>
      <c r="B55" s="91" t="str">
        <f aca="false">IF(名簿!$D55="","",名簿!$C55)</f>
        <v/>
      </c>
      <c r="C55" s="59" t="str">
        <f aca="false">IF(名簿!$D55="","",名簿!$D55&amp;IF(名簿!$F55="転出","（転出）",""))</f>
        <v/>
      </c>
      <c r="D55" s="149"/>
      <c r="E55" s="61" t="str">
        <f aca="false">IF(OR($C55="",名簿!$F55="転出"),"",IF($C$2="学級ごと",$A55,IF($C$2="前の単元と同じ",単元01!$E55&amp;"",$D55&amp;"")))</f>
        <v/>
      </c>
      <c r="F55" s="150"/>
      <c r="G55" s="150"/>
      <c r="H55" s="150"/>
      <c r="I55" s="151"/>
      <c r="J55" s="41" t="str">
        <f aca="false">IF($E55="","",$E55&amp;"|"&amp;COUNTIF($E$5:$E55,$E55))</f>
        <v/>
      </c>
      <c r="K55" s="40" t="str">
        <f aca="false">IF($I55="","",LEN($I55))</f>
        <v/>
      </c>
      <c r="L55" s="13"/>
      <c r="M55" s="13"/>
      <c r="N55" s="13"/>
      <c r="O55" s="13"/>
      <c r="P55" s="152"/>
      <c r="Q55" s="149"/>
      <c r="R55" s="152"/>
      <c r="S55" s="152"/>
      <c r="T55" s="62" t="str">
        <f aca="false">IF(OR($C55="",R55=""),"",IF(R55/IF($R$2="",100,$R$2)&gt;=設定!$I$28,設定!$G$8,IF(R55/IF($R$2="",100,$R$2)&lt;設定!$I$29,設定!$G$10,設定!$G$9)))</f>
        <v/>
      </c>
      <c r="U55" s="62" t="str">
        <f aca="false">IF(OR($C55="",S55=""),"",IF(S55/IF($S$2="",100,$S$2)&gt;=設定!$I$28,設定!$G$8,IF(S55/IF($S$2="",100,$S$2)&lt;設定!$I$29,設定!$G$10,設定!$G$9)))</f>
        <v/>
      </c>
    </row>
    <row r="56" customFormat="false" ht="21" hidden="false" customHeight="true" outlineLevel="0" collapsed="false">
      <c r="A56" s="91" t="str">
        <f aca="false">IF(名簿!$D56="","",名簿!$B56&amp;"")</f>
        <v/>
      </c>
      <c r="B56" s="91" t="str">
        <f aca="false">IF(名簿!$D56="","",名簿!$C56)</f>
        <v/>
      </c>
      <c r="C56" s="59" t="str">
        <f aca="false">IF(名簿!$D56="","",名簿!$D56&amp;IF(名簿!$F56="転出","（転出）",""))</f>
        <v/>
      </c>
      <c r="D56" s="149"/>
      <c r="E56" s="61" t="str">
        <f aca="false">IF(OR($C56="",名簿!$F56="転出"),"",IF($C$2="学級ごと",$A56,IF($C$2="前の単元と同じ",単元01!$E56&amp;"",$D56&amp;"")))</f>
        <v/>
      </c>
      <c r="F56" s="150"/>
      <c r="G56" s="150"/>
      <c r="H56" s="150"/>
      <c r="I56" s="151"/>
      <c r="J56" s="41" t="str">
        <f aca="false">IF($E56="","",$E56&amp;"|"&amp;COUNTIF($E$5:$E56,$E56))</f>
        <v/>
      </c>
      <c r="K56" s="40" t="str">
        <f aca="false">IF($I56="","",LEN($I56))</f>
        <v/>
      </c>
      <c r="L56" s="13"/>
      <c r="M56" s="13"/>
      <c r="N56" s="13"/>
      <c r="O56" s="13"/>
      <c r="P56" s="152"/>
      <c r="Q56" s="149"/>
      <c r="R56" s="152"/>
      <c r="S56" s="152"/>
      <c r="T56" s="62" t="str">
        <f aca="false">IF(OR($C56="",R56=""),"",IF(R56/IF($R$2="",100,$R$2)&gt;=設定!$I$28,設定!$G$8,IF(R56/IF($R$2="",100,$R$2)&lt;設定!$I$29,設定!$G$10,設定!$G$9)))</f>
        <v/>
      </c>
      <c r="U56" s="62" t="str">
        <f aca="false">IF(OR($C56="",S56=""),"",IF(S56/IF($S$2="",100,$S$2)&gt;=設定!$I$28,設定!$G$8,IF(S56/IF($S$2="",100,$S$2)&lt;設定!$I$29,設定!$G$10,設定!$G$9)))</f>
        <v/>
      </c>
    </row>
    <row r="57" customFormat="false" ht="21" hidden="false" customHeight="true" outlineLevel="0" collapsed="false">
      <c r="A57" s="91" t="str">
        <f aca="false">IF(名簿!$D57="","",名簿!$B57&amp;"")</f>
        <v/>
      </c>
      <c r="B57" s="91" t="str">
        <f aca="false">IF(名簿!$D57="","",名簿!$C57)</f>
        <v/>
      </c>
      <c r="C57" s="59" t="str">
        <f aca="false">IF(名簿!$D57="","",名簿!$D57&amp;IF(名簿!$F57="転出","（転出）",""))</f>
        <v/>
      </c>
      <c r="D57" s="149"/>
      <c r="E57" s="61" t="str">
        <f aca="false">IF(OR($C57="",名簿!$F57="転出"),"",IF($C$2="学級ごと",$A57,IF($C$2="前の単元と同じ",単元01!$E57&amp;"",$D57&amp;"")))</f>
        <v/>
      </c>
      <c r="F57" s="150"/>
      <c r="G57" s="150"/>
      <c r="H57" s="150"/>
      <c r="I57" s="151"/>
      <c r="J57" s="41" t="str">
        <f aca="false">IF($E57="","",$E57&amp;"|"&amp;COUNTIF($E$5:$E57,$E57))</f>
        <v/>
      </c>
      <c r="K57" s="40" t="str">
        <f aca="false">IF($I57="","",LEN($I57))</f>
        <v/>
      </c>
      <c r="L57" s="13"/>
      <c r="M57" s="13"/>
      <c r="N57" s="13"/>
      <c r="O57" s="13"/>
      <c r="P57" s="152"/>
      <c r="Q57" s="149"/>
      <c r="R57" s="152"/>
      <c r="S57" s="152"/>
      <c r="T57" s="62" t="str">
        <f aca="false">IF(OR($C57="",R57=""),"",IF(R57/IF($R$2="",100,$R$2)&gt;=設定!$I$28,設定!$G$8,IF(R57/IF($R$2="",100,$R$2)&lt;設定!$I$29,設定!$G$10,設定!$G$9)))</f>
        <v/>
      </c>
      <c r="U57" s="62" t="str">
        <f aca="false">IF(OR($C57="",S57=""),"",IF(S57/IF($S$2="",100,$S$2)&gt;=設定!$I$28,設定!$G$8,IF(S57/IF($S$2="",100,$S$2)&lt;設定!$I$29,設定!$G$10,設定!$G$9)))</f>
        <v/>
      </c>
    </row>
    <row r="58" customFormat="false" ht="21" hidden="false" customHeight="true" outlineLevel="0" collapsed="false">
      <c r="A58" s="91" t="str">
        <f aca="false">IF(名簿!$D58="","",名簿!$B58&amp;"")</f>
        <v/>
      </c>
      <c r="B58" s="91" t="str">
        <f aca="false">IF(名簿!$D58="","",名簿!$C58)</f>
        <v/>
      </c>
      <c r="C58" s="59" t="str">
        <f aca="false">IF(名簿!$D58="","",名簿!$D58&amp;IF(名簿!$F58="転出","（転出）",""))</f>
        <v/>
      </c>
      <c r="D58" s="149"/>
      <c r="E58" s="61" t="str">
        <f aca="false">IF(OR($C58="",名簿!$F58="転出"),"",IF($C$2="学級ごと",$A58,IF($C$2="前の単元と同じ",単元01!$E58&amp;"",$D58&amp;"")))</f>
        <v/>
      </c>
      <c r="F58" s="150"/>
      <c r="G58" s="150"/>
      <c r="H58" s="150"/>
      <c r="I58" s="151"/>
      <c r="J58" s="41" t="str">
        <f aca="false">IF($E58="","",$E58&amp;"|"&amp;COUNTIF($E$5:$E58,$E58))</f>
        <v/>
      </c>
      <c r="K58" s="40" t="str">
        <f aca="false">IF($I58="","",LEN($I58))</f>
        <v/>
      </c>
      <c r="L58" s="13"/>
      <c r="M58" s="13"/>
      <c r="N58" s="13"/>
      <c r="O58" s="13"/>
      <c r="P58" s="152"/>
      <c r="Q58" s="149"/>
      <c r="R58" s="152"/>
      <c r="S58" s="152"/>
      <c r="T58" s="62" t="str">
        <f aca="false">IF(OR($C58="",R58=""),"",IF(R58/IF($R$2="",100,$R$2)&gt;=設定!$I$28,設定!$G$8,IF(R58/IF($R$2="",100,$R$2)&lt;設定!$I$29,設定!$G$10,設定!$G$9)))</f>
        <v/>
      </c>
      <c r="U58" s="62" t="str">
        <f aca="false">IF(OR($C58="",S58=""),"",IF(S58/IF($S$2="",100,$S$2)&gt;=設定!$I$28,設定!$G$8,IF(S58/IF($S$2="",100,$S$2)&lt;設定!$I$29,設定!$G$10,設定!$G$9)))</f>
        <v/>
      </c>
    </row>
    <row r="59" customFormat="false" ht="21" hidden="false" customHeight="true" outlineLevel="0" collapsed="false">
      <c r="A59" s="91" t="str">
        <f aca="false">IF(名簿!$D59="","",名簿!$B59&amp;"")</f>
        <v/>
      </c>
      <c r="B59" s="91" t="str">
        <f aca="false">IF(名簿!$D59="","",名簿!$C59)</f>
        <v/>
      </c>
      <c r="C59" s="59" t="str">
        <f aca="false">IF(名簿!$D59="","",名簿!$D59&amp;IF(名簿!$F59="転出","（転出）",""))</f>
        <v/>
      </c>
      <c r="D59" s="149"/>
      <c r="E59" s="61" t="str">
        <f aca="false">IF(OR($C59="",名簿!$F59="転出"),"",IF($C$2="学級ごと",$A59,IF($C$2="前の単元と同じ",単元01!$E59&amp;"",$D59&amp;"")))</f>
        <v/>
      </c>
      <c r="F59" s="150"/>
      <c r="G59" s="150"/>
      <c r="H59" s="150"/>
      <c r="I59" s="151"/>
      <c r="J59" s="41" t="str">
        <f aca="false">IF($E59="","",$E59&amp;"|"&amp;COUNTIF($E$5:$E59,$E59))</f>
        <v/>
      </c>
      <c r="K59" s="40" t="str">
        <f aca="false">IF($I59="","",LEN($I59))</f>
        <v/>
      </c>
      <c r="L59" s="13"/>
      <c r="M59" s="13"/>
      <c r="N59" s="13"/>
      <c r="O59" s="13"/>
      <c r="P59" s="152"/>
      <c r="Q59" s="149"/>
      <c r="R59" s="152"/>
      <c r="S59" s="152"/>
      <c r="T59" s="62" t="str">
        <f aca="false">IF(OR($C59="",R59=""),"",IF(R59/IF($R$2="",100,$R$2)&gt;=設定!$I$28,設定!$G$8,IF(R59/IF($R$2="",100,$R$2)&lt;設定!$I$29,設定!$G$10,設定!$G$9)))</f>
        <v/>
      </c>
      <c r="U59" s="62" t="str">
        <f aca="false">IF(OR($C59="",S59=""),"",IF(S59/IF($S$2="",100,$S$2)&gt;=設定!$I$28,設定!$G$8,IF(S59/IF($S$2="",100,$S$2)&lt;設定!$I$29,設定!$G$10,設定!$G$9)))</f>
        <v/>
      </c>
    </row>
    <row r="60" customFormat="false" ht="21" hidden="false" customHeight="true" outlineLevel="0" collapsed="false">
      <c r="A60" s="91" t="str">
        <f aca="false">IF(名簿!$D60="","",名簿!$B60&amp;"")</f>
        <v/>
      </c>
      <c r="B60" s="91" t="str">
        <f aca="false">IF(名簿!$D60="","",名簿!$C60)</f>
        <v/>
      </c>
      <c r="C60" s="59" t="str">
        <f aca="false">IF(名簿!$D60="","",名簿!$D60&amp;IF(名簿!$F60="転出","（転出）",""))</f>
        <v/>
      </c>
      <c r="D60" s="149"/>
      <c r="E60" s="61" t="str">
        <f aca="false">IF(OR($C60="",名簿!$F60="転出"),"",IF($C$2="学級ごと",$A60,IF($C$2="前の単元と同じ",単元01!$E60&amp;"",$D60&amp;"")))</f>
        <v/>
      </c>
      <c r="F60" s="150"/>
      <c r="G60" s="150"/>
      <c r="H60" s="150"/>
      <c r="I60" s="151"/>
      <c r="J60" s="41" t="str">
        <f aca="false">IF($E60="","",$E60&amp;"|"&amp;COUNTIF($E$5:$E60,$E60))</f>
        <v/>
      </c>
      <c r="K60" s="40" t="str">
        <f aca="false">IF($I60="","",LEN($I60))</f>
        <v/>
      </c>
      <c r="L60" s="13"/>
      <c r="M60" s="13"/>
      <c r="N60" s="13"/>
      <c r="O60" s="13"/>
      <c r="P60" s="152"/>
      <c r="Q60" s="149"/>
      <c r="R60" s="152"/>
      <c r="S60" s="152"/>
      <c r="T60" s="62" t="str">
        <f aca="false">IF(OR($C60="",R60=""),"",IF(R60/IF($R$2="",100,$R$2)&gt;=設定!$I$28,設定!$G$8,IF(R60/IF($R$2="",100,$R$2)&lt;設定!$I$29,設定!$G$10,設定!$G$9)))</f>
        <v/>
      </c>
      <c r="U60" s="62" t="str">
        <f aca="false">IF(OR($C60="",S60=""),"",IF(S60/IF($S$2="",100,$S$2)&gt;=設定!$I$28,設定!$G$8,IF(S60/IF($S$2="",100,$S$2)&lt;設定!$I$29,設定!$G$10,設定!$G$9)))</f>
        <v/>
      </c>
    </row>
    <row r="61" customFormat="false" ht="21" hidden="false" customHeight="true" outlineLevel="0" collapsed="false">
      <c r="A61" s="91" t="str">
        <f aca="false">IF(名簿!$D61="","",名簿!$B61&amp;"")</f>
        <v/>
      </c>
      <c r="B61" s="91" t="str">
        <f aca="false">IF(名簿!$D61="","",名簿!$C61)</f>
        <v/>
      </c>
      <c r="C61" s="59" t="str">
        <f aca="false">IF(名簿!$D61="","",名簿!$D61&amp;IF(名簿!$F61="転出","（転出）",""))</f>
        <v/>
      </c>
      <c r="D61" s="149"/>
      <c r="E61" s="61" t="str">
        <f aca="false">IF(OR($C61="",名簿!$F61="転出"),"",IF($C$2="学級ごと",$A61,IF($C$2="前の単元と同じ",単元01!$E61&amp;"",$D61&amp;"")))</f>
        <v/>
      </c>
      <c r="F61" s="150"/>
      <c r="G61" s="150"/>
      <c r="H61" s="150"/>
      <c r="I61" s="151"/>
      <c r="J61" s="41" t="str">
        <f aca="false">IF($E61="","",$E61&amp;"|"&amp;COUNTIF($E$5:$E61,$E61))</f>
        <v/>
      </c>
      <c r="K61" s="40" t="str">
        <f aca="false">IF($I61="","",LEN($I61))</f>
        <v/>
      </c>
      <c r="L61" s="13"/>
      <c r="M61" s="13"/>
      <c r="N61" s="13"/>
      <c r="O61" s="13"/>
      <c r="P61" s="152"/>
      <c r="Q61" s="149"/>
      <c r="R61" s="152"/>
      <c r="S61" s="152"/>
      <c r="T61" s="62" t="str">
        <f aca="false">IF(OR($C61="",R61=""),"",IF(R61/IF($R$2="",100,$R$2)&gt;=設定!$I$28,設定!$G$8,IF(R61/IF($R$2="",100,$R$2)&lt;設定!$I$29,設定!$G$10,設定!$G$9)))</f>
        <v/>
      </c>
      <c r="U61" s="62" t="str">
        <f aca="false">IF(OR($C61="",S61=""),"",IF(S61/IF($S$2="",100,$S$2)&gt;=設定!$I$28,設定!$G$8,IF(S61/IF($S$2="",100,$S$2)&lt;設定!$I$29,設定!$G$10,設定!$G$9)))</f>
        <v/>
      </c>
    </row>
    <row r="62" customFormat="false" ht="21" hidden="false" customHeight="true" outlineLevel="0" collapsed="false">
      <c r="A62" s="91" t="str">
        <f aca="false">IF(名簿!$D62="","",名簿!$B62&amp;"")</f>
        <v/>
      </c>
      <c r="B62" s="91" t="str">
        <f aca="false">IF(名簿!$D62="","",名簿!$C62)</f>
        <v/>
      </c>
      <c r="C62" s="59" t="str">
        <f aca="false">IF(名簿!$D62="","",名簿!$D62&amp;IF(名簿!$F62="転出","（転出）",""))</f>
        <v/>
      </c>
      <c r="D62" s="149"/>
      <c r="E62" s="61" t="str">
        <f aca="false">IF(OR($C62="",名簿!$F62="転出"),"",IF($C$2="学級ごと",$A62,IF($C$2="前の単元と同じ",単元01!$E62&amp;"",$D62&amp;"")))</f>
        <v/>
      </c>
      <c r="F62" s="150"/>
      <c r="G62" s="150"/>
      <c r="H62" s="150"/>
      <c r="I62" s="151"/>
      <c r="J62" s="41" t="str">
        <f aca="false">IF($E62="","",$E62&amp;"|"&amp;COUNTIF($E$5:$E62,$E62))</f>
        <v/>
      </c>
      <c r="K62" s="40" t="str">
        <f aca="false">IF($I62="","",LEN($I62))</f>
        <v/>
      </c>
      <c r="L62" s="13"/>
      <c r="M62" s="13"/>
      <c r="N62" s="13"/>
      <c r="O62" s="13"/>
      <c r="P62" s="152"/>
      <c r="Q62" s="149"/>
      <c r="R62" s="152"/>
      <c r="S62" s="152"/>
      <c r="T62" s="62" t="str">
        <f aca="false">IF(OR($C62="",R62=""),"",IF(R62/IF($R$2="",100,$R$2)&gt;=設定!$I$28,設定!$G$8,IF(R62/IF($R$2="",100,$R$2)&lt;設定!$I$29,設定!$G$10,設定!$G$9)))</f>
        <v/>
      </c>
      <c r="U62" s="62" t="str">
        <f aca="false">IF(OR($C62="",S62=""),"",IF(S62/IF($S$2="",100,$S$2)&gt;=設定!$I$28,設定!$G$8,IF(S62/IF($S$2="",100,$S$2)&lt;設定!$I$29,設定!$G$10,設定!$G$9)))</f>
        <v/>
      </c>
    </row>
    <row r="63" customFormat="false" ht="21" hidden="false" customHeight="true" outlineLevel="0" collapsed="false">
      <c r="A63" s="91" t="str">
        <f aca="false">IF(名簿!$D63="","",名簿!$B63&amp;"")</f>
        <v/>
      </c>
      <c r="B63" s="91" t="str">
        <f aca="false">IF(名簿!$D63="","",名簿!$C63)</f>
        <v/>
      </c>
      <c r="C63" s="59" t="str">
        <f aca="false">IF(名簿!$D63="","",名簿!$D63&amp;IF(名簿!$F63="転出","（転出）",""))</f>
        <v/>
      </c>
      <c r="D63" s="149"/>
      <c r="E63" s="61" t="str">
        <f aca="false">IF(OR($C63="",名簿!$F63="転出"),"",IF($C$2="学級ごと",$A63,IF($C$2="前の単元と同じ",単元01!$E63&amp;"",$D63&amp;"")))</f>
        <v/>
      </c>
      <c r="F63" s="150"/>
      <c r="G63" s="150"/>
      <c r="H63" s="150"/>
      <c r="I63" s="151"/>
      <c r="J63" s="41" t="str">
        <f aca="false">IF($E63="","",$E63&amp;"|"&amp;COUNTIF($E$5:$E63,$E63))</f>
        <v/>
      </c>
      <c r="K63" s="40" t="str">
        <f aca="false">IF($I63="","",LEN($I63))</f>
        <v/>
      </c>
      <c r="L63" s="13"/>
      <c r="M63" s="13"/>
      <c r="N63" s="13"/>
      <c r="O63" s="13"/>
      <c r="P63" s="152"/>
      <c r="Q63" s="149"/>
      <c r="R63" s="152"/>
      <c r="S63" s="152"/>
      <c r="T63" s="62" t="str">
        <f aca="false">IF(OR($C63="",R63=""),"",IF(R63/IF($R$2="",100,$R$2)&gt;=設定!$I$28,設定!$G$8,IF(R63/IF($R$2="",100,$R$2)&lt;設定!$I$29,設定!$G$10,設定!$G$9)))</f>
        <v/>
      </c>
      <c r="U63" s="62" t="str">
        <f aca="false">IF(OR($C63="",S63=""),"",IF(S63/IF($S$2="",100,$S$2)&gt;=設定!$I$28,設定!$G$8,IF(S63/IF($S$2="",100,$S$2)&lt;設定!$I$29,設定!$G$10,設定!$G$9)))</f>
        <v/>
      </c>
    </row>
    <row r="64" customFormat="false" ht="21" hidden="false" customHeight="true" outlineLevel="0" collapsed="false">
      <c r="A64" s="91" t="str">
        <f aca="false">IF(名簿!$D64="","",名簿!$B64&amp;"")</f>
        <v/>
      </c>
      <c r="B64" s="91" t="str">
        <f aca="false">IF(名簿!$D64="","",名簿!$C64)</f>
        <v/>
      </c>
      <c r="C64" s="59" t="str">
        <f aca="false">IF(名簿!$D64="","",名簿!$D64&amp;IF(名簿!$F64="転出","（転出）",""))</f>
        <v/>
      </c>
      <c r="D64" s="149"/>
      <c r="E64" s="61" t="str">
        <f aca="false">IF(OR($C64="",名簿!$F64="転出"),"",IF($C$2="学級ごと",$A64,IF($C$2="前の単元と同じ",単元01!$E64&amp;"",$D64&amp;"")))</f>
        <v/>
      </c>
      <c r="F64" s="150"/>
      <c r="G64" s="150"/>
      <c r="H64" s="150"/>
      <c r="I64" s="151"/>
      <c r="J64" s="41" t="str">
        <f aca="false">IF($E64="","",$E64&amp;"|"&amp;COUNTIF($E$5:$E64,$E64))</f>
        <v/>
      </c>
      <c r="K64" s="40" t="str">
        <f aca="false">IF($I64="","",LEN($I64))</f>
        <v/>
      </c>
      <c r="L64" s="13"/>
      <c r="M64" s="13"/>
      <c r="N64" s="13"/>
      <c r="O64" s="13"/>
      <c r="P64" s="152"/>
      <c r="Q64" s="149"/>
      <c r="R64" s="152"/>
      <c r="S64" s="152"/>
      <c r="T64" s="62" t="str">
        <f aca="false">IF(OR($C64="",R64=""),"",IF(R64/IF($R$2="",100,$R$2)&gt;=設定!$I$28,設定!$G$8,IF(R64/IF($R$2="",100,$R$2)&lt;設定!$I$29,設定!$G$10,設定!$G$9)))</f>
        <v/>
      </c>
      <c r="U64" s="62" t="str">
        <f aca="false">IF(OR($C64="",S64=""),"",IF(S64/IF($S$2="",100,$S$2)&gt;=設定!$I$28,設定!$G$8,IF(S64/IF($S$2="",100,$S$2)&lt;設定!$I$29,設定!$G$10,設定!$G$9)))</f>
        <v/>
      </c>
    </row>
    <row r="65" customFormat="false" ht="21" hidden="false" customHeight="true" outlineLevel="0" collapsed="false">
      <c r="A65" s="91" t="str">
        <f aca="false">IF(名簿!$D65="","",名簿!$B65&amp;"")</f>
        <v/>
      </c>
      <c r="B65" s="91" t="str">
        <f aca="false">IF(名簿!$D65="","",名簿!$C65)</f>
        <v/>
      </c>
      <c r="C65" s="59" t="str">
        <f aca="false">IF(名簿!$D65="","",名簿!$D65&amp;IF(名簿!$F65="転出","（転出）",""))</f>
        <v/>
      </c>
      <c r="D65" s="149"/>
      <c r="E65" s="61" t="str">
        <f aca="false">IF(OR($C65="",名簿!$F65="転出"),"",IF($C$2="学級ごと",$A65,IF($C$2="前の単元と同じ",単元01!$E65&amp;"",$D65&amp;"")))</f>
        <v/>
      </c>
      <c r="F65" s="150"/>
      <c r="G65" s="150"/>
      <c r="H65" s="150"/>
      <c r="I65" s="151"/>
      <c r="J65" s="41" t="str">
        <f aca="false">IF($E65="","",$E65&amp;"|"&amp;COUNTIF($E$5:$E65,$E65))</f>
        <v/>
      </c>
      <c r="K65" s="40" t="str">
        <f aca="false">IF($I65="","",LEN($I65))</f>
        <v/>
      </c>
      <c r="L65" s="13"/>
      <c r="M65" s="13"/>
      <c r="N65" s="13"/>
      <c r="O65" s="13"/>
      <c r="P65" s="152"/>
      <c r="Q65" s="149"/>
      <c r="R65" s="152"/>
      <c r="S65" s="152"/>
      <c r="T65" s="62" t="str">
        <f aca="false">IF(OR($C65="",R65=""),"",IF(R65/IF($R$2="",100,$R$2)&gt;=設定!$I$28,設定!$G$8,IF(R65/IF($R$2="",100,$R$2)&lt;設定!$I$29,設定!$G$10,設定!$G$9)))</f>
        <v/>
      </c>
      <c r="U65" s="62" t="str">
        <f aca="false">IF(OR($C65="",S65=""),"",IF(S65/IF($S$2="",100,$S$2)&gt;=設定!$I$28,設定!$G$8,IF(S65/IF($S$2="",100,$S$2)&lt;設定!$I$29,設定!$G$10,設定!$G$9)))</f>
        <v/>
      </c>
    </row>
    <row r="66" customFormat="false" ht="21" hidden="false" customHeight="true" outlineLevel="0" collapsed="false">
      <c r="A66" s="91" t="str">
        <f aca="false">IF(名簿!$D66="","",名簿!$B66&amp;"")</f>
        <v/>
      </c>
      <c r="B66" s="91" t="str">
        <f aca="false">IF(名簿!$D66="","",名簿!$C66)</f>
        <v/>
      </c>
      <c r="C66" s="59" t="str">
        <f aca="false">IF(名簿!$D66="","",名簿!$D66&amp;IF(名簿!$F66="転出","（転出）",""))</f>
        <v/>
      </c>
      <c r="D66" s="149"/>
      <c r="E66" s="61" t="str">
        <f aca="false">IF(OR($C66="",名簿!$F66="転出"),"",IF($C$2="学級ごと",$A66,IF($C$2="前の単元と同じ",単元01!$E66&amp;"",$D66&amp;"")))</f>
        <v/>
      </c>
      <c r="F66" s="150"/>
      <c r="G66" s="150"/>
      <c r="H66" s="150"/>
      <c r="I66" s="151"/>
      <c r="J66" s="41" t="str">
        <f aca="false">IF($E66="","",$E66&amp;"|"&amp;COUNTIF($E$5:$E66,$E66))</f>
        <v/>
      </c>
      <c r="K66" s="40" t="str">
        <f aca="false">IF($I66="","",LEN($I66))</f>
        <v/>
      </c>
      <c r="L66" s="13"/>
      <c r="M66" s="13"/>
      <c r="N66" s="13"/>
      <c r="O66" s="13"/>
      <c r="P66" s="152"/>
      <c r="Q66" s="149"/>
      <c r="R66" s="152"/>
      <c r="S66" s="152"/>
      <c r="T66" s="62" t="str">
        <f aca="false">IF(OR($C66="",R66=""),"",IF(R66/IF($R$2="",100,$R$2)&gt;=設定!$I$28,設定!$G$8,IF(R66/IF($R$2="",100,$R$2)&lt;設定!$I$29,設定!$G$10,設定!$G$9)))</f>
        <v/>
      </c>
      <c r="U66" s="62" t="str">
        <f aca="false">IF(OR($C66="",S66=""),"",IF(S66/IF($S$2="",100,$S$2)&gt;=設定!$I$28,設定!$G$8,IF(S66/IF($S$2="",100,$S$2)&lt;設定!$I$29,設定!$G$10,設定!$G$9)))</f>
        <v/>
      </c>
    </row>
    <row r="67" customFormat="false" ht="21" hidden="false" customHeight="true" outlineLevel="0" collapsed="false">
      <c r="A67" s="91" t="str">
        <f aca="false">IF(名簿!$D67="","",名簿!$B67&amp;"")</f>
        <v/>
      </c>
      <c r="B67" s="91" t="str">
        <f aca="false">IF(名簿!$D67="","",名簿!$C67)</f>
        <v/>
      </c>
      <c r="C67" s="59" t="str">
        <f aca="false">IF(名簿!$D67="","",名簿!$D67&amp;IF(名簿!$F67="転出","（転出）",""))</f>
        <v/>
      </c>
      <c r="D67" s="149"/>
      <c r="E67" s="61" t="str">
        <f aca="false">IF(OR($C67="",名簿!$F67="転出"),"",IF($C$2="学級ごと",$A67,IF($C$2="前の単元と同じ",単元01!$E67&amp;"",$D67&amp;"")))</f>
        <v/>
      </c>
      <c r="F67" s="150"/>
      <c r="G67" s="150"/>
      <c r="H67" s="150"/>
      <c r="I67" s="151"/>
      <c r="J67" s="41" t="str">
        <f aca="false">IF($E67="","",$E67&amp;"|"&amp;COUNTIF($E$5:$E67,$E67))</f>
        <v/>
      </c>
      <c r="K67" s="40" t="str">
        <f aca="false">IF($I67="","",LEN($I67))</f>
        <v/>
      </c>
      <c r="L67" s="13"/>
      <c r="M67" s="13"/>
      <c r="N67" s="13"/>
      <c r="O67" s="13"/>
      <c r="P67" s="152"/>
      <c r="Q67" s="149"/>
      <c r="R67" s="152"/>
      <c r="S67" s="152"/>
      <c r="T67" s="62" t="str">
        <f aca="false">IF(OR($C67="",R67=""),"",IF(R67/IF($R$2="",100,$R$2)&gt;=設定!$I$28,設定!$G$8,IF(R67/IF($R$2="",100,$R$2)&lt;設定!$I$29,設定!$G$10,設定!$G$9)))</f>
        <v/>
      </c>
      <c r="U67" s="62" t="str">
        <f aca="false">IF(OR($C67="",S67=""),"",IF(S67/IF($S$2="",100,$S$2)&gt;=設定!$I$28,設定!$G$8,IF(S67/IF($S$2="",100,$S$2)&lt;設定!$I$29,設定!$G$10,設定!$G$9)))</f>
        <v/>
      </c>
    </row>
    <row r="68" customFormat="false" ht="21" hidden="false" customHeight="true" outlineLevel="0" collapsed="false">
      <c r="A68" s="91" t="str">
        <f aca="false">IF(名簿!$D68="","",名簿!$B68&amp;"")</f>
        <v/>
      </c>
      <c r="B68" s="91" t="str">
        <f aca="false">IF(名簿!$D68="","",名簿!$C68)</f>
        <v/>
      </c>
      <c r="C68" s="59" t="str">
        <f aca="false">IF(名簿!$D68="","",名簿!$D68&amp;IF(名簿!$F68="転出","（転出）",""))</f>
        <v/>
      </c>
      <c r="D68" s="149"/>
      <c r="E68" s="61" t="str">
        <f aca="false">IF(OR($C68="",名簿!$F68="転出"),"",IF($C$2="学級ごと",$A68,IF($C$2="前の単元と同じ",単元01!$E68&amp;"",$D68&amp;"")))</f>
        <v/>
      </c>
      <c r="F68" s="150"/>
      <c r="G68" s="150"/>
      <c r="H68" s="150"/>
      <c r="I68" s="151"/>
      <c r="J68" s="41" t="str">
        <f aca="false">IF($E68="","",$E68&amp;"|"&amp;COUNTIF($E$5:$E68,$E68))</f>
        <v/>
      </c>
      <c r="K68" s="40" t="str">
        <f aca="false">IF($I68="","",LEN($I68))</f>
        <v/>
      </c>
      <c r="L68" s="13"/>
      <c r="M68" s="13"/>
      <c r="N68" s="13"/>
      <c r="O68" s="13"/>
      <c r="P68" s="152"/>
      <c r="Q68" s="149"/>
      <c r="R68" s="152"/>
      <c r="S68" s="152"/>
      <c r="T68" s="62" t="str">
        <f aca="false">IF(OR($C68="",R68=""),"",IF(R68/IF($R$2="",100,$R$2)&gt;=設定!$I$28,設定!$G$8,IF(R68/IF($R$2="",100,$R$2)&lt;設定!$I$29,設定!$G$10,設定!$G$9)))</f>
        <v/>
      </c>
      <c r="U68" s="62" t="str">
        <f aca="false">IF(OR($C68="",S68=""),"",IF(S68/IF($S$2="",100,$S$2)&gt;=設定!$I$28,設定!$G$8,IF(S68/IF($S$2="",100,$S$2)&lt;設定!$I$29,設定!$G$10,設定!$G$9)))</f>
        <v/>
      </c>
    </row>
    <row r="69" customFormat="false" ht="21" hidden="false" customHeight="true" outlineLevel="0" collapsed="false">
      <c r="A69" s="91" t="str">
        <f aca="false">IF(名簿!$D69="","",名簿!$B69&amp;"")</f>
        <v/>
      </c>
      <c r="B69" s="91" t="str">
        <f aca="false">IF(名簿!$D69="","",名簿!$C69)</f>
        <v/>
      </c>
      <c r="C69" s="59" t="str">
        <f aca="false">IF(名簿!$D69="","",名簿!$D69&amp;IF(名簿!$F69="転出","（転出）",""))</f>
        <v/>
      </c>
      <c r="D69" s="149"/>
      <c r="E69" s="61" t="str">
        <f aca="false">IF(OR($C69="",名簿!$F69="転出"),"",IF($C$2="学級ごと",$A69,IF($C$2="前の単元と同じ",単元01!$E69&amp;"",$D69&amp;"")))</f>
        <v/>
      </c>
      <c r="F69" s="150"/>
      <c r="G69" s="150"/>
      <c r="H69" s="150"/>
      <c r="I69" s="151"/>
      <c r="J69" s="41" t="str">
        <f aca="false">IF($E69="","",$E69&amp;"|"&amp;COUNTIF($E$5:$E69,$E69))</f>
        <v/>
      </c>
      <c r="K69" s="40" t="str">
        <f aca="false">IF($I69="","",LEN($I69))</f>
        <v/>
      </c>
      <c r="L69" s="13"/>
      <c r="M69" s="13"/>
      <c r="N69" s="13"/>
      <c r="O69" s="13"/>
      <c r="P69" s="152"/>
      <c r="Q69" s="149"/>
      <c r="R69" s="152"/>
      <c r="S69" s="152"/>
      <c r="T69" s="62" t="str">
        <f aca="false">IF(OR($C69="",R69=""),"",IF(R69/IF($R$2="",100,$R$2)&gt;=設定!$I$28,設定!$G$8,IF(R69/IF($R$2="",100,$R$2)&lt;設定!$I$29,設定!$G$10,設定!$G$9)))</f>
        <v/>
      </c>
      <c r="U69" s="62" t="str">
        <f aca="false">IF(OR($C69="",S69=""),"",IF(S69/IF($S$2="",100,$S$2)&gt;=設定!$I$28,設定!$G$8,IF(S69/IF($S$2="",100,$S$2)&lt;設定!$I$29,設定!$G$10,設定!$G$9)))</f>
        <v/>
      </c>
    </row>
    <row r="70" customFormat="false" ht="21" hidden="false" customHeight="true" outlineLevel="0" collapsed="false">
      <c r="A70" s="91" t="str">
        <f aca="false">IF(名簿!$D70="","",名簿!$B70&amp;"")</f>
        <v/>
      </c>
      <c r="B70" s="91" t="str">
        <f aca="false">IF(名簿!$D70="","",名簿!$C70)</f>
        <v/>
      </c>
      <c r="C70" s="59" t="str">
        <f aca="false">IF(名簿!$D70="","",名簿!$D70&amp;IF(名簿!$F70="転出","（転出）",""))</f>
        <v/>
      </c>
      <c r="D70" s="149"/>
      <c r="E70" s="61" t="str">
        <f aca="false">IF(OR($C70="",名簿!$F70="転出"),"",IF($C$2="学級ごと",$A70,IF($C$2="前の単元と同じ",単元01!$E70&amp;"",$D70&amp;"")))</f>
        <v/>
      </c>
      <c r="F70" s="150"/>
      <c r="G70" s="150"/>
      <c r="H70" s="150"/>
      <c r="I70" s="151"/>
      <c r="J70" s="41" t="str">
        <f aca="false">IF($E70="","",$E70&amp;"|"&amp;COUNTIF($E$5:$E70,$E70))</f>
        <v/>
      </c>
      <c r="K70" s="40" t="str">
        <f aca="false">IF($I70="","",LEN($I70))</f>
        <v/>
      </c>
      <c r="L70" s="13"/>
      <c r="M70" s="13"/>
      <c r="N70" s="13"/>
      <c r="O70" s="13"/>
      <c r="P70" s="152"/>
      <c r="Q70" s="149"/>
      <c r="R70" s="152"/>
      <c r="S70" s="152"/>
      <c r="T70" s="62" t="str">
        <f aca="false">IF(OR($C70="",R70=""),"",IF(R70/IF($R$2="",100,$R$2)&gt;=設定!$I$28,設定!$G$8,IF(R70/IF($R$2="",100,$R$2)&lt;設定!$I$29,設定!$G$10,設定!$G$9)))</f>
        <v/>
      </c>
      <c r="U70" s="62" t="str">
        <f aca="false">IF(OR($C70="",S70=""),"",IF(S70/IF($S$2="",100,$S$2)&gt;=設定!$I$28,設定!$G$8,IF(S70/IF($S$2="",100,$S$2)&lt;設定!$I$29,設定!$G$10,設定!$G$9)))</f>
        <v/>
      </c>
    </row>
    <row r="71" customFormat="false" ht="21" hidden="false" customHeight="true" outlineLevel="0" collapsed="false">
      <c r="A71" s="91" t="str">
        <f aca="false">IF(名簿!$D71="","",名簿!$B71&amp;"")</f>
        <v/>
      </c>
      <c r="B71" s="91" t="str">
        <f aca="false">IF(名簿!$D71="","",名簿!$C71)</f>
        <v/>
      </c>
      <c r="C71" s="59" t="str">
        <f aca="false">IF(名簿!$D71="","",名簿!$D71&amp;IF(名簿!$F71="転出","（転出）",""))</f>
        <v/>
      </c>
      <c r="D71" s="149"/>
      <c r="E71" s="61" t="str">
        <f aca="false">IF(OR($C71="",名簿!$F71="転出"),"",IF($C$2="学級ごと",$A71,IF($C$2="前の単元と同じ",単元01!$E71&amp;"",$D71&amp;"")))</f>
        <v/>
      </c>
      <c r="F71" s="150"/>
      <c r="G71" s="150"/>
      <c r="H71" s="150"/>
      <c r="I71" s="151"/>
      <c r="J71" s="41" t="str">
        <f aca="false">IF($E71="","",$E71&amp;"|"&amp;COUNTIF($E$5:$E71,$E71))</f>
        <v/>
      </c>
      <c r="K71" s="40" t="str">
        <f aca="false">IF($I71="","",LEN($I71))</f>
        <v/>
      </c>
      <c r="L71" s="13"/>
      <c r="M71" s="13"/>
      <c r="N71" s="13"/>
      <c r="O71" s="13"/>
      <c r="P71" s="152"/>
      <c r="Q71" s="149"/>
      <c r="R71" s="152"/>
      <c r="S71" s="152"/>
      <c r="T71" s="62" t="str">
        <f aca="false">IF(OR($C71="",R71=""),"",IF(R71/IF($R$2="",100,$R$2)&gt;=設定!$I$28,設定!$G$8,IF(R71/IF($R$2="",100,$R$2)&lt;設定!$I$29,設定!$G$10,設定!$G$9)))</f>
        <v/>
      </c>
      <c r="U71" s="62" t="str">
        <f aca="false">IF(OR($C71="",S71=""),"",IF(S71/IF($S$2="",100,$S$2)&gt;=設定!$I$28,設定!$G$8,IF(S71/IF($S$2="",100,$S$2)&lt;設定!$I$29,設定!$G$10,設定!$G$9)))</f>
        <v/>
      </c>
    </row>
    <row r="72" customFormat="false" ht="21" hidden="false" customHeight="true" outlineLevel="0" collapsed="false">
      <c r="A72" s="91" t="str">
        <f aca="false">IF(名簿!$D72="","",名簿!$B72&amp;"")</f>
        <v/>
      </c>
      <c r="B72" s="91" t="str">
        <f aca="false">IF(名簿!$D72="","",名簿!$C72)</f>
        <v/>
      </c>
      <c r="C72" s="59" t="str">
        <f aca="false">IF(名簿!$D72="","",名簿!$D72&amp;IF(名簿!$F72="転出","（転出）",""))</f>
        <v/>
      </c>
      <c r="D72" s="149"/>
      <c r="E72" s="61" t="str">
        <f aca="false">IF(OR($C72="",名簿!$F72="転出"),"",IF($C$2="学級ごと",$A72,IF($C$2="前の単元と同じ",単元01!$E72&amp;"",$D72&amp;"")))</f>
        <v/>
      </c>
      <c r="F72" s="150"/>
      <c r="G72" s="150"/>
      <c r="H72" s="150"/>
      <c r="I72" s="151"/>
      <c r="J72" s="41" t="str">
        <f aca="false">IF($E72="","",$E72&amp;"|"&amp;COUNTIF($E$5:$E72,$E72))</f>
        <v/>
      </c>
      <c r="K72" s="40" t="str">
        <f aca="false">IF($I72="","",LEN($I72))</f>
        <v/>
      </c>
      <c r="L72" s="13"/>
      <c r="M72" s="13"/>
      <c r="N72" s="13"/>
      <c r="O72" s="13"/>
      <c r="P72" s="152"/>
      <c r="Q72" s="149"/>
      <c r="R72" s="152"/>
      <c r="S72" s="152"/>
      <c r="T72" s="62" t="str">
        <f aca="false">IF(OR($C72="",R72=""),"",IF(R72/IF($R$2="",100,$R$2)&gt;=設定!$I$28,設定!$G$8,IF(R72/IF($R$2="",100,$R$2)&lt;設定!$I$29,設定!$G$10,設定!$G$9)))</f>
        <v/>
      </c>
      <c r="U72" s="62" t="str">
        <f aca="false">IF(OR($C72="",S72=""),"",IF(S72/IF($S$2="",100,$S$2)&gt;=設定!$I$28,設定!$G$8,IF(S72/IF($S$2="",100,$S$2)&lt;設定!$I$29,設定!$G$10,設定!$G$9)))</f>
        <v/>
      </c>
    </row>
    <row r="73" customFormat="false" ht="21" hidden="false" customHeight="true" outlineLevel="0" collapsed="false">
      <c r="A73" s="91" t="str">
        <f aca="false">IF(名簿!$D73="","",名簿!$B73&amp;"")</f>
        <v/>
      </c>
      <c r="B73" s="91" t="str">
        <f aca="false">IF(名簿!$D73="","",名簿!$C73)</f>
        <v/>
      </c>
      <c r="C73" s="59" t="str">
        <f aca="false">IF(名簿!$D73="","",名簿!$D73&amp;IF(名簿!$F73="転出","（転出）",""))</f>
        <v/>
      </c>
      <c r="D73" s="149"/>
      <c r="E73" s="61" t="str">
        <f aca="false">IF(OR($C73="",名簿!$F73="転出"),"",IF($C$2="学級ごと",$A73,IF($C$2="前の単元と同じ",単元01!$E73&amp;"",$D73&amp;"")))</f>
        <v/>
      </c>
      <c r="F73" s="150"/>
      <c r="G73" s="150"/>
      <c r="H73" s="150"/>
      <c r="I73" s="151"/>
      <c r="J73" s="41" t="str">
        <f aca="false">IF($E73="","",$E73&amp;"|"&amp;COUNTIF($E$5:$E73,$E73))</f>
        <v/>
      </c>
      <c r="K73" s="40" t="str">
        <f aca="false">IF($I73="","",LEN($I73))</f>
        <v/>
      </c>
      <c r="L73" s="13"/>
      <c r="M73" s="13"/>
      <c r="N73" s="13"/>
      <c r="O73" s="13"/>
      <c r="P73" s="152"/>
      <c r="Q73" s="149"/>
      <c r="R73" s="152"/>
      <c r="S73" s="152"/>
      <c r="T73" s="62" t="str">
        <f aca="false">IF(OR($C73="",R73=""),"",IF(R73/IF($R$2="",100,$R$2)&gt;=設定!$I$28,設定!$G$8,IF(R73/IF($R$2="",100,$R$2)&lt;設定!$I$29,設定!$G$10,設定!$G$9)))</f>
        <v/>
      </c>
      <c r="U73" s="62" t="str">
        <f aca="false">IF(OR($C73="",S73=""),"",IF(S73/IF($S$2="",100,$S$2)&gt;=設定!$I$28,設定!$G$8,IF(S73/IF($S$2="",100,$S$2)&lt;設定!$I$29,設定!$G$10,設定!$G$9)))</f>
        <v/>
      </c>
    </row>
    <row r="74" customFormat="false" ht="21" hidden="false" customHeight="true" outlineLevel="0" collapsed="false">
      <c r="A74" s="91" t="str">
        <f aca="false">IF(名簿!$D74="","",名簿!$B74&amp;"")</f>
        <v/>
      </c>
      <c r="B74" s="91" t="str">
        <f aca="false">IF(名簿!$D74="","",名簿!$C74)</f>
        <v/>
      </c>
      <c r="C74" s="59" t="str">
        <f aca="false">IF(名簿!$D74="","",名簿!$D74&amp;IF(名簿!$F74="転出","（転出）",""))</f>
        <v/>
      </c>
      <c r="D74" s="149"/>
      <c r="E74" s="61" t="str">
        <f aca="false">IF(OR($C74="",名簿!$F74="転出"),"",IF($C$2="学級ごと",$A74,IF($C$2="前の単元と同じ",単元01!$E74&amp;"",$D74&amp;"")))</f>
        <v/>
      </c>
      <c r="F74" s="150"/>
      <c r="G74" s="150"/>
      <c r="H74" s="150"/>
      <c r="I74" s="151"/>
      <c r="J74" s="41" t="str">
        <f aca="false">IF($E74="","",$E74&amp;"|"&amp;COUNTIF($E$5:$E74,$E74))</f>
        <v/>
      </c>
      <c r="K74" s="40" t="str">
        <f aca="false">IF($I74="","",LEN($I74))</f>
        <v/>
      </c>
      <c r="L74" s="13"/>
      <c r="M74" s="13"/>
      <c r="N74" s="13"/>
      <c r="O74" s="13"/>
      <c r="P74" s="152"/>
      <c r="Q74" s="149"/>
      <c r="R74" s="152"/>
      <c r="S74" s="152"/>
      <c r="T74" s="62" t="str">
        <f aca="false">IF(OR($C74="",R74=""),"",IF(R74/IF($R$2="",100,$R$2)&gt;=設定!$I$28,設定!$G$8,IF(R74/IF($R$2="",100,$R$2)&lt;設定!$I$29,設定!$G$10,設定!$G$9)))</f>
        <v/>
      </c>
      <c r="U74" s="62" t="str">
        <f aca="false">IF(OR($C74="",S74=""),"",IF(S74/IF($S$2="",100,$S$2)&gt;=設定!$I$28,設定!$G$8,IF(S74/IF($S$2="",100,$S$2)&lt;設定!$I$29,設定!$G$10,設定!$G$9)))</f>
        <v/>
      </c>
    </row>
    <row r="75" customFormat="false" ht="21" hidden="false" customHeight="true" outlineLevel="0" collapsed="false">
      <c r="A75" s="91" t="str">
        <f aca="false">IF(名簿!$D75="","",名簿!$B75&amp;"")</f>
        <v/>
      </c>
      <c r="B75" s="91" t="str">
        <f aca="false">IF(名簿!$D75="","",名簿!$C75)</f>
        <v/>
      </c>
      <c r="C75" s="59" t="str">
        <f aca="false">IF(名簿!$D75="","",名簿!$D75&amp;IF(名簿!$F75="転出","（転出）",""))</f>
        <v/>
      </c>
      <c r="D75" s="149"/>
      <c r="E75" s="61" t="str">
        <f aca="false">IF(OR($C75="",名簿!$F75="転出"),"",IF($C$2="学級ごと",$A75,IF($C$2="前の単元と同じ",単元01!$E75&amp;"",$D75&amp;"")))</f>
        <v/>
      </c>
      <c r="F75" s="150"/>
      <c r="G75" s="150"/>
      <c r="H75" s="150"/>
      <c r="I75" s="151"/>
      <c r="J75" s="41" t="str">
        <f aca="false">IF($E75="","",$E75&amp;"|"&amp;COUNTIF($E$5:$E75,$E75))</f>
        <v/>
      </c>
      <c r="K75" s="40" t="str">
        <f aca="false">IF($I75="","",LEN($I75))</f>
        <v/>
      </c>
      <c r="L75" s="13"/>
      <c r="M75" s="13"/>
      <c r="N75" s="13"/>
      <c r="O75" s="13"/>
      <c r="P75" s="152"/>
      <c r="Q75" s="149"/>
      <c r="R75" s="152"/>
      <c r="S75" s="152"/>
      <c r="T75" s="62" t="str">
        <f aca="false">IF(OR($C75="",R75=""),"",IF(R75/IF($R$2="",100,$R$2)&gt;=設定!$I$28,設定!$G$8,IF(R75/IF($R$2="",100,$R$2)&lt;設定!$I$29,設定!$G$10,設定!$G$9)))</f>
        <v/>
      </c>
      <c r="U75" s="62" t="str">
        <f aca="false">IF(OR($C75="",S75=""),"",IF(S75/IF($S$2="",100,$S$2)&gt;=設定!$I$28,設定!$G$8,IF(S75/IF($S$2="",100,$S$2)&lt;設定!$I$29,設定!$G$10,設定!$G$9)))</f>
        <v/>
      </c>
    </row>
    <row r="76" customFormat="false" ht="21" hidden="false" customHeight="true" outlineLevel="0" collapsed="false">
      <c r="A76" s="91" t="str">
        <f aca="false">IF(名簿!$D76="","",名簿!$B76&amp;"")</f>
        <v/>
      </c>
      <c r="B76" s="91" t="str">
        <f aca="false">IF(名簿!$D76="","",名簿!$C76)</f>
        <v/>
      </c>
      <c r="C76" s="59" t="str">
        <f aca="false">IF(名簿!$D76="","",名簿!$D76&amp;IF(名簿!$F76="転出","（転出）",""))</f>
        <v/>
      </c>
      <c r="D76" s="149"/>
      <c r="E76" s="61" t="str">
        <f aca="false">IF(OR($C76="",名簿!$F76="転出"),"",IF($C$2="学級ごと",$A76,IF($C$2="前の単元と同じ",単元01!$E76&amp;"",$D76&amp;"")))</f>
        <v/>
      </c>
      <c r="F76" s="150"/>
      <c r="G76" s="150"/>
      <c r="H76" s="150"/>
      <c r="I76" s="151"/>
      <c r="J76" s="41" t="str">
        <f aca="false">IF($E76="","",$E76&amp;"|"&amp;COUNTIF($E$5:$E76,$E76))</f>
        <v/>
      </c>
      <c r="K76" s="40" t="str">
        <f aca="false">IF($I76="","",LEN($I76))</f>
        <v/>
      </c>
      <c r="L76" s="13"/>
      <c r="M76" s="13"/>
      <c r="N76" s="13"/>
      <c r="O76" s="13"/>
      <c r="P76" s="152"/>
      <c r="Q76" s="149"/>
      <c r="R76" s="152"/>
      <c r="S76" s="152"/>
      <c r="T76" s="62" t="str">
        <f aca="false">IF(OR($C76="",R76=""),"",IF(R76/IF($R$2="",100,$R$2)&gt;=設定!$I$28,設定!$G$8,IF(R76/IF($R$2="",100,$R$2)&lt;設定!$I$29,設定!$G$10,設定!$G$9)))</f>
        <v/>
      </c>
      <c r="U76" s="62" t="str">
        <f aca="false">IF(OR($C76="",S76=""),"",IF(S76/IF($S$2="",100,$S$2)&gt;=設定!$I$28,設定!$G$8,IF(S76/IF($S$2="",100,$S$2)&lt;設定!$I$29,設定!$G$10,設定!$G$9)))</f>
        <v/>
      </c>
    </row>
    <row r="77" customFormat="false" ht="21" hidden="false" customHeight="true" outlineLevel="0" collapsed="false">
      <c r="A77" s="91" t="str">
        <f aca="false">IF(名簿!$D77="","",名簿!$B77&amp;"")</f>
        <v/>
      </c>
      <c r="B77" s="91" t="str">
        <f aca="false">IF(名簿!$D77="","",名簿!$C77)</f>
        <v/>
      </c>
      <c r="C77" s="59" t="str">
        <f aca="false">IF(名簿!$D77="","",名簿!$D77&amp;IF(名簿!$F77="転出","（転出）",""))</f>
        <v/>
      </c>
      <c r="D77" s="149"/>
      <c r="E77" s="61" t="str">
        <f aca="false">IF(OR($C77="",名簿!$F77="転出"),"",IF($C$2="学級ごと",$A77,IF($C$2="前の単元と同じ",単元01!$E77&amp;"",$D77&amp;"")))</f>
        <v/>
      </c>
      <c r="F77" s="150"/>
      <c r="G77" s="150"/>
      <c r="H77" s="150"/>
      <c r="I77" s="151"/>
      <c r="J77" s="41" t="str">
        <f aca="false">IF($E77="","",$E77&amp;"|"&amp;COUNTIF($E$5:$E77,$E77))</f>
        <v/>
      </c>
      <c r="K77" s="40" t="str">
        <f aca="false">IF($I77="","",LEN($I77))</f>
        <v/>
      </c>
      <c r="L77" s="13"/>
      <c r="M77" s="13"/>
      <c r="N77" s="13"/>
      <c r="O77" s="13"/>
      <c r="P77" s="152"/>
      <c r="Q77" s="149"/>
      <c r="R77" s="152"/>
      <c r="S77" s="152"/>
      <c r="T77" s="62" t="str">
        <f aca="false">IF(OR($C77="",R77=""),"",IF(R77/IF($R$2="",100,$R$2)&gt;=設定!$I$28,設定!$G$8,IF(R77/IF($R$2="",100,$R$2)&lt;設定!$I$29,設定!$G$10,設定!$G$9)))</f>
        <v/>
      </c>
      <c r="U77" s="62" t="str">
        <f aca="false">IF(OR($C77="",S77=""),"",IF(S77/IF($S$2="",100,$S$2)&gt;=設定!$I$28,設定!$G$8,IF(S77/IF($S$2="",100,$S$2)&lt;設定!$I$29,設定!$G$10,設定!$G$9)))</f>
        <v/>
      </c>
    </row>
    <row r="78" customFormat="false" ht="21" hidden="false" customHeight="true" outlineLevel="0" collapsed="false">
      <c r="A78" s="91" t="str">
        <f aca="false">IF(名簿!$D78="","",名簿!$B78&amp;"")</f>
        <v/>
      </c>
      <c r="B78" s="91" t="str">
        <f aca="false">IF(名簿!$D78="","",名簿!$C78)</f>
        <v/>
      </c>
      <c r="C78" s="59" t="str">
        <f aca="false">IF(名簿!$D78="","",名簿!$D78&amp;IF(名簿!$F78="転出","（転出）",""))</f>
        <v/>
      </c>
      <c r="D78" s="149"/>
      <c r="E78" s="61" t="str">
        <f aca="false">IF(OR($C78="",名簿!$F78="転出"),"",IF($C$2="学級ごと",$A78,IF($C$2="前の単元と同じ",単元01!$E78&amp;"",$D78&amp;"")))</f>
        <v/>
      </c>
      <c r="F78" s="150"/>
      <c r="G78" s="150"/>
      <c r="H78" s="150"/>
      <c r="I78" s="151"/>
      <c r="J78" s="41" t="str">
        <f aca="false">IF($E78="","",$E78&amp;"|"&amp;COUNTIF($E$5:$E78,$E78))</f>
        <v/>
      </c>
      <c r="K78" s="40" t="str">
        <f aca="false">IF($I78="","",LEN($I78))</f>
        <v/>
      </c>
      <c r="L78" s="13"/>
      <c r="M78" s="13"/>
      <c r="N78" s="13"/>
      <c r="O78" s="13"/>
      <c r="P78" s="152"/>
      <c r="Q78" s="149"/>
      <c r="R78" s="152"/>
      <c r="S78" s="152"/>
      <c r="T78" s="62" t="str">
        <f aca="false">IF(OR($C78="",R78=""),"",IF(R78/IF($R$2="",100,$R$2)&gt;=設定!$I$28,設定!$G$8,IF(R78/IF($R$2="",100,$R$2)&lt;設定!$I$29,設定!$G$10,設定!$G$9)))</f>
        <v/>
      </c>
      <c r="U78" s="62" t="str">
        <f aca="false">IF(OR($C78="",S78=""),"",IF(S78/IF($S$2="",100,$S$2)&gt;=設定!$I$28,設定!$G$8,IF(S78/IF($S$2="",100,$S$2)&lt;設定!$I$29,設定!$G$10,設定!$G$9)))</f>
        <v/>
      </c>
    </row>
    <row r="79" customFormat="false" ht="21" hidden="false" customHeight="true" outlineLevel="0" collapsed="false">
      <c r="A79" s="91" t="str">
        <f aca="false">IF(名簿!$D79="","",名簿!$B79&amp;"")</f>
        <v/>
      </c>
      <c r="B79" s="91" t="str">
        <f aca="false">IF(名簿!$D79="","",名簿!$C79)</f>
        <v/>
      </c>
      <c r="C79" s="59" t="str">
        <f aca="false">IF(名簿!$D79="","",名簿!$D79&amp;IF(名簿!$F79="転出","（転出）",""))</f>
        <v/>
      </c>
      <c r="D79" s="149"/>
      <c r="E79" s="61" t="str">
        <f aca="false">IF(OR($C79="",名簿!$F79="転出"),"",IF($C$2="学級ごと",$A79,IF($C$2="前の単元と同じ",単元01!$E79&amp;"",$D79&amp;"")))</f>
        <v/>
      </c>
      <c r="F79" s="150"/>
      <c r="G79" s="150"/>
      <c r="H79" s="150"/>
      <c r="I79" s="151"/>
      <c r="J79" s="41" t="str">
        <f aca="false">IF($E79="","",$E79&amp;"|"&amp;COUNTIF($E$5:$E79,$E79))</f>
        <v/>
      </c>
      <c r="K79" s="40" t="str">
        <f aca="false">IF($I79="","",LEN($I79))</f>
        <v/>
      </c>
      <c r="L79" s="13"/>
      <c r="M79" s="13"/>
      <c r="N79" s="13"/>
      <c r="O79" s="13"/>
      <c r="P79" s="152"/>
      <c r="Q79" s="149"/>
      <c r="R79" s="152"/>
      <c r="S79" s="152"/>
      <c r="T79" s="62" t="str">
        <f aca="false">IF(OR($C79="",R79=""),"",IF(R79/IF($R$2="",100,$R$2)&gt;=設定!$I$28,設定!$G$8,IF(R79/IF($R$2="",100,$R$2)&lt;設定!$I$29,設定!$G$10,設定!$G$9)))</f>
        <v/>
      </c>
      <c r="U79" s="62" t="str">
        <f aca="false">IF(OR($C79="",S79=""),"",IF(S79/IF($S$2="",100,$S$2)&gt;=設定!$I$28,設定!$G$8,IF(S79/IF($S$2="",100,$S$2)&lt;設定!$I$29,設定!$G$10,設定!$G$9)))</f>
        <v/>
      </c>
    </row>
    <row r="80" customFormat="false" ht="21" hidden="false" customHeight="true" outlineLevel="0" collapsed="false">
      <c r="A80" s="91" t="str">
        <f aca="false">IF(名簿!$D80="","",名簿!$B80&amp;"")</f>
        <v/>
      </c>
      <c r="B80" s="91" t="str">
        <f aca="false">IF(名簿!$D80="","",名簿!$C80)</f>
        <v/>
      </c>
      <c r="C80" s="59" t="str">
        <f aca="false">IF(名簿!$D80="","",名簿!$D80&amp;IF(名簿!$F80="転出","（転出）",""))</f>
        <v/>
      </c>
      <c r="D80" s="149"/>
      <c r="E80" s="61" t="str">
        <f aca="false">IF(OR($C80="",名簿!$F80="転出"),"",IF($C$2="学級ごと",$A80,IF($C$2="前の単元と同じ",単元01!$E80&amp;"",$D80&amp;"")))</f>
        <v/>
      </c>
      <c r="F80" s="150"/>
      <c r="G80" s="150"/>
      <c r="H80" s="150"/>
      <c r="I80" s="151"/>
      <c r="J80" s="41" t="str">
        <f aca="false">IF($E80="","",$E80&amp;"|"&amp;COUNTIF($E$5:$E80,$E80))</f>
        <v/>
      </c>
      <c r="K80" s="40" t="str">
        <f aca="false">IF($I80="","",LEN($I80))</f>
        <v/>
      </c>
      <c r="L80" s="13"/>
      <c r="M80" s="13"/>
      <c r="N80" s="13"/>
      <c r="O80" s="13"/>
      <c r="P80" s="152"/>
      <c r="Q80" s="149"/>
      <c r="R80" s="152"/>
      <c r="S80" s="152"/>
      <c r="T80" s="62" t="str">
        <f aca="false">IF(OR($C80="",R80=""),"",IF(R80/IF($R$2="",100,$R$2)&gt;=設定!$I$28,設定!$G$8,IF(R80/IF($R$2="",100,$R$2)&lt;設定!$I$29,設定!$G$10,設定!$G$9)))</f>
        <v/>
      </c>
      <c r="U80" s="62" t="str">
        <f aca="false">IF(OR($C80="",S80=""),"",IF(S80/IF($S$2="",100,$S$2)&gt;=設定!$I$28,設定!$G$8,IF(S80/IF($S$2="",100,$S$2)&lt;設定!$I$29,設定!$G$10,設定!$G$9)))</f>
        <v/>
      </c>
    </row>
    <row r="81" customFormat="false" ht="21" hidden="false" customHeight="true" outlineLevel="0" collapsed="false">
      <c r="A81" s="91" t="str">
        <f aca="false">IF(名簿!$D81="","",名簿!$B81&amp;"")</f>
        <v/>
      </c>
      <c r="B81" s="91" t="str">
        <f aca="false">IF(名簿!$D81="","",名簿!$C81)</f>
        <v/>
      </c>
      <c r="C81" s="59" t="str">
        <f aca="false">IF(名簿!$D81="","",名簿!$D81&amp;IF(名簿!$F81="転出","（転出）",""))</f>
        <v/>
      </c>
      <c r="D81" s="149"/>
      <c r="E81" s="61" t="str">
        <f aca="false">IF(OR($C81="",名簿!$F81="転出"),"",IF($C$2="学級ごと",$A81,IF($C$2="前の単元と同じ",単元01!$E81&amp;"",$D81&amp;"")))</f>
        <v/>
      </c>
      <c r="F81" s="150"/>
      <c r="G81" s="150"/>
      <c r="H81" s="150"/>
      <c r="I81" s="151"/>
      <c r="J81" s="41" t="str">
        <f aca="false">IF($E81="","",$E81&amp;"|"&amp;COUNTIF($E$5:$E81,$E81))</f>
        <v/>
      </c>
      <c r="K81" s="40" t="str">
        <f aca="false">IF($I81="","",LEN($I81))</f>
        <v/>
      </c>
      <c r="L81" s="13"/>
      <c r="M81" s="13"/>
      <c r="N81" s="13"/>
      <c r="O81" s="13"/>
      <c r="P81" s="152"/>
      <c r="Q81" s="149"/>
      <c r="R81" s="152"/>
      <c r="S81" s="152"/>
      <c r="T81" s="62" t="str">
        <f aca="false">IF(OR($C81="",R81=""),"",IF(R81/IF($R$2="",100,$R$2)&gt;=設定!$I$28,設定!$G$8,IF(R81/IF($R$2="",100,$R$2)&lt;設定!$I$29,設定!$G$10,設定!$G$9)))</f>
        <v/>
      </c>
      <c r="U81" s="62" t="str">
        <f aca="false">IF(OR($C81="",S81=""),"",IF(S81/IF($S$2="",100,$S$2)&gt;=設定!$I$28,設定!$G$8,IF(S81/IF($S$2="",100,$S$2)&lt;設定!$I$29,設定!$G$10,設定!$G$9)))</f>
        <v/>
      </c>
    </row>
    <row r="82" customFormat="false" ht="21" hidden="false" customHeight="true" outlineLevel="0" collapsed="false">
      <c r="A82" s="91" t="str">
        <f aca="false">IF(名簿!$D82="","",名簿!$B82&amp;"")</f>
        <v/>
      </c>
      <c r="B82" s="91" t="str">
        <f aca="false">IF(名簿!$D82="","",名簿!$C82)</f>
        <v/>
      </c>
      <c r="C82" s="59" t="str">
        <f aca="false">IF(名簿!$D82="","",名簿!$D82&amp;IF(名簿!$F82="転出","（転出）",""))</f>
        <v/>
      </c>
      <c r="D82" s="149"/>
      <c r="E82" s="61" t="str">
        <f aca="false">IF(OR($C82="",名簿!$F82="転出"),"",IF($C$2="学級ごと",$A82,IF($C$2="前の単元と同じ",単元01!$E82&amp;"",$D82&amp;"")))</f>
        <v/>
      </c>
      <c r="F82" s="150"/>
      <c r="G82" s="150"/>
      <c r="H82" s="150"/>
      <c r="I82" s="151"/>
      <c r="J82" s="41" t="str">
        <f aca="false">IF($E82="","",$E82&amp;"|"&amp;COUNTIF($E$5:$E82,$E82))</f>
        <v/>
      </c>
      <c r="K82" s="40" t="str">
        <f aca="false">IF($I82="","",LEN($I82))</f>
        <v/>
      </c>
      <c r="L82" s="13"/>
      <c r="M82" s="13"/>
      <c r="N82" s="13"/>
      <c r="O82" s="13"/>
      <c r="P82" s="152"/>
      <c r="Q82" s="149"/>
      <c r="R82" s="152"/>
      <c r="S82" s="152"/>
      <c r="T82" s="62" t="str">
        <f aca="false">IF(OR($C82="",R82=""),"",IF(R82/IF($R$2="",100,$R$2)&gt;=設定!$I$28,設定!$G$8,IF(R82/IF($R$2="",100,$R$2)&lt;設定!$I$29,設定!$G$10,設定!$G$9)))</f>
        <v/>
      </c>
      <c r="U82" s="62" t="str">
        <f aca="false">IF(OR($C82="",S82=""),"",IF(S82/IF($S$2="",100,$S$2)&gt;=設定!$I$28,設定!$G$8,IF(S82/IF($S$2="",100,$S$2)&lt;設定!$I$29,設定!$G$10,設定!$G$9)))</f>
        <v/>
      </c>
    </row>
    <row r="83" customFormat="false" ht="21" hidden="false" customHeight="true" outlineLevel="0" collapsed="false">
      <c r="A83" s="91" t="str">
        <f aca="false">IF(名簿!$D83="","",名簿!$B83&amp;"")</f>
        <v/>
      </c>
      <c r="B83" s="91" t="str">
        <f aca="false">IF(名簿!$D83="","",名簿!$C83)</f>
        <v/>
      </c>
      <c r="C83" s="59" t="str">
        <f aca="false">IF(名簿!$D83="","",名簿!$D83&amp;IF(名簿!$F83="転出","（転出）",""))</f>
        <v/>
      </c>
      <c r="D83" s="149"/>
      <c r="E83" s="61" t="str">
        <f aca="false">IF(OR($C83="",名簿!$F83="転出"),"",IF($C$2="学級ごと",$A83,IF($C$2="前の単元と同じ",単元01!$E83&amp;"",$D83&amp;"")))</f>
        <v/>
      </c>
      <c r="F83" s="150"/>
      <c r="G83" s="150"/>
      <c r="H83" s="150"/>
      <c r="I83" s="151"/>
      <c r="J83" s="41" t="str">
        <f aca="false">IF($E83="","",$E83&amp;"|"&amp;COUNTIF($E$5:$E83,$E83))</f>
        <v/>
      </c>
      <c r="K83" s="40" t="str">
        <f aca="false">IF($I83="","",LEN($I83))</f>
        <v/>
      </c>
      <c r="L83" s="13"/>
      <c r="M83" s="13"/>
      <c r="N83" s="13"/>
      <c r="O83" s="13"/>
      <c r="P83" s="152"/>
      <c r="Q83" s="149"/>
      <c r="R83" s="152"/>
      <c r="S83" s="152"/>
      <c r="T83" s="62" t="str">
        <f aca="false">IF(OR($C83="",R83=""),"",IF(R83/IF($R$2="",100,$R$2)&gt;=設定!$I$28,設定!$G$8,IF(R83/IF($R$2="",100,$R$2)&lt;設定!$I$29,設定!$G$10,設定!$G$9)))</f>
        <v/>
      </c>
      <c r="U83" s="62" t="str">
        <f aca="false">IF(OR($C83="",S83=""),"",IF(S83/IF($S$2="",100,$S$2)&gt;=設定!$I$28,設定!$G$8,IF(S83/IF($S$2="",100,$S$2)&lt;設定!$I$29,設定!$G$10,設定!$G$9)))</f>
        <v/>
      </c>
    </row>
    <row r="84" customFormat="false" ht="21" hidden="false" customHeight="true" outlineLevel="0" collapsed="false">
      <c r="A84" s="91" t="str">
        <f aca="false">IF(名簿!$D84="","",名簿!$B84&amp;"")</f>
        <v/>
      </c>
      <c r="B84" s="91" t="str">
        <f aca="false">IF(名簿!$D84="","",名簿!$C84)</f>
        <v/>
      </c>
      <c r="C84" s="59" t="str">
        <f aca="false">IF(名簿!$D84="","",名簿!$D84&amp;IF(名簿!$F84="転出","（転出）",""))</f>
        <v/>
      </c>
      <c r="D84" s="149"/>
      <c r="E84" s="61" t="str">
        <f aca="false">IF(OR($C84="",名簿!$F84="転出"),"",IF($C$2="学級ごと",$A84,IF($C$2="前の単元と同じ",単元01!$E84&amp;"",$D84&amp;"")))</f>
        <v/>
      </c>
      <c r="F84" s="150"/>
      <c r="G84" s="150"/>
      <c r="H84" s="150"/>
      <c r="I84" s="151"/>
      <c r="J84" s="41" t="str">
        <f aca="false">IF($E84="","",$E84&amp;"|"&amp;COUNTIF($E$5:$E84,$E84))</f>
        <v/>
      </c>
      <c r="K84" s="40" t="str">
        <f aca="false">IF($I84="","",LEN($I84))</f>
        <v/>
      </c>
      <c r="L84" s="13"/>
      <c r="M84" s="13"/>
      <c r="N84" s="13"/>
      <c r="O84" s="13"/>
      <c r="P84" s="152"/>
      <c r="Q84" s="149"/>
      <c r="R84" s="152"/>
      <c r="S84" s="152"/>
      <c r="T84" s="62" t="str">
        <f aca="false">IF(OR($C84="",R84=""),"",IF(R84/IF($R$2="",100,$R$2)&gt;=設定!$I$28,設定!$G$8,IF(R84/IF($R$2="",100,$R$2)&lt;設定!$I$29,設定!$G$10,設定!$G$9)))</f>
        <v/>
      </c>
      <c r="U84" s="62" t="str">
        <f aca="false">IF(OR($C84="",S84=""),"",IF(S84/IF($S$2="",100,$S$2)&gt;=設定!$I$28,設定!$G$8,IF(S84/IF($S$2="",100,$S$2)&lt;設定!$I$29,設定!$G$10,設定!$G$9)))</f>
        <v/>
      </c>
    </row>
    <row r="85" customFormat="false" ht="21" hidden="false" customHeight="true" outlineLevel="0" collapsed="false">
      <c r="A85" s="91" t="str">
        <f aca="false">IF(名簿!$D85="","",名簿!$B85&amp;"")</f>
        <v/>
      </c>
      <c r="B85" s="91" t="str">
        <f aca="false">IF(名簿!$D85="","",名簿!$C85)</f>
        <v/>
      </c>
      <c r="C85" s="59" t="str">
        <f aca="false">IF(名簿!$D85="","",名簿!$D85&amp;IF(名簿!$F85="転出","（転出）",""))</f>
        <v/>
      </c>
      <c r="D85" s="149"/>
      <c r="E85" s="61" t="str">
        <f aca="false">IF(OR($C85="",名簿!$F85="転出"),"",IF($C$2="学級ごと",$A85,IF($C$2="前の単元と同じ",単元01!$E85&amp;"",$D85&amp;"")))</f>
        <v/>
      </c>
      <c r="F85" s="150"/>
      <c r="G85" s="150"/>
      <c r="H85" s="150"/>
      <c r="I85" s="151"/>
      <c r="J85" s="41" t="str">
        <f aca="false">IF($E85="","",$E85&amp;"|"&amp;COUNTIF($E$5:$E85,$E85))</f>
        <v/>
      </c>
      <c r="K85" s="40" t="str">
        <f aca="false">IF($I85="","",LEN($I85))</f>
        <v/>
      </c>
      <c r="L85" s="13"/>
      <c r="M85" s="13"/>
      <c r="N85" s="13"/>
      <c r="O85" s="13"/>
      <c r="P85" s="152"/>
      <c r="Q85" s="149"/>
      <c r="R85" s="152"/>
      <c r="S85" s="152"/>
      <c r="T85" s="62" t="str">
        <f aca="false">IF(OR($C85="",R85=""),"",IF(R85/IF($R$2="",100,$R$2)&gt;=設定!$I$28,設定!$G$8,IF(R85/IF($R$2="",100,$R$2)&lt;設定!$I$29,設定!$G$10,設定!$G$9)))</f>
        <v/>
      </c>
      <c r="U85" s="62" t="str">
        <f aca="false">IF(OR($C85="",S85=""),"",IF(S85/IF($S$2="",100,$S$2)&gt;=設定!$I$28,設定!$G$8,IF(S85/IF($S$2="",100,$S$2)&lt;設定!$I$29,設定!$G$10,設定!$G$9)))</f>
        <v/>
      </c>
    </row>
    <row r="86" customFormat="false" ht="21" hidden="false" customHeight="true" outlineLevel="0" collapsed="false">
      <c r="A86" s="91" t="str">
        <f aca="false">IF(名簿!$D86="","",名簿!$B86&amp;"")</f>
        <v/>
      </c>
      <c r="B86" s="91" t="str">
        <f aca="false">IF(名簿!$D86="","",名簿!$C86)</f>
        <v/>
      </c>
      <c r="C86" s="59" t="str">
        <f aca="false">IF(名簿!$D86="","",名簿!$D86&amp;IF(名簿!$F86="転出","（転出）",""))</f>
        <v/>
      </c>
      <c r="D86" s="149"/>
      <c r="E86" s="61" t="str">
        <f aca="false">IF(OR($C86="",名簿!$F86="転出"),"",IF($C$2="学級ごと",$A86,IF($C$2="前の単元と同じ",単元01!$E86&amp;"",$D86&amp;"")))</f>
        <v/>
      </c>
      <c r="F86" s="150"/>
      <c r="G86" s="150"/>
      <c r="H86" s="150"/>
      <c r="I86" s="151"/>
      <c r="J86" s="41" t="str">
        <f aca="false">IF($E86="","",$E86&amp;"|"&amp;COUNTIF($E$5:$E86,$E86))</f>
        <v/>
      </c>
      <c r="K86" s="40" t="str">
        <f aca="false">IF($I86="","",LEN($I86))</f>
        <v/>
      </c>
      <c r="L86" s="13"/>
      <c r="M86" s="13"/>
      <c r="N86" s="13"/>
      <c r="O86" s="13"/>
      <c r="P86" s="152"/>
      <c r="Q86" s="149"/>
      <c r="R86" s="152"/>
      <c r="S86" s="152"/>
      <c r="T86" s="62" t="str">
        <f aca="false">IF(OR($C86="",R86=""),"",IF(R86/IF($R$2="",100,$R$2)&gt;=設定!$I$28,設定!$G$8,IF(R86/IF($R$2="",100,$R$2)&lt;設定!$I$29,設定!$G$10,設定!$G$9)))</f>
        <v/>
      </c>
      <c r="U86" s="62" t="str">
        <f aca="false">IF(OR($C86="",S86=""),"",IF(S86/IF($S$2="",100,$S$2)&gt;=設定!$I$28,設定!$G$8,IF(S86/IF($S$2="",100,$S$2)&lt;設定!$I$29,設定!$G$10,設定!$G$9)))</f>
        <v/>
      </c>
    </row>
    <row r="87" customFormat="false" ht="21" hidden="false" customHeight="true" outlineLevel="0" collapsed="false">
      <c r="A87" s="91" t="str">
        <f aca="false">IF(名簿!$D87="","",名簿!$B87&amp;"")</f>
        <v/>
      </c>
      <c r="B87" s="91" t="str">
        <f aca="false">IF(名簿!$D87="","",名簿!$C87)</f>
        <v/>
      </c>
      <c r="C87" s="59" t="str">
        <f aca="false">IF(名簿!$D87="","",名簿!$D87&amp;IF(名簿!$F87="転出","（転出）",""))</f>
        <v/>
      </c>
      <c r="D87" s="149"/>
      <c r="E87" s="61" t="str">
        <f aca="false">IF(OR($C87="",名簿!$F87="転出"),"",IF($C$2="学級ごと",$A87,IF($C$2="前の単元と同じ",単元01!$E87&amp;"",$D87&amp;"")))</f>
        <v/>
      </c>
      <c r="F87" s="150"/>
      <c r="G87" s="150"/>
      <c r="H87" s="150"/>
      <c r="I87" s="151"/>
      <c r="J87" s="41" t="str">
        <f aca="false">IF($E87="","",$E87&amp;"|"&amp;COUNTIF($E$5:$E87,$E87))</f>
        <v/>
      </c>
      <c r="K87" s="40" t="str">
        <f aca="false">IF($I87="","",LEN($I87))</f>
        <v/>
      </c>
      <c r="L87" s="13"/>
      <c r="M87" s="13"/>
      <c r="N87" s="13"/>
      <c r="O87" s="13"/>
      <c r="P87" s="152"/>
      <c r="Q87" s="149"/>
      <c r="R87" s="152"/>
      <c r="S87" s="152"/>
      <c r="T87" s="62" t="str">
        <f aca="false">IF(OR($C87="",R87=""),"",IF(R87/IF($R$2="",100,$R$2)&gt;=設定!$I$28,設定!$G$8,IF(R87/IF($R$2="",100,$R$2)&lt;設定!$I$29,設定!$G$10,設定!$G$9)))</f>
        <v/>
      </c>
      <c r="U87" s="62" t="str">
        <f aca="false">IF(OR($C87="",S87=""),"",IF(S87/IF($S$2="",100,$S$2)&gt;=設定!$I$28,設定!$G$8,IF(S87/IF($S$2="",100,$S$2)&lt;設定!$I$29,設定!$G$10,設定!$G$9)))</f>
        <v/>
      </c>
    </row>
    <row r="88" customFormat="false" ht="21" hidden="false" customHeight="true" outlineLevel="0" collapsed="false">
      <c r="A88" s="91" t="str">
        <f aca="false">IF(名簿!$D88="","",名簿!$B88&amp;"")</f>
        <v/>
      </c>
      <c r="B88" s="91" t="str">
        <f aca="false">IF(名簿!$D88="","",名簿!$C88)</f>
        <v/>
      </c>
      <c r="C88" s="59" t="str">
        <f aca="false">IF(名簿!$D88="","",名簿!$D88&amp;IF(名簿!$F88="転出","（転出）",""))</f>
        <v/>
      </c>
      <c r="D88" s="149"/>
      <c r="E88" s="61" t="str">
        <f aca="false">IF(OR($C88="",名簿!$F88="転出"),"",IF($C$2="学級ごと",$A88,IF($C$2="前の単元と同じ",単元01!$E88&amp;"",$D88&amp;"")))</f>
        <v/>
      </c>
      <c r="F88" s="150"/>
      <c r="G88" s="150"/>
      <c r="H88" s="150"/>
      <c r="I88" s="151"/>
      <c r="J88" s="41" t="str">
        <f aca="false">IF($E88="","",$E88&amp;"|"&amp;COUNTIF($E$5:$E88,$E88))</f>
        <v/>
      </c>
      <c r="K88" s="40" t="str">
        <f aca="false">IF($I88="","",LEN($I88))</f>
        <v/>
      </c>
      <c r="L88" s="13"/>
      <c r="M88" s="13"/>
      <c r="N88" s="13"/>
      <c r="O88" s="13"/>
      <c r="P88" s="152"/>
      <c r="Q88" s="149"/>
      <c r="R88" s="152"/>
      <c r="S88" s="152"/>
      <c r="T88" s="62" t="str">
        <f aca="false">IF(OR($C88="",R88=""),"",IF(R88/IF($R$2="",100,$R$2)&gt;=設定!$I$28,設定!$G$8,IF(R88/IF($R$2="",100,$R$2)&lt;設定!$I$29,設定!$G$10,設定!$G$9)))</f>
        <v/>
      </c>
      <c r="U88" s="62" t="str">
        <f aca="false">IF(OR($C88="",S88=""),"",IF(S88/IF($S$2="",100,$S$2)&gt;=設定!$I$28,設定!$G$8,IF(S88/IF($S$2="",100,$S$2)&lt;設定!$I$29,設定!$G$10,設定!$G$9)))</f>
        <v/>
      </c>
    </row>
    <row r="89" customFormat="false" ht="21" hidden="false" customHeight="true" outlineLevel="0" collapsed="false">
      <c r="A89" s="91" t="str">
        <f aca="false">IF(名簿!$D89="","",名簿!$B89&amp;"")</f>
        <v/>
      </c>
      <c r="B89" s="91" t="str">
        <f aca="false">IF(名簿!$D89="","",名簿!$C89)</f>
        <v/>
      </c>
      <c r="C89" s="59" t="str">
        <f aca="false">IF(名簿!$D89="","",名簿!$D89&amp;IF(名簿!$F89="転出","（転出）",""))</f>
        <v/>
      </c>
      <c r="D89" s="149"/>
      <c r="E89" s="61" t="str">
        <f aca="false">IF(OR($C89="",名簿!$F89="転出"),"",IF($C$2="学級ごと",$A89,IF($C$2="前の単元と同じ",単元01!$E89&amp;"",$D89&amp;"")))</f>
        <v/>
      </c>
      <c r="F89" s="150"/>
      <c r="G89" s="150"/>
      <c r="H89" s="150"/>
      <c r="I89" s="151"/>
      <c r="J89" s="41" t="str">
        <f aca="false">IF($E89="","",$E89&amp;"|"&amp;COUNTIF($E$5:$E89,$E89))</f>
        <v/>
      </c>
      <c r="K89" s="40" t="str">
        <f aca="false">IF($I89="","",LEN($I89))</f>
        <v/>
      </c>
      <c r="L89" s="13"/>
      <c r="M89" s="13"/>
      <c r="N89" s="13"/>
      <c r="O89" s="13"/>
      <c r="P89" s="152"/>
      <c r="Q89" s="149"/>
      <c r="R89" s="152"/>
      <c r="S89" s="152"/>
      <c r="T89" s="62" t="str">
        <f aca="false">IF(OR($C89="",R89=""),"",IF(R89/IF($R$2="",100,$R$2)&gt;=設定!$I$28,設定!$G$8,IF(R89/IF($R$2="",100,$R$2)&lt;設定!$I$29,設定!$G$10,設定!$G$9)))</f>
        <v/>
      </c>
      <c r="U89" s="62" t="str">
        <f aca="false">IF(OR($C89="",S89=""),"",IF(S89/IF($S$2="",100,$S$2)&gt;=設定!$I$28,設定!$G$8,IF(S89/IF($S$2="",100,$S$2)&lt;設定!$I$29,設定!$G$10,設定!$G$9)))</f>
        <v/>
      </c>
    </row>
    <row r="90" customFormat="false" ht="21" hidden="false" customHeight="true" outlineLevel="0" collapsed="false">
      <c r="A90" s="91" t="str">
        <f aca="false">IF(名簿!$D90="","",名簿!$B90&amp;"")</f>
        <v/>
      </c>
      <c r="B90" s="91" t="str">
        <f aca="false">IF(名簿!$D90="","",名簿!$C90)</f>
        <v/>
      </c>
      <c r="C90" s="59" t="str">
        <f aca="false">IF(名簿!$D90="","",名簿!$D90&amp;IF(名簿!$F90="転出","（転出）",""))</f>
        <v/>
      </c>
      <c r="D90" s="149"/>
      <c r="E90" s="61" t="str">
        <f aca="false">IF(OR($C90="",名簿!$F90="転出"),"",IF($C$2="学級ごと",$A90,IF($C$2="前の単元と同じ",単元01!$E90&amp;"",$D90&amp;"")))</f>
        <v/>
      </c>
      <c r="F90" s="150"/>
      <c r="G90" s="150"/>
      <c r="H90" s="150"/>
      <c r="I90" s="151"/>
      <c r="J90" s="41" t="str">
        <f aca="false">IF($E90="","",$E90&amp;"|"&amp;COUNTIF($E$5:$E90,$E90))</f>
        <v/>
      </c>
      <c r="K90" s="40" t="str">
        <f aca="false">IF($I90="","",LEN($I90))</f>
        <v/>
      </c>
      <c r="L90" s="13"/>
      <c r="M90" s="13"/>
      <c r="N90" s="13"/>
      <c r="O90" s="13"/>
      <c r="P90" s="152"/>
      <c r="Q90" s="149"/>
      <c r="R90" s="152"/>
      <c r="S90" s="152"/>
      <c r="T90" s="62" t="str">
        <f aca="false">IF(OR($C90="",R90=""),"",IF(R90/IF($R$2="",100,$R$2)&gt;=設定!$I$28,設定!$G$8,IF(R90/IF($R$2="",100,$R$2)&lt;設定!$I$29,設定!$G$10,設定!$G$9)))</f>
        <v/>
      </c>
      <c r="U90" s="62" t="str">
        <f aca="false">IF(OR($C90="",S90=""),"",IF(S90/IF($S$2="",100,$S$2)&gt;=設定!$I$28,設定!$G$8,IF(S90/IF($S$2="",100,$S$2)&lt;設定!$I$29,設定!$G$10,設定!$G$9)))</f>
        <v/>
      </c>
    </row>
    <row r="91" customFormat="false" ht="21" hidden="false" customHeight="true" outlineLevel="0" collapsed="false">
      <c r="A91" s="91" t="str">
        <f aca="false">IF(名簿!$D91="","",名簿!$B91&amp;"")</f>
        <v/>
      </c>
      <c r="B91" s="91" t="str">
        <f aca="false">IF(名簿!$D91="","",名簿!$C91)</f>
        <v/>
      </c>
      <c r="C91" s="59" t="str">
        <f aca="false">IF(名簿!$D91="","",名簿!$D91&amp;IF(名簿!$F91="転出","（転出）",""))</f>
        <v/>
      </c>
      <c r="D91" s="149"/>
      <c r="E91" s="61" t="str">
        <f aca="false">IF(OR($C91="",名簿!$F91="転出"),"",IF($C$2="学級ごと",$A91,IF($C$2="前の単元と同じ",単元01!$E91&amp;"",$D91&amp;"")))</f>
        <v/>
      </c>
      <c r="F91" s="150"/>
      <c r="G91" s="150"/>
      <c r="H91" s="150"/>
      <c r="I91" s="151"/>
      <c r="J91" s="41" t="str">
        <f aca="false">IF($E91="","",$E91&amp;"|"&amp;COUNTIF($E$5:$E91,$E91))</f>
        <v/>
      </c>
      <c r="K91" s="40" t="str">
        <f aca="false">IF($I91="","",LEN($I91))</f>
        <v/>
      </c>
      <c r="L91" s="13"/>
      <c r="M91" s="13"/>
      <c r="N91" s="13"/>
      <c r="O91" s="13"/>
      <c r="P91" s="152"/>
      <c r="Q91" s="149"/>
      <c r="R91" s="152"/>
      <c r="S91" s="152"/>
      <c r="T91" s="62" t="str">
        <f aca="false">IF(OR($C91="",R91=""),"",IF(R91/IF($R$2="",100,$R$2)&gt;=設定!$I$28,設定!$G$8,IF(R91/IF($R$2="",100,$R$2)&lt;設定!$I$29,設定!$G$10,設定!$G$9)))</f>
        <v/>
      </c>
      <c r="U91" s="62" t="str">
        <f aca="false">IF(OR($C91="",S91=""),"",IF(S91/IF($S$2="",100,$S$2)&gt;=設定!$I$28,設定!$G$8,IF(S91/IF($S$2="",100,$S$2)&lt;設定!$I$29,設定!$G$10,設定!$G$9)))</f>
        <v/>
      </c>
    </row>
    <row r="92" customFormat="false" ht="21" hidden="false" customHeight="true" outlineLevel="0" collapsed="false">
      <c r="A92" s="91" t="str">
        <f aca="false">IF(名簿!$D92="","",名簿!$B92&amp;"")</f>
        <v/>
      </c>
      <c r="B92" s="91" t="str">
        <f aca="false">IF(名簿!$D92="","",名簿!$C92)</f>
        <v/>
      </c>
      <c r="C92" s="59" t="str">
        <f aca="false">IF(名簿!$D92="","",名簿!$D92&amp;IF(名簿!$F92="転出","（転出）",""))</f>
        <v/>
      </c>
      <c r="D92" s="149"/>
      <c r="E92" s="61" t="str">
        <f aca="false">IF(OR($C92="",名簿!$F92="転出"),"",IF($C$2="学級ごと",$A92,IF($C$2="前の単元と同じ",単元01!$E92&amp;"",$D92&amp;"")))</f>
        <v/>
      </c>
      <c r="F92" s="150"/>
      <c r="G92" s="150"/>
      <c r="H92" s="150"/>
      <c r="I92" s="151"/>
      <c r="J92" s="41" t="str">
        <f aca="false">IF($E92="","",$E92&amp;"|"&amp;COUNTIF($E$5:$E92,$E92))</f>
        <v/>
      </c>
      <c r="K92" s="40" t="str">
        <f aca="false">IF($I92="","",LEN($I92))</f>
        <v/>
      </c>
      <c r="L92" s="13"/>
      <c r="M92" s="13"/>
      <c r="N92" s="13"/>
      <c r="O92" s="13"/>
      <c r="P92" s="152"/>
      <c r="Q92" s="149"/>
      <c r="R92" s="152"/>
      <c r="S92" s="152"/>
      <c r="T92" s="62" t="str">
        <f aca="false">IF(OR($C92="",R92=""),"",IF(R92/IF($R$2="",100,$R$2)&gt;=設定!$I$28,設定!$G$8,IF(R92/IF($R$2="",100,$R$2)&lt;設定!$I$29,設定!$G$10,設定!$G$9)))</f>
        <v/>
      </c>
      <c r="U92" s="62" t="str">
        <f aca="false">IF(OR($C92="",S92=""),"",IF(S92/IF($S$2="",100,$S$2)&gt;=設定!$I$28,設定!$G$8,IF(S92/IF($S$2="",100,$S$2)&lt;設定!$I$29,設定!$G$10,設定!$G$9)))</f>
        <v/>
      </c>
    </row>
    <row r="93" customFormat="false" ht="21" hidden="false" customHeight="true" outlineLevel="0" collapsed="false">
      <c r="A93" s="91" t="str">
        <f aca="false">IF(名簿!$D93="","",名簿!$B93&amp;"")</f>
        <v/>
      </c>
      <c r="B93" s="91" t="str">
        <f aca="false">IF(名簿!$D93="","",名簿!$C93)</f>
        <v/>
      </c>
      <c r="C93" s="59" t="str">
        <f aca="false">IF(名簿!$D93="","",名簿!$D93&amp;IF(名簿!$F93="転出","（転出）",""))</f>
        <v/>
      </c>
      <c r="D93" s="149"/>
      <c r="E93" s="61" t="str">
        <f aca="false">IF(OR($C93="",名簿!$F93="転出"),"",IF($C$2="学級ごと",$A93,IF($C$2="前の単元と同じ",単元01!$E93&amp;"",$D93&amp;"")))</f>
        <v/>
      </c>
      <c r="F93" s="150"/>
      <c r="G93" s="150"/>
      <c r="H93" s="150"/>
      <c r="I93" s="151"/>
      <c r="J93" s="41" t="str">
        <f aca="false">IF($E93="","",$E93&amp;"|"&amp;COUNTIF($E$5:$E93,$E93))</f>
        <v/>
      </c>
      <c r="K93" s="40" t="str">
        <f aca="false">IF($I93="","",LEN($I93))</f>
        <v/>
      </c>
      <c r="L93" s="13"/>
      <c r="M93" s="13"/>
      <c r="N93" s="13"/>
      <c r="O93" s="13"/>
      <c r="P93" s="152"/>
      <c r="Q93" s="149"/>
      <c r="R93" s="152"/>
      <c r="S93" s="152"/>
      <c r="T93" s="62" t="str">
        <f aca="false">IF(OR($C93="",R93=""),"",IF(R93/IF($R$2="",100,$R$2)&gt;=設定!$I$28,設定!$G$8,IF(R93/IF($R$2="",100,$R$2)&lt;設定!$I$29,設定!$G$10,設定!$G$9)))</f>
        <v/>
      </c>
      <c r="U93" s="62" t="str">
        <f aca="false">IF(OR($C93="",S93=""),"",IF(S93/IF($S$2="",100,$S$2)&gt;=設定!$I$28,設定!$G$8,IF(S93/IF($S$2="",100,$S$2)&lt;設定!$I$29,設定!$G$10,設定!$G$9)))</f>
        <v/>
      </c>
    </row>
    <row r="94" customFormat="false" ht="21" hidden="false" customHeight="true" outlineLevel="0" collapsed="false">
      <c r="A94" s="91" t="str">
        <f aca="false">IF(名簿!$D94="","",名簿!$B94&amp;"")</f>
        <v/>
      </c>
      <c r="B94" s="91" t="str">
        <f aca="false">IF(名簿!$D94="","",名簿!$C94)</f>
        <v/>
      </c>
      <c r="C94" s="59" t="str">
        <f aca="false">IF(名簿!$D94="","",名簿!$D94&amp;IF(名簿!$F94="転出","（転出）",""))</f>
        <v/>
      </c>
      <c r="D94" s="149"/>
      <c r="E94" s="61" t="str">
        <f aca="false">IF(OR($C94="",名簿!$F94="転出"),"",IF($C$2="学級ごと",$A94,IF($C$2="前の単元と同じ",単元01!$E94&amp;"",$D94&amp;"")))</f>
        <v/>
      </c>
      <c r="F94" s="150"/>
      <c r="G94" s="150"/>
      <c r="H94" s="150"/>
      <c r="I94" s="151"/>
      <c r="J94" s="41" t="str">
        <f aca="false">IF($E94="","",$E94&amp;"|"&amp;COUNTIF($E$5:$E94,$E94))</f>
        <v/>
      </c>
      <c r="K94" s="40" t="str">
        <f aca="false">IF($I94="","",LEN($I94))</f>
        <v/>
      </c>
      <c r="L94" s="13"/>
      <c r="M94" s="13"/>
      <c r="N94" s="13"/>
      <c r="O94" s="13"/>
      <c r="P94" s="152"/>
      <c r="Q94" s="149"/>
      <c r="R94" s="152"/>
      <c r="S94" s="152"/>
      <c r="T94" s="62" t="str">
        <f aca="false">IF(OR($C94="",R94=""),"",IF(R94/IF($R$2="",100,$R$2)&gt;=設定!$I$28,設定!$G$8,IF(R94/IF($R$2="",100,$R$2)&lt;設定!$I$29,設定!$G$10,設定!$G$9)))</f>
        <v/>
      </c>
      <c r="U94" s="62" t="str">
        <f aca="false">IF(OR($C94="",S94=""),"",IF(S94/IF($S$2="",100,$S$2)&gt;=設定!$I$28,設定!$G$8,IF(S94/IF($S$2="",100,$S$2)&lt;設定!$I$29,設定!$G$10,設定!$G$9)))</f>
        <v/>
      </c>
    </row>
    <row r="95" customFormat="false" ht="21" hidden="false" customHeight="true" outlineLevel="0" collapsed="false">
      <c r="A95" s="91" t="str">
        <f aca="false">IF(名簿!$D95="","",名簿!$B95&amp;"")</f>
        <v/>
      </c>
      <c r="B95" s="91" t="str">
        <f aca="false">IF(名簿!$D95="","",名簿!$C95)</f>
        <v/>
      </c>
      <c r="C95" s="59" t="str">
        <f aca="false">IF(名簿!$D95="","",名簿!$D95&amp;IF(名簿!$F95="転出","（転出）",""))</f>
        <v/>
      </c>
      <c r="D95" s="149"/>
      <c r="E95" s="61" t="str">
        <f aca="false">IF(OR($C95="",名簿!$F95="転出"),"",IF($C$2="学級ごと",$A95,IF($C$2="前の単元と同じ",単元01!$E95&amp;"",$D95&amp;"")))</f>
        <v/>
      </c>
      <c r="F95" s="150"/>
      <c r="G95" s="150"/>
      <c r="H95" s="150"/>
      <c r="I95" s="151"/>
      <c r="J95" s="41" t="str">
        <f aca="false">IF($E95="","",$E95&amp;"|"&amp;COUNTIF($E$5:$E95,$E95))</f>
        <v/>
      </c>
      <c r="K95" s="40" t="str">
        <f aca="false">IF($I95="","",LEN($I95))</f>
        <v/>
      </c>
      <c r="L95" s="13"/>
      <c r="M95" s="13"/>
      <c r="N95" s="13"/>
      <c r="O95" s="13"/>
      <c r="P95" s="152"/>
      <c r="Q95" s="149"/>
      <c r="R95" s="152"/>
      <c r="S95" s="152"/>
      <c r="T95" s="62" t="str">
        <f aca="false">IF(OR($C95="",R95=""),"",IF(R95/IF($R$2="",100,$R$2)&gt;=設定!$I$28,設定!$G$8,IF(R95/IF($R$2="",100,$R$2)&lt;設定!$I$29,設定!$G$10,設定!$G$9)))</f>
        <v/>
      </c>
      <c r="U95" s="62" t="str">
        <f aca="false">IF(OR($C95="",S95=""),"",IF(S95/IF($S$2="",100,$S$2)&gt;=設定!$I$28,設定!$G$8,IF(S95/IF($S$2="",100,$S$2)&lt;設定!$I$29,設定!$G$10,設定!$G$9)))</f>
        <v/>
      </c>
    </row>
    <row r="96" customFormat="false" ht="21" hidden="false" customHeight="true" outlineLevel="0" collapsed="false">
      <c r="A96" s="91" t="str">
        <f aca="false">IF(名簿!$D96="","",名簿!$B96&amp;"")</f>
        <v/>
      </c>
      <c r="B96" s="91" t="str">
        <f aca="false">IF(名簿!$D96="","",名簿!$C96)</f>
        <v/>
      </c>
      <c r="C96" s="59" t="str">
        <f aca="false">IF(名簿!$D96="","",名簿!$D96&amp;IF(名簿!$F96="転出","（転出）",""))</f>
        <v/>
      </c>
      <c r="D96" s="149"/>
      <c r="E96" s="61" t="str">
        <f aca="false">IF(OR($C96="",名簿!$F96="転出"),"",IF($C$2="学級ごと",$A96,IF($C$2="前の単元と同じ",単元01!$E96&amp;"",$D96&amp;"")))</f>
        <v/>
      </c>
      <c r="F96" s="150"/>
      <c r="G96" s="150"/>
      <c r="H96" s="150"/>
      <c r="I96" s="151"/>
      <c r="J96" s="41" t="str">
        <f aca="false">IF($E96="","",$E96&amp;"|"&amp;COUNTIF($E$5:$E96,$E96))</f>
        <v/>
      </c>
      <c r="K96" s="40" t="str">
        <f aca="false">IF($I96="","",LEN($I96))</f>
        <v/>
      </c>
      <c r="L96" s="13"/>
      <c r="M96" s="13"/>
      <c r="N96" s="13"/>
      <c r="O96" s="13"/>
      <c r="P96" s="152"/>
      <c r="Q96" s="149"/>
      <c r="R96" s="152"/>
      <c r="S96" s="152"/>
      <c r="T96" s="62" t="str">
        <f aca="false">IF(OR($C96="",R96=""),"",IF(R96/IF($R$2="",100,$R$2)&gt;=設定!$I$28,設定!$G$8,IF(R96/IF($R$2="",100,$R$2)&lt;設定!$I$29,設定!$G$10,設定!$G$9)))</f>
        <v/>
      </c>
      <c r="U96" s="62" t="str">
        <f aca="false">IF(OR($C96="",S96=""),"",IF(S96/IF($S$2="",100,$S$2)&gt;=設定!$I$28,設定!$G$8,IF(S96/IF($S$2="",100,$S$2)&lt;設定!$I$29,設定!$G$10,設定!$G$9)))</f>
        <v/>
      </c>
    </row>
    <row r="97" customFormat="false" ht="21" hidden="false" customHeight="true" outlineLevel="0" collapsed="false">
      <c r="A97" s="91" t="str">
        <f aca="false">IF(名簿!$D97="","",名簿!$B97&amp;"")</f>
        <v/>
      </c>
      <c r="B97" s="91" t="str">
        <f aca="false">IF(名簿!$D97="","",名簿!$C97)</f>
        <v/>
      </c>
      <c r="C97" s="59" t="str">
        <f aca="false">IF(名簿!$D97="","",名簿!$D97&amp;IF(名簿!$F97="転出","（転出）",""))</f>
        <v/>
      </c>
      <c r="D97" s="149"/>
      <c r="E97" s="61" t="str">
        <f aca="false">IF(OR($C97="",名簿!$F97="転出"),"",IF($C$2="学級ごと",$A97,IF($C$2="前の単元と同じ",単元01!$E97&amp;"",$D97&amp;"")))</f>
        <v/>
      </c>
      <c r="F97" s="150"/>
      <c r="G97" s="150"/>
      <c r="H97" s="150"/>
      <c r="I97" s="151"/>
      <c r="J97" s="41" t="str">
        <f aca="false">IF($E97="","",$E97&amp;"|"&amp;COUNTIF($E$5:$E97,$E97))</f>
        <v/>
      </c>
      <c r="K97" s="40" t="str">
        <f aca="false">IF($I97="","",LEN($I97))</f>
        <v/>
      </c>
      <c r="L97" s="13"/>
      <c r="M97" s="13"/>
      <c r="N97" s="13"/>
      <c r="O97" s="13"/>
      <c r="P97" s="152"/>
      <c r="Q97" s="149"/>
      <c r="R97" s="152"/>
      <c r="S97" s="152"/>
      <c r="T97" s="62" t="str">
        <f aca="false">IF(OR($C97="",R97=""),"",IF(R97/IF($R$2="",100,$R$2)&gt;=設定!$I$28,設定!$G$8,IF(R97/IF($R$2="",100,$R$2)&lt;設定!$I$29,設定!$G$10,設定!$G$9)))</f>
        <v/>
      </c>
      <c r="U97" s="62" t="str">
        <f aca="false">IF(OR($C97="",S97=""),"",IF(S97/IF($S$2="",100,$S$2)&gt;=設定!$I$28,設定!$G$8,IF(S97/IF($S$2="",100,$S$2)&lt;設定!$I$29,設定!$G$10,設定!$G$9)))</f>
        <v/>
      </c>
    </row>
    <row r="98" customFormat="false" ht="21" hidden="false" customHeight="true" outlineLevel="0" collapsed="false">
      <c r="A98" s="91" t="str">
        <f aca="false">IF(名簿!$D98="","",名簿!$B98&amp;"")</f>
        <v/>
      </c>
      <c r="B98" s="91" t="str">
        <f aca="false">IF(名簿!$D98="","",名簿!$C98)</f>
        <v/>
      </c>
      <c r="C98" s="59" t="str">
        <f aca="false">IF(名簿!$D98="","",名簿!$D98&amp;IF(名簿!$F98="転出","（転出）",""))</f>
        <v/>
      </c>
      <c r="D98" s="149"/>
      <c r="E98" s="61" t="str">
        <f aca="false">IF(OR($C98="",名簿!$F98="転出"),"",IF($C$2="学級ごと",$A98,IF($C$2="前の単元と同じ",単元01!$E98&amp;"",$D98&amp;"")))</f>
        <v/>
      </c>
      <c r="F98" s="150"/>
      <c r="G98" s="150"/>
      <c r="H98" s="150"/>
      <c r="I98" s="151"/>
      <c r="J98" s="41" t="str">
        <f aca="false">IF($E98="","",$E98&amp;"|"&amp;COUNTIF($E$5:$E98,$E98))</f>
        <v/>
      </c>
      <c r="K98" s="40" t="str">
        <f aca="false">IF($I98="","",LEN($I98))</f>
        <v/>
      </c>
      <c r="L98" s="13"/>
      <c r="M98" s="13"/>
      <c r="N98" s="13"/>
      <c r="O98" s="13"/>
      <c r="P98" s="152"/>
      <c r="Q98" s="149"/>
      <c r="R98" s="152"/>
      <c r="S98" s="152"/>
      <c r="T98" s="62" t="str">
        <f aca="false">IF(OR($C98="",R98=""),"",IF(R98/IF($R$2="",100,$R$2)&gt;=設定!$I$28,設定!$G$8,IF(R98/IF($R$2="",100,$R$2)&lt;設定!$I$29,設定!$G$10,設定!$G$9)))</f>
        <v/>
      </c>
      <c r="U98" s="62" t="str">
        <f aca="false">IF(OR($C98="",S98=""),"",IF(S98/IF($S$2="",100,$S$2)&gt;=設定!$I$28,設定!$G$8,IF(S98/IF($S$2="",100,$S$2)&lt;設定!$I$29,設定!$G$10,設定!$G$9)))</f>
        <v/>
      </c>
    </row>
    <row r="99" customFormat="false" ht="21" hidden="false" customHeight="true" outlineLevel="0" collapsed="false">
      <c r="A99" s="91" t="str">
        <f aca="false">IF(名簿!$D99="","",名簿!$B99&amp;"")</f>
        <v/>
      </c>
      <c r="B99" s="91" t="str">
        <f aca="false">IF(名簿!$D99="","",名簿!$C99)</f>
        <v/>
      </c>
      <c r="C99" s="59" t="str">
        <f aca="false">IF(名簿!$D99="","",名簿!$D99&amp;IF(名簿!$F99="転出","（転出）",""))</f>
        <v/>
      </c>
      <c r="D99" s="149"/>
      <c r="E99" s="61" t="str">
        <f aca="false">IF(OR($C99="",名簿!$F99="転出"),"",IF($C$2="学級ごと",$A99,IF($C$2="前の単元と同じ",単元01!$E99&amp;"",$D99&amp;"")))</f>
        <v/>
      </c>
      <c r="F99" s="150"/>
      <c r="G99" s="150"/>
      <c r="H99" s="150"/>
      <c r="I99" s="151"/>
      <c r="J99" s="41" t="str">
        <f aca="false">IF($E99="","",$E99&amp;"|"&amp;COUNTIF($E$5:$E99,$E99))</f>
        <v/>
      </c>
      <c r="K99" s="40" t="str">
        <f aca="false">IF($I99="","",LEN($I99))</f>
        <v/>
      </c>
      <c r="L99" s="13"/>
      <c r="M99" s="13"/>
      <c r="N99" s="13"/>
      <c r="O99" s="13"/>
      <c r="P99" s="152"/>
      <c r="Q99" s="149"/>
      <c r="R99" s="152"/>
      <c r="S99" s="152"/>
      <c r="T99" s="62" t="str">
        <f aca="false">IF(OR($C99="",R99=""),"",IF(R99/IF($R$2="",100,$R$2)&gt;=設定!$I$28,設定!$G$8,IF(R99/IF($R$2="",100,$R$2)&lt;設定!$I$29,設定!$G$10,設定!$G$9)))</f>
        <v/>
      </c>
      <c r="U99" s="62" t="str">
        <f aca="false">IF(OR($C99="",S99=""),"",IF(S99/IF($S$2="",100,$S$2)&gt;=設定!$I$28,設定!$G$8,IF(S99/IF($S$2="",100,$S$2)&lt;設定!$I$29,設定!$G$10,設定!$G$9)))</f>
        <v/>
      </c>
    </row>
    <row r="100" customFormat="false" ht="21" hidden="false" customHeight="true" outlineLevel="0" collapsed="false">
      <c r="A100" s="91" t="str">
        <f aca="false">IF(名簿!$D100="","",名簿!$B100&amp;"")</f>
        <v/>
      </c>
      <c r="B100" s="91" t="str">
        <f aca="false">IF(名簿!$D100="","",名簿!$C100)</f>
        <v/>
      </c>
      <c r="C100" s="59" t="str">
        <f aca="false">IF(名簿!$D100="","",名簿!$D100&amp;IF(名簿!$F100="転出","（転出）",""))</f>
        <v/>
      </c>
      <c r="D100" s="149"/>
      <c r="E100" s="61" t="str">
        <f aca="false">IF(OR($C100="",名簿!$F100="転出"),"",IF($C$2="学級ごと",$A100,IF($C$2="前の単元と同じ",単元01!$E100&amp;"",$D100&amp;"")))</f>
        <v/>
      </c>
      <c r="F100" s="150"/>
      <c r="G100" s="150"/>
      <c r="H100" s="150"/>
      <c r="I100" s="151"/>
      <c r="J100" s="41" t="str">
        <f aca="false">IF($E100="","",$E100&amp;"|"&amp;COUNTIF($E$5:$E100,$E100))</f>
        <v/>
      </c>
      <c r="K100" s="40" t="str">
        <f aca="false">IF($I100="","",LEN($I100))</f>
        <v/>
      </c>
      <c r="L100" s="13"/>
      <c r="M100" s="13"/>
      <c r="N100" s="13"/>
      <c r="O100" s="13"/>
      <c r="P100" s="152"/>
      <c r="Q100" s="149"/>
      <c r="R100" s="152"/>
      <c r="S100" s="152"/>
      <c r="T100" s="62" t="str">
        <f aca="false">IF(OR($C100="",R100=""),"",IF(R100/IF($R$2="",100,$R$2)&gt;=設定!$I$28,設定!$G$8,IF(R100/IF($R$2="",100,$R$2)&lt;設定!$I$29,設定!$G$10,設定!$G$9)))</f>
        <v/>
      </c>
      <c r="U100" s="62" t="str">
        <f aca="false">IF(OR($C100="",S100=""),"",IF(S100/IF($S$2="",100,$S$2)&gt;=設定!$I$28,設定!$G$8,IF(S100/IF($S$2="",100,$S$2)&lt;設定!$I$29,設定!$G$10,設定!$G$9)))</f>
        <v/>
      </c>
    </row>
    <row r="101" customFormat="false" ht="21" hidden="false" customHeight="true" outlineLevel="0" collapsed="false">
      <c r="A101" s="91" t="str">
        <f aca="false">IF(名簿!$D101="","",名簿!$B101&amp;"")</f>
        <v/>
      </c>
      <c r="B101" s="91" t="str">
        <f aca="false">IF(名簿!$D101="","",名簿!$C101)</f>
        <v/>
      </c>
      <c r="C101" s="59" t="str">
        <f aca="false">IF(名簿!$D101="","",名簿!$D101&amp;IF(名簿!$F101="転出","（転出）",""))</f>
        <v/>
      </c>
      <c r="D101" s="149"/>
      <c r="E101" s="61" t="str">
        <f aca="false">IF(OR($C101="",名簿!$F101="転出"),"",IF($C$2="学級ごと",$A101,IF($C$2="前の単元と同じ",単元01!$E101&amp;"",$D101&amp;"")))</f>
        <v/>
      </c>
      <c r="F101" s="150"/>
      <c r="G101" s="150"/>
      <c r="H101" s="150"/>
      <c r="I101" s="151"/>
      <c r="J101" s="41" t="str">
        <f aca="false">IF($E101="","",$E101&amp;"|"&amp;COUNTIF($E$5:$E101,$E101))</f>
        <v/>
      </c>
      <c r="K101" s="40" t="str">
        <f aca="false">IF($I101="","",LEN($I101))</f>
        <v/>
      </c>
      <c r="L101" s="13"/>
      <c r="M101" s="13"/>
      <c r="N101" s="13"/>
      <c r="O101" s="13"/>
      <c r="P101" s="152"/>
      <c r="Q101" s="149"/>
      <c r="R101" s="152"/>
      <c r="S101" s="152"/>
      <c r="T101" s="62" t="str">
        <f aca="false">IF(OR($C101="",R101=""),"",IF(R101/IF($R$2="",100,$R$2)&gt;=設定!$I$28,設定!$G$8,IF(R101/IF($R$2="",100,$R$2)&lt;設定!$I$29,設定!$G$10,設定!$G$9)))</f>
        <v/>
      </c>
      <c r="U101" s="62" t="str">
        <f aca="false">IF(OR($C101="",S101=""),"",IF(S101/IF($S$2="",100,$S$2)&gt;=設定!$I$28,設定!$G$8,IF(S101/IF($S$2="",100,$S$2)&lt;設定!$I$29,設定!$G$10,設定!$G$9)))</f>
        <v/>
      </c>
    </row>
    <row r="102" customFormat="false" ht="21" hidden="false" customHeight="true" outlineLevel="0" collapsed="false">
      <c r="A102" s="91" t="str">
        <f aca="false">IF(名簿!$D102="","",名簿!$B102&amp;"")</f>
        <v/>
      </c>
      <c r="B102" s="91" t="str">
        <f aca="false">IF(名簿!$D102="","",名簿!$C102)</f>
        <v/>
      </c>
      <c r="C102" s="59" t="str">
        <f aca="false">IF(名簿!$D102="","",名簿!$D102&amp;IF(名簿!$F102="転出","（転出）",""))</f>
        <v/>
      </c>
      <c r="D102" s="149"/>
      <c r="E102" s="61" t="str">
        <f aca="false">IF(OR($C102="",名簿!$F102="転出"),"",IF($C$2="学級ごと",$A102,IF($C$2="前の単元と同じ",単元01!$E102&amp;"",$D102&amp;"")))</f>
        <v/>
      </c>
      <c r="F102" s="150"/>
      <c r="G102" s="150"/>
      <c r="H102" s="150"/>
      <c r="I102" s="151"/>
      <c r="J102" s="41" t="str">
        <f aca="false">IF($E102="","",$E102&amp;"|"&amp;COUNTIF($E$5:$E102,$E102))</f>
        <v/>
      </c>
      <c r="K102" s="40" t="str">
        <f aca="false">IF($I102="","",LEN($I102))</f>
        <v/>
      </c>
      <c r="L102" s="13"/>
      <c r="M102" s="13"/>
      <c r="N102" s="13"/>
      <c r="O102" s="13"/>
      <c r="P102" s="152"/>
      <c r="Q102" s="149"/>
      <c r="R102" s="152"/>
      <c r="S102" s="152"/>
      <c r="T102" s="62" t="str">
        <f aca="false">IF(OR($C102="",R102=""),"",IF(R102/IF($R$2="",100,$R$2)&gt;=設定!$I$28,設定!$G$8,IF(R102/IF($R$2="",100,$R$2)&lt;設定!$I$29,設定!$G$10,設定!$G$9)))</f>
        <v/>
      </c>
      <c r="U102" s="62" t="str">
        <f aca="false">IF(OR($C102="",S102=""),"",IF(S102/IF($S$2="",100,$S$2)&gt;=設定!$I$28,設定!$G$8,IF(S102/IF($S$2="",100,$S$2)&lt;設定!$I$29,設定!$G$10,設定!$G$9)))</f>
        <v/>
      </c>
    </row>
    <row r="103" customFormat="false" ht="21" hidden="false" customHeight="true" outlineLevel="0" collapsed="false">
      <c r="A103" s="91" t="str">
        <f aca="false">IF(名簿!$D103="","",名簿!$B103&amp;"")</f>
        <v/>
      </c>
      <c r="B103" s="91" t="str">
        <f aca="false">IF(名簿!$D103="","",名簿!$C103)</f>
        <v/>
      </c>
      <c r="C103" s="59" t="str">
        <f aca="false">IF(名簿!$D103="","",名簿!$D103&amp;IF(名簿!$F103="転出","（転出）",""))</f>
        <v/>
      </c>
      <c r="D103" s="149"/>
      <c r="E103" s="61" t="str">
        <f aca="false">IF(OR($C103="",名簿!$F103="転出"),"",IF($C$2="学級ごと",$A103,IF($C$2="前の単元と同じ",単元01!$E103&amp;"",$D103&amp;"")))</f>
        <v/>
      </c>
      <c r="F103" s="150"/>
      <c r="G103" s="150"/>
      <c r="H103" s="150"/>
      <c r="I103" s="151"/>
      <c r="J103" s="41" t="str">
        <f aca="false">IF($E103="","",$E103&amp;"|"&amp;COUNTIF($E$5:$E103,$E103))</f>
        <v/>
      </c>
      <c r="K103" s="40" t="str">
        <f aca="false">IF($I103="","",LEN($I103))</f>
        <v/>
      </c>
      <c r="L103" s="13"/>
      <c r="M103" s="13"/>
      <c r="N103" s="13"/>
      <c r="O103" s="13"/>
      <c r="P103" s="152"/>
      <c r="Q103" s="149"/>
      <c r="R103" s="152"/>
      <c r="S103" s="152"/>
      <c r="T103" s="62" t="str">
        <f aca="false">IF(OR($C103="",R103=""),"",IF(R103/IF($R$2="",100,$R$2)&gt;=設定!$I$28,設定!$G$8,IF(R103/IF($R$2="",100,$R$2)&lt;設定!$I$29,設定!$G$10,設定!$G$9)))</f>
        <v/>
      </c>
      <c r="U103" s="62" t="str">
        <f aca="false">IF(OR($C103="",S103=""),"",IF(S103/IF($S$2="",100,$S$2)&gt;=設定!$I$28,設定!$G$8,IF(S103/IF($S$2="",100,$S$2)&lt;設定!$I$29,設定!$G$10,設定!$G$9)))</f>
        <v/>
      </c>
    </row>
    <row r="104" customFormat="false" ht="21" hidden="false" customHeight="true" outlineLevel="0" collapsed="false">
      <c r="A104" s="91" t="str">
        <f aca="false">IF(名簿!$D104="","",名簿!$B104&amp;"")</f>
        <v/>
      </c>
      <c r="B104" s="91" t="str">
        <f aca="false">IF(名簿!$D104="","",名簿!$C104)</f>
        <v/>
      </c>
      <c r="C104" s="59" t="str">
        <f aca="false">IF(名簿!$D104="","",名簿!$D104&amp;IF(名簿!$F104="転出","（転出）",""))</f>
        <v/>
      </c>
      <c r="D104" s="149"/>
      <c r="E104" s="61" t="str">
        <f aca="false">IF(OR($C104="",名簿!$F104="転出"),"",IF($C$2="学級ごと",$A104,IF($C$2="前の単元と同じ",単元01!$E104&amp;"",$D104&amp;"")))</f>
        <v/>
      </c>
      <c r="F104" s="150"/>
      <c r="G104" s="150"/>
      <c r="H104" s="150"/>
      <c r="I104" s="151"/>
      <c r="J104" s="41" t="str">
        <f aca="false">IF($E104="","",$E104&amp;"|"&amp;COUNTIF($E$5:$E104,$E104))</f>
        <v/>
      </c>
      <c r="K104" s="40" t="str">
        <f aca="false">IF($I104="","",LEN($I104))</f>
        <v/>
      </c>
      <c r="L104" s="13"/>
      <c r="M104" s="13"/>
      <c r="N104" s="13"/>
      <c r="O104" s="13"/>
      <c r="P104" s="152"/>
      <c r="Q104" s="149"/>
      <c r="R104" s="152"/>
      <c r="S104" s="152"/>
      <c r="T104" s="62" t="str">
        <f aca="false">IF(OR($C104="",R104=""),"",IF(R104/IF($R$2="",100,$R$2)&gt;=設定!$I$28,設定!$G$8,IF(R104/IF($R$2="",100,$R$2)&lt;設定!$I$29,設定!$G$10,設定!$G$9)))</f>
        <v/>
      </c>
      <c r="U104" s="62" t="str">
        <f aca="false">IF(OR($C104="",S104=""),"",IF(S104/IF($S$2="",100,$S$2)&gt;=設定!$I$28,設定!$G$8,IF(S104/IF($S$2="",100,$S$2)&lt;設定!$I$29,設定!$G$10,設定!$G$9)))</f>
        <v/>
      </c>
    </row>
    <row r="105" customFormat="false" ht="21" hidden="false" customHeight="true" outlineLevel="0" collapsed="false">
      <c r="A105" s="91" t="str">
        <f aca="false">IF(名簿!$D105="","",名簿!$B105&amp;"")</f>
        <v/>
      </c>
      <c r="B105" s="91" t="str">
        <f aca="false">IF(名簿!$D105="","",名簿!$C105)</f>
        <v/>
      </c>
      <c r="C105" s="59" t="str">
        <f aca="false">IF(名簿!$D105="","",名簿!$D105&amp;IF(名簿!$F105="転出","（転出）",""))</f>
        <v/>
      </c>
      <c r="D105" s="149"/>
      <c r="E105" s="61" t="str">
        <f aca="false">IF(OR($C105="",名簿!$F105="転出"),"",IF($C$2="学級ごと",$A105,IF($C$2="前の単元と同じ",単元01!$E105&amp;"",$D105&amp;"")))</f>
        <v/>
      </c>
      <c r="F105" s="150"/>
      <c r="G105" s="150"/>
      <c r="H105" s="150"/>
      <c r="I105" s="151"/>
      <c r="J105" s="41" t="str">
        <f aca="false">IF($E105="","",$E105&amp;"|"&amp;COUNTIF($E$5:$E105,$E105))</f>
        <v/>
      </c>
      <c r="K105" s="40" t="str">
        <f aca="false">IF($I105="","",LEN($I105))</f>
        <v/>
      </c>
      <c r="L105" s="13"/>
      <c r="M105" s="13"/>
      <c r="N105" s="13"/>
      <c r="O105" s="13"/>
      <c r="P105" s="152"/>
      <c r="Q105" s="149"/>
      <c r="R105" s="152"/>
      <c r="S105" s="152"/>
      <c r="T105" s="62" t="str">
        <f aca="false">IF(OR($C105="",R105=""),"",IF(R105/IF($R$2="",100,$R$2)&gt;=設定!$I$28,設定!$G$8,IF(R105/IF($R$2="",100,$R$2)&lt;設定!$I$29,設定!$G$10,設定!$G$9)))</f>
        <v/>
      </c>
      <c r="U105" s="62" t="str">
        <f aca="false">IF(OR($C105="",S105=""),"",IF(S105/IF($S$2="",100,$S$2)&gt;=設定!$I$28,設定!$G$8,IF(S105/IF($S$2="",100,$S$2)&lt;設定!$I$29,設定!$G$10,設定!$G$9)))</f>
        <v/>
      </c>
    </row>
    <row r="106" customFormat="false" ht="21" hidden="false" customHeight="true" outlineLevel="0" collapsed="false">
      <c r="A106" s="91" t="str">
        <f aca="false">IF(名簿!$D106="","",名簿!$B106&amp;"")</f>
        <v/>
      </c>
      <c r="B106" s="91" t="str">
        <f aca="false">IF(名簿!$D106="","",名簿!$C106)</f>
        <v/>
      </c>
      <c r="C106" s="59" t="str">
        <f aca="false">IF(名簿!$D106="","",名簿!$D106&amp;IF(名簿!$F106="転出","（転出）",""))</f>
        <v/>
      </c>
      <c r="D106" s="149"/>
      <c r="E106" s="61" t="str">
        <f aca="false">IF(OR($C106="",名簿!$F106="転出"),"",IF($C$2="学級ごと",$A106,IF($C$2="前の単元と同じ",単元01!$E106&amp;"",$D106&amp;"")))</f>
        <v/>
      </c>
      <c r="F106" s="150"/>
      <c r="G106" s="150"/>
      <c r="H106" s="150"/>
      <c r="I106" s="151"/>
      <c r="J106" s="41" t="str">
        <f aca="false">IF($E106="","",$E106&amp;"|"&amp;COUNTIF($E$5:$E106,$E106))</f>
        <v/>
      </c>
      <c r="K106" s="40" t="str">
        <f aca="false">IF($I106="","",LEN($I106))</f>
        <v/>
      </c>
      <c r="L106" s="13"/>
      <c r="M106" s="13"/>
      <c r="N106" s="13"/>
      <c r="O106" s="13"/>
      <c r="P106" s="152"/>
      <c r="Q106" s="149"/>
      <c r="R106" s="152"/>
      <c r="S106" s="152"/>
      <c r="T106" s="62" t="str">
        <f aca="false">IF(OR($C106="",R106=""),"",IF(R106/IF($R$2="",100,$R$2)&gt;=設定!$I$28,設定!$G$8,IF(R106/IF($R$2="",100,$R$2)&lt;設定!$I$29,設定!$G$10,設定!$G$9)))</f>
        <v/>
      </c>
      <c r="U106" s="62" t="str">
        <f aca="false">IF(OR($C106="",S106=""),"",IF(S106/IF($S$2="",100,$S$2)&gt;=設定!$I$28,設定!$G$8,IF(S106/IF($S$2="",100,$S$2)&lt;設定!$I$29,設定!$G$10,設定!$G$9)))</f>
        <v/>
      </c>
    </row>
    <row r="107" customFormat="false" ht="21" hidden="false" customHeight="true" outlineLevel="0" collapsed="false">
      <c r="A107" s="91" t="str">
        <f aca="false">IF(名簿!$D107="","",名簿!$B107&amp;"")</f>
        <v/>
      </c>
      <c r="B107" s="91" t="str">
        <f aca="false">IF(名簿!$D107="","",名簿!$C107)</f>
        <v/>
      </c>
      <c r="C107" s="59" t="str">
        <f aca="false">IF(名簿!$D107="","",名簿!$D107&amp;IF(名簿!$F107="転出","（転出）",""))</f>
        <v/>
      </c>
      <c r="D107" s="149"/>
      <c r="E107" s="61" t="str">
        <f aca="false">IF(OR($C107="",名簿!$F107="転出"),"",IF($C$2="学級ごと",$A107,IF($C$2="前の単元と同じ",単元01!$E107&amp;"",$D107&amp;"")))</f>
        <v/>
      </c>
      <c r="F107" s="150"/>
      <c r="G107" s="150"/>
      <c r="H107" s="150"/>
      <c r="I107" s="151"/>
      <c r="J107" s="41" t="str">
        <f aca="false">IF($E107="","",$E107&amp;"|"&amp;COUNTIF($E$5:$E107,$E107))</f>
        <v/>
      </c>
      <c r="K107" s="40" t="str">
        <f aca="false">IF($I107="","",LEN($I107))</f>
        <v/>
      </c>
      <c r="L107" s="13"/>
      <c r="M107" s="13"/>
      <c r="N107" s="13"/>
      <c r="O107" s="13"/>
      <c r="P107" s="152"/>
      <c r="Q107" s="149"/>
      <c r="R107" s="152"/>
      <c r="S107" s="152"/>
      <c r="T107" s="62" t="str">
        <f aca="false">IF(OR($C107="",R107=""),"",IF(R107/IF($R$2="",100,$R$2)&gt;=設定!$I$28,設定!$G$8,IF(R107/IF($R$2="",100,$R$2)&lt;設定!$I$29,設定!$G$10,設定!$G$9)))</f>
        <v/>
      </c>
      <c r="U107" s="62" t="str">
        <f aca="false">IF(OR($C107="",S107=""),"",IF(S107/IF($S$2="",100,$S$2)&gt;=設定!$I$28,設定!$G$8,IF(S107/IF($S$2="",100,$S$2)&lt;設定!$I$29,設定!$G$10,設定!$G$9)))</f>
        <v/>
      </c>
    </row>
    <row r="108" customFormat="false" ht="21" hidden="false" customHeight="true" outlineLevel="0" collapsed="false">
      <c r="A108" s="91" t="str">
        <f aca="false">IF(名簿!$D108="","",名簿!$B108&amp;"")</f>
        <v/>
      </c>
      <c r="B108" s="91" t="str">
        <f aca="false">IF(名簿!$D108="","",名簿!$C108)</f>
        <v/>
      </c>
      <c r="C108" s="59" t="str">
        <f aca="false">IF(名簿!$D108="","",名簿!$D108&amp;IF(名簿!$F108="転出","（転出）",""))</f>
        <v/>
      </c>
      <c r="D108" s="149"/>
      <c r="E108" s="61" t="str">
        <f aca="false">IF(OR($C108="",名簿!$F108="転出"),"",IF($C$2="学級ごと",$A108,IF($C$2="前の単元と同じ",単元01!$E108&amp;"",$D108&amp;"")))</f>
        <v/>
      </c>
      <c r="F108" s="150"/>
      <c r="G108" s="150"/>
      <c r="H108" s="150"/>
      <c r="I108" s="151"/>
      <c r="J108" s="41" t="str">
        <f aca="false">IF($E108="","",$E108&amp;"|"&amp;COUNTIF($E$5:$E108,$E108))</f>
        <v/>
      </c>
      <c r="K108" s="40" t="str">
        <f aca="false">IF($I108="","",LEN($I108))</f>
        <v/>
      </c>
      <c r="L108" s="13"/>
      <c r="M108" s="13"/>
      <c r="N108" s="13"/>
      <c r="O108" s="13"/>
      <c r="P108" s="152"/>
      <c r="Q108" s="149"/>
      <c r="R108" s="152"/>
      <c r="S108" s="152"/>
      <c r="T108" s="62" t="str">
        <f aca="false">IF(OR($C108="",R108=""),"",IF(R108/IF($R$2="",100,$R$2)&gt;=設定!$I$28,設定!$G$8,IF(R108/IF($R$2="",100,$R$2)&lt;設定!$I$29,設定!$G$10,設定!$G$9)))</f>
        <v/>
      </c>
      <c r="U108" s="62" t="str">
        <f aca="false">IF(OR($C108="",S108=""),"",IF(S108/IF($S$2="",100,$S$2)&gt;=設定!$I$28,設定!$G$8,IF(S108/IF($S$2="",100,$S$2)&lt;設定!$I$29,設定!$G$10,設定!$G$9)))</f>
        <v/>
      </c>
    </row>
    <row r="109" customFormat="false" ht="21" hidden="false" customHeight="true" outlineLevel="0" collapsed="false">
      <c r="A109" s="91" t="str">
        <f aca="false">IF(名簿!$D109="","",名簿!$B109&amp;"")</f>
        <v/>
      </c>
      <c r="B109" s="91" t="str">
        <f aca="false">IF(名簿!$D109="","",名簿!$C109)</f>
        <v/>
      </c>
      <c r="C109" s="59" t="str">
        <f aca="false">IF(名簿!$D109="","",名簿!$D109&amp;IF(名簿!$F109="転出","（転出）",""))</f>
        <v/>
      </c>
      <c r="D109" s="149"/>
      <c r="E109" s="61" t="str">
        <f aca="false">IF(OR($C109="",名簿!$F109="転出"),"",IF($C$2="学級ごと",$A109,IF($C$2="前の単元と同じ",単元01!$E109&amp;"",$D109&amp;"")))</f>
        <v/>
      </c>
      <c r="F109" s="150"/>
      <c r="G109" s="150"/>
      <c r="H109" s="150"/>
      <c r="I109" s="151"/>
      <c r="J109" s="41" t="str">
        <f aca="false">IF($E109="","",$E109&amp;"|"&amp;COUNTIF($E$5:$E109,$E109))</f>
        <v/>
      </c>
      <c r="K109" s="40" t="str">
        <f aca="false">IF($I109="","",LEN($I109))</f>
        <v/>
      </c>
      <c r="L109" s="13"/>
      <c r="M109" s="13"/>
      <c r="N109" s="13"/>
      <c r="O109" s="13"/>
      <c r="P109" s="152"/>
      <c r="Q109" s="149"/>
      <c r="R109" s="152"/>
      <c r="S109" s="152"/>
      <c r="T109" s="62" t="str">
        <f aca="false">IF(OR($C109="",R109=""),"",IF(R109/IF($R$2="",100,$R$2)&gt;=設定!$I$28,設定!$G$8,IF(R109/IF($R$2="",100,$R$2)&lt;設定!$I$29,設定!$G$10,設定!$G$9)))</f>
        <v/>
      </c>
      <c r="U109" s="62" t="str">
        <f aca="false">IF(OR($C109="",S109=""),"",IF(S109/IF($S$2="",100,$S$2)&gt;=設定!$I$28,設定!$G$8,IF(S109/IF($S$2="",100,$S$2)&lt;設定!$I$29,設定!$G$10,設定!$G$9)))</f>
        <v/>
      </c>
    </row>
    <row r="110" customFormat="false" ht="21" hidden="false" customHeight="true" outlineLevel="0" collapsed="false">
      <c r="A110" s="91" t="str">
        <f aca="false">IF(名簿!$D110="","",名簿!$B110&amp;"")</f>
        <v/>
      </c>
      <c r="B110" s="91" t="str">
        <f aca="false">IF(名簿!$D110="","",名簿!$C110)</f>
        <v/>
      </c>
      <c r="C110" s="59" t="str">
        <f aca="false">IF(名簿!$D110="","",名簿!$D110&amp;IF(名簿!$F110="転出","（転出）",""))</f>
        <v/>
      </c>
      <c r="D110" s="149"/>
      <c r="E110" s="61" t="str">
        <f aca="false">IF(OR($C110="",名簿!$F110="転出"),"",IF($C$2="学級ごと",$A110,IF($C$2="前の単元と同じ",単元01!$E110&amp;"",$D110&amp;"")))</f>
        <v/>
      </c>
      <c r="F110" s="150"/>
      <c r="G110" s="150"/>
      <c r="H110" s="150"/>
      <c r="I110" s="151"/>
      <c r="J110" s="41" t="str">
        <f aca="false">IF($E110="","",$E110&amp;"|"&amp;COUNTIF($E$5:$E110,$E110))</f>
        <v/>
      </c>
      <c r="K110" s="40" t="str">
        <f aca="false">IF($I110="","",LEN($I110))</f>
        <v/>
      </c>
      <c r="L110" s="13"/>
      <c r="M110" s="13"/>
      <c r="N110" s="13"/>
      <c r="O110" s="13"/>
      <c r="P110" s="152"/>
      <c r="Q110" s="149"/>
      <c r="R110" s="152"/>
      <c r="S110" s="152"/>
      <c r="T110" s="62" t="str">
        <f aca="false">IF(OR($C110="",R110=""),"",IF(R110/IF($R$2="",100,$R$2)&gt;=設定!$I$28,設定!$G$8,IF(R110/IF($R$2="",100,$R$2)&lt;設定!$I$29,設定!$G$10,設定!$G$9)))</f>
        <v/>
      </c>
      <c r="U110" s="62" t="str">
        <f aca="false">IF(OR($C110="",S110=""),"",IF(S110/IF($S$2="",100,$S$2)&gt;=設定!$I$28,設定!$G$8,IF(S110/IF($S$2="",100,$S$2)&lt;設定!$I$29,設定!$G$10,設定!$G$9)))</f>
        <v/>
      </c>
    </row>
    <row r="111" customFormat="false" ht="21" hidden="false" customHeight="true" outlineLevel="0" collapsed="false">
      <c r="A111" s="91" t="str">
        <f aca="false">IF(名簿!$D111="","",名簿!$B111&amp;"")</f>
        <v/>
      </c>
      <c r="B111" s="91" t="str">
        <f aca="false">IF(名簿!$D111="","",名簿!$C111)</f>
        <v/>
      </c>
      <c r="C111" s="59" t="str">
        <f aca="false">IF(名簿!$D111="","",名簿!$D111&amp;IF(名簿!$F111="転出","（転出）",""))</f>
        <v/>
      </c>
      <c r="D111" s="149"/>
      <c r="E111" s="61" t="str">
        <f aca="false">IF(OR($C111="",名簿!$F111="転出"),"",IF($C$2="学級ごと",$A111,IF($C$2="前の単元と同じ",単元01!$E111&amp;"",$D111&amp;"")))</f>
        <v/>
      </c>
      <c r="F111" s="150"/>
      <c r="G111" s="150"/>
      <c r="H111" s="150"/>
      <c r="I111" s="151"/>
      <c r="J111" s="41" t="str">
        <f aca="false">IF($E111="","",$E111&amp;"|"&amp;COUNTIF($E$5:$E111,$E111))</f>
        <v/>
      </c>
      <c r="K111" s="40" t="str">
        <f aca="false">IF($I111="","",LEN($I111))</f>
        <v/>
      </c>
      <c r="L111" s="13"/>
      <c r="M111" s="13"/>
      <c r="N111" s="13"/>
      <c r="O111" s="13"/>
      <c r="P111" s="152"/>
      <c r="Q111" s="149"/>
      <c r="R111" s="152"/>
      <c r="S111" s="152"/>
      <c r="T111" s="62" t="str">
        <f aca="false">IF(OR($C111="",R111=""),"",IF(R111/IF($R$2="",100,$R$2)&gt;=設定!$I$28,設定!$G$8,IF(R111/IF($R$2="",100,$R$2)&lt;設定!$I$29,設定!$G$10,設定!$G$9)))</f>
        <v/>
      </c>
      <c r="U111" s="62" t="str">
        <f aca="false">IF(OR($C111="",S111=""),"",IF(S111/IF($S$2="",100,$S$2)&gt;=設定!$I$28,設定!$G$8,IF(S111/IF($S$2="",100,$S$2)&lt;設定!$I$29,設定!$G$10,設定!$G$9)))</f>
        <v/>
      </c>
    </row>
    <row r="112" customFormat="false" ht="21" hidden="false" customHeight="true" outlineLevel="0" collapsed="false">
      <c r="A112" s="91" t="str">
        <f aca="false">IF(名簿!$D112="","",名簿!$B112&amp;"")</f>
        <v/>
      </c>
      <c r="B112" s="91" t="str">
        <f aca="false">IF(名簿!$D112="","",名簿!$C112)</f>
        <v/>
      </c>
      <c r="C112" s="59" t="str">
        <f aca="false">IF(名簿!$D112="","",名簿!$D112&amp;IF(名簿!$F112="転出","（転出）",""))</f>
        <v/>
      </c>
      <c r="D112" s="149"/>
      <c r="E112" s="61" t="str">
        <f aca="false">IF(OR($C112="",名簿!$F112="転出"),"",IF($C$2="学級ごと",$A112,IF($C$2="前の単元と同じ",単元01!$E112&amp;"",$D112&amp;"")))</f>
        <v/>
      </c>
      <c r="F112" s="150"/>
      <c r="G112" s="150"/>
      <c r="H112" s="150"/>
      <c r="I112" s="151"/>
      <c r="J112" s="41" t="str">
        <f aca="false">IF($E112="","",$E112&amp;"|"&amp;COUNTIF($E$5:$E112,$E112))</f>
        <v/>
      </c>
      <c r="K112" s="40" t="str">
        <f aca="false">IF($I112="","",LEN($I112))</f>
        <v/>
      </c>
      <c r="L112" s="13"/>
      <c r="M112" s="13"/>
      <c r="N112" s="13"/>
      <c r="O112" s="13"/>
      <c r="P112" s="152"/>
      <c r="Q112" s="149"/>
      <c r="R112" s="152"/>
      <c r="S112" s="152"/>
      <c r="T112" s="62" t="str">
        <f aca="false">IF(OR($C112="",R112=""),"",IF(R112/IF($R$2="",100,$R$2)&gt;=設定!$I$28,設定!$G$8,IF(R112/IF($R$2="",100,$R$2)&lt;設定!$I$29,設定!$G$10,設定!$G$9)))</f>
        <v/>
      </c>
      <c r="U112" s="62" t="str">
        <f aca="false">IF(OR($C112="",S112=""),"",IF(S112/IF($S$2="",100,$S$2)&gt;=設定!$I$28,設定!$G$8,IF(S112/IF($S$2="",100,$S$2)&lt;設定!$I$29,設定!$G$10,設定!$G$9)))</f>
        <v/>
      </c>
    </row>
    <row r="113" customFormat="false" ht="21" hidden="false" customHeight="true" outlineLevel="0" collapsed="false">
      <c r="A113" s="91" t="str">
        <f aca="false">IF(名簿!$D113="","",名簿!$B113&amp;"")</f>
        <v/>
      </c>
      <c r="B113" s="91" t="str">
        <f aca="false">IF(名簿!$D113="","",名簿!$C113)</f>
        <v/>
      </c>
      <c r="C113" s="59" t="str">
        <f aca="false">IF(名簿!$D113="","",名簿!$D113&amp;IF(名簿!$F113="転出","（転出）",""))</f>
        <v/>
      </c>
      <c r="D113" s="149"/>
      <c r="E113" s="61" t="str">
        <f aca="false">IF(OR($C113="",名簿!$F113="転出"),"",IF($C$2="学級ごと",$A113,IF($C$2="前の単元と同じ",単元01!$E113&amp;"",$D113&amp;"")))</f>
        <v/>
      </c>
      <c r="F113" s="150"/>
      <c r="G113" s="150"/>
      <c r="H113" s="150"/>
      <c r="I113" s="151"/>
      <c r="J113" s="41" t="str">
        <f aca="false">IF($E113="","",$E113&amp;"|"&amp;COUNTIF($E$5:$E113,$E113))</f>
        <v/>
      </c>
      <c r="K113" s="40" t="str">
        <f aca="false">IF($I113="","",LEN($I113))</f>
        <v/>
      </c>
      <c r="L113" s="13"/>
      <c r="M113" s="13"/>
      <c r="N113" s="13"/>
      <c r="O113" s="13"/>
      <c r="P113" s="152"/>
      <c r="Q113" s="149"/>
      <c r="R113" s="152"/>
      <c r="S113" s="152"/>
      <c r="T113" s="62" t="str">
        <f aca="false">IF(OR($C113="",R113=""),"",IF(R113/IF($R$2="",100,$R$2)&gt;=設定!$I$28,設定!$G$8,IF(R113/IF($R$2="",100,$R$2)&lt;設定!$I$29,設定!$G$10,設定!$G$9)))</f>
        <v/>
      </c>
      <c r="U113" s="62" t="str">
        <f aca="false">IF(OR($C113="",S113=""),"",IF(S113/IF($S$2="",100,$S$2)&gt;=設定!$I$28,設定!$G$8,IF(S113/IF($S$2="",100,$S$2)&lt;設定!$I$29,設定!$G$10,設定!$G$9)))</f>
        <v/>
      </c>
    </row>
    <row r="114" customFormat="false" ht="21" hidden="false" customHeight="true" outlineLevel="0" collapsed="false">
      <c r="A114" s="91" t="str">
        <f aca="false">IF(名簿!$D114="","",名簿!$B114&amp;"")</f>
        <v/>
      </c>
      <c r="B114" s="91" t="str">
        <f aca="false">IF(名簿!$D114="","",名簿!$C114)</f>
        <v/>
      </c>
      <c r="C114" s="59" t="str">
        <f aca="false">IF(名簿!$D114="","",名簿!$D114&amp;IF(名簿!$F114="転出","（転出）",""))</f>
        <v/>
      </c>
      <c r="D114" s="149"/>
      <c r="E114" s="61" t="str">
        <f aca="false">IF(OR($C114="",名簿!$F114="転出"),"",IF($C$2="学級ごと",$A114,IF($C$2="前の単元と同じ",単元01!$E114&amp;"",$D114&amp;"")))</f>
        <v/>
      </c>
      <c r="F114" s="150"/>
      <c r="G114" s="150"/>
      <c r="H114" s="150"/>
      <c r="I114" s="151"/>
      <c r="J114" s="41" t="str">
        <f aca="false">IF($E114="","",$E114&amp;"|"&amp;COUNTIF($E$5:$E114,$E114))</f>
        <v/>
      </c>
      <c r="K114" s="40" t="str">
        <f aca="false">IF($I114="","",LEN($I114))</f>
        <v/>
      </c>
      <c r="L114" s="13"/>
      <c r="M114" s="13"/>
      <c r="N114" s="13"/>
      <c r="O114" s="13"/>
      <c r="P114" s="152"/>
      <c r="Q114" s="149"/>
      <c r="R114" s="152"/>
      <c r="S114" s="152"/>
      <c r="T114" s="62" t="str">
        <f aca="false">IF(OR($C114="",R114=""),"",IF(R114/IF($R$2="",100,$R$2)&gt;=設定!$I$28,設定!$G$8,IF(R114/IF($R$2="",100,$R$2)&lt;設定!$I$29,設定!$G$10,設定!$G$9)))</f>
        <v/>
      </c>
      <c r="U114" s="62" t="str">
        <f aca="false">IF(OR($C114="",S114=""),"",IF(S114/IF($S$2="",100,$S$2)&gt;=設定!$I$28,設定!$G$8,IF(S114/IF($S$2="",100,$S$2)&lt;設定!$I$29,設定!$G$10,設定!$G$9)))</f>
        <v/>
      </c>
    </row>
    <row r="115" customFormat="false" ht="21" hidden="false" customHeight="true" outlineLevel="0" collapsed="false">
      <c r="A115" s="91" t="str">
        <f aca="false">IF(名簿!$D115="","",名簿!$B115&amp;"")</f>
        <v/>
      </c>
      <c r="B115" s="91" t="str">
        <f aca="false">IF(名簿!$D115="","",名簿!$C115)</f>
        <v/>
      </c>
      <c r="C115" s="59" t="str">
        <f aca="false">IF(名簿!$D115="","",名簿!$D115&amp;IF(名簿!$F115="転出","（転出）",""))</f>
        <v/>
      </c>
      <c r="D115" s="149"/>
      <c r="E115" s="61" t="str">
        <f aca="false">IF(OR($C115="",名簿!$F115="転出"),"",IF($C$2="学級ごと",$A115,IF($C$2="前の単元と同じ",単元01!$E115&amp;"",$D115&amp;"")))</f>
        <v/>
      </c>
      <c r="F115" s="150"/>
      <c r="G115" s="150"/>
      <c r="H115" s="150"/>
      <c r="I115" s="151"/>
      <c r="J115" s="41" t="str">
        <f aca="false">IF($E115="","",$E115&amp;"|"&amp;COUNTIF($E$5:$E115,$E115))</f>
        <v/>
      </c>
      <c r="K115" s="40" t="str">
        <f aca="false">IF($I115="","",LEN($I115))</f>
        <v/>
      </c>
      <c r="L115" s="13"/>
      <c r="M115" s="13"/>
      <c r="N115" s="13"/>
      <c r="O115" s="13"/>
      <c r="P115" s="152"/>
      <c r="Q115" s="149"/>
      <c r="R115" s="152"/>
      <c r="S115" s="152"/>
      <c r="T115" s="62" t="str">
        <f aca="false">IF(OR($C115="",R115=""),"",IF(R115/IF($R$2="",100,$R$2)&gt;=設定!$I$28,設定!$G$8,IF(R115/IF($R$2="",100,$R$2)&lt;設定!$I$29,設定!$G$10,設定!$G$9)))</f>
        <v/>
      </c>
      <c r="U115" s="62" t="str">
        <f aca="false">IF(OR($C115="",S115=""),"",IF(S115/IF($S$2="",100,$S$2)&gt;=設定!$I$28,設定!$G$8,IF(S115/IF($S$2="",100,$S$2)&lt;設定!$I$29,設定!$G$10,設定!$G$9)))</f>
        <v/>
      </c>
    </row>
    <row r="116" customFormat="false" ht="21" hidden="false" customHeight="true" outlineLevel="0" collapsed="false">
      <c r="A116" s="91" t="str">
        <f aca="false">IF(名簿!$D116="","",名簿!$B116&amp;"")</f>
        <v/>
      </c>
      <c r="B116" s="91" t="str">
        <f aca="false">IF(名簿!$D116="","",名簿!$C116)</f>
        <v/>
      </c>
      <c r="C116" s="59" t="str">
        <f aca="false">IF(名簿!$D116="","",名簿!$D116&amp;IF(名簿!$F116="転出","（転出）",""))</f>
        <v/>
      </c>
      <c r="D116" s="149"/>
      <c r="E116" s="61" t="str">
        <f aca="false">IF(OR($C116="",名簿!$F116="転出"),"",IF($C$2="学級ごと",$A116,IF($C$2="前の単元と同じ",単元01!$E116&amp;"",$D116&amp;"")))</f>
        <v/>
      </c>
      <c r="F116" s="150"/>
      <c r="G116" s="150"/>
      <c r="H116" s="150"/>
      <c r="I116" s="151"/>
      <c r="J116" s="41" t="str">
        <f aca="false">IF($E116="","",$E116&amp;"|"&amp;COUNTIF($E$5:$E116,$E116))</f>
        <v/>
      </c>
      <c r="K116" s="40" t="str">
        <f aca="false">IF($I116="","",LEN($I116))</f>
        <v/>
      </c>
      <c r="L116" s="13"/>
      <c r="M116" s="13"/>
      <c r="N116" s="13"/>
      <c r="O116" s="13"/>
      <c r="P116" s="152"/>
      <c r="Q116" s="149"/>
      <c r="R116" s="152"/>
      <c r="S116" s="152"/>
      <c r="T116" s="62" t="str">
        <f aca="false">IF(OR($C116="",R116=""),"",IF(R116/IF($R$2="",100,$R$2)&gt;=設定!$I$28,設定!$G$8,IF(R116/IF($R$2="",100,$R$2)&lt;設定!$I$29,設定!$G$10,設定!$G$9)))</f>
        <v/>
      </c>
      <c r="U116" s="62" t="str">
        <f aca="false">IF(OR($C116="",S116=""),"",IF(S116/IF($S$2="",100,$S$2)&gt;=設定!$I$28,設定!$G$8,IF(S116/IF($S$2="",100,$S$2)&lt;設定!$I$29,設定!$G$10,設定!$G$9)))</f>
        <v/>
      </c>
    </row>
    <row r="117" customFormat="false" ht="21" hidden="false" customHeight="true" outlineLevel="0" collapsed="false">
      <c r="A117" s="91" t="str">
        <f aca="false">IF(名簿!$D117="","",名簿!$B117&amp;"")</f>
        <v/>
      </c>
      <c r="B117" s="91" t="str">
        <f aca="false">IF(名簿!$D117="","",名簿!$C117)</f>
        <v/>
      </c>
      <c r="C117" s="59" t="str">
        <f aca="false">IF(名簿!$D117="","",名簿!$D117&amp;IF(名簿!$F117="転出","（転出）",""))</f>
        <v/>
      </c>
      <c r="D117" s="149"/>
      <c r="E117" s="61" t="str">
        <f aca="false">IF(OR($C117="",名簿!$F117="転出"),"",IF($C$2="学級ごと",$A117,IF($C$2="前の単元と同じ",単元01!$E117&amp;"",$D117&amp;"")))</f>
        <v/>
      </c>
      <c r="F117" s="150"/>
      <c r="G117" s="150"/>
      <c r="H117" s="150"/>
      <c r="I117" s="151"/>
      <c r="J117" s="41" t="str">
        <f aca="false">IF($E117="","",$E117&amp;"|"&amp;COUNTIF($E$5:$E117,$E117))</f>
        <v/>
      </c>
      <c r="K117" s="40" t="str">
        <f aca="false">IF($I117="","",LEN($I117))</f>
        <v/>
      </c>
      <c r="L117" s="13"/>
      <c r="M117" s="13"/>
      <c r="N117" s="13"/>
      <c r="O117" s="13"/>
      <c r="P117" s="152"/>
      <c r="Q117" s="149"/>
      <c r="R117" s="152"/>
      <c r="S117" s="152"/>
      <c r="T117" s="62" t="str">
        <f aca="false">IF(OR($C117="",R117=""),"",IF(R117/IF($R$2="",100,$R$2)&gt;=設定!$I$28,設定!$G$8,IF(R117/IF($R$2="",100,$R$2)&lt;設定!$I$29,設定!$G$10,設定!$G$9)))</f>
        <v/>
      </c>
      <c r="U117" s="62" t="str">
        <f aca="false">IF(OR($C117="",S117=""),"",IF(S117/IF($S$2="",100,$S$2)&gt;=設定!$I$28,設定!$G$8,IF(S117/IF($S$2="",100,$S$2)&lt;設定!$I$29,設定!$G$10,設定!$G$9)))</f>
        <v/>
      </c>
    </row>
    <row r="118" customFormat="false" ht="21" hidden="false" customHeight="true" outlineLevel="0" collapsed="false">
      <c r="A118" s="91" t="str">
        <f aca="false">IF(名簿!$D118="","",名簿!$B118&amp;"")</f>
        <v/>
      </c>
      <c r="B118" s="91" t="str">
        <f aca="false">IF(名簿!$D118="","",名簿!$C118)</f>
        <v/>
      </c>
      <c r="C118" s="59" t="str">
        <f aca="false">IF(名簿!$D118="","",名簿!$D118&amp;IF(名簿!$F118="転出","（転出）",""))</f>
        <v/>
      </c>
      <c r="D118" s="149"/>
      <c r="E118" s="61" t="str">
        <f aca="false">IF(OR($C118="",名簿!$F118="転出"),"",IF($C$2="学級ごと",$A118,IF($C$2="前の単元と同じ",単元01!$E118&amp;"",$D118&amp;"")))</f>
        <v/>
      </c>
      <c r="F118" s="150"/>
      <c r="G118" s="150"/>
      <c r="H118" s="150"/>
      <c r="I118" s="151"/>
      <c r="J118" s="41" t="str">
        <f aca="false">IF($E118="","",$E118&amp;"|"&amp;COUNTIF($E$5:$E118,$E118))</f>
        <v/>
      </c>
      <c r="K118" s="40" t="str">
        <f aca="false">IF($I118="","",LEN($I118))</f>
        <v/>
      </c>
      <c r="L118" s="13"/>
      <c r="M118" s="13"/>
      <c r="N118" s="13"/>
      <c r="O118" s="13"/>
      <c r="P118" s="152"/>
      <c r="Q118" s="149"/>
      <c r="R118" s="152"/>
      <c r="S118" s="152"/>
      <c r="T118" s="62" t="str">
        <f aca="false">IF(OR($C118="",R118=""),"",IF(R118/IF($R$2="",100,$R$2)&gt;=設定!$I$28,設定!$G$8,IF(R118/IF($R$2="",100,$R$2)&lt;設定!$I$29,設定!$G$10,設定!$G$9)))</f>
        <v/>
      </c>
      <c r="U118" s="62" t="str">
        <f aca="false">IF(OR($C118="",S118=""),"",IF(S118/IF($S$2="",100,$S$2)&gt;=設定!$I$28,設定!$G$8,IF(S118/IF($S$2="",100,$S$2)&lt;設定!$I$29,設定!$G$10,設定!$G$9)))</f>
        <v/>
      </c>
    </row>
    <row r="119" customFormat="false" ht="21" hidden="false" customHeight="true" outlineLevel="0" collapsed="false">
      <c r="A119" s="91" t="str">
        <f aca="false">IF(名簿!$D119="","",名簿!$B119&amp;"")</f>
        <v/>
      </c>
      <c r="B119" s="91" t="str">
        <f aca="false">IF(名簿!$D119="","",名簿!$C119)</f>
        <v/>
      </c>
      <c r="C119" s="59" t="str">
        <f aca="false">IF(名簿!$D119="","",名簿!$D119&amp;IF(名簿!$F119="転出","（転出）",""))</f>
        <v/>
      </c>
      <c r="D119" s="149"/>
      <c r="E119" s="61" t="str">
        <f aca="false">IF(OR($C119="",名簿!$F119="転出"),"",IF($C$2="学級ごと",$A119,IF($C$2="前の単元と同じ",単元01!$E119&amp;"",$D119&amp;"")))</f>
        <v/>
      </c>
      <c r="F119" s="150"/>
      <c r="G119" s="150"/>
      <c r="H119" s="150"/>
      <c r="I119" s="151"/>
      <c r="J119" s="41" t="str">
        <f aca="false">IF($E119="","",$E119&amp;"|"&amp;COUNTIF($E$5:$E119,$E119))</f>
        <v/>
      </c>
      <c r="K119" s="40" t="str">
        <f aca="false">IF($I119="","",LEN($I119))</f>
        <v/>
      </c>
      <c r="L119" s="13"/>
      <c r="M119" s="13"/>
      <c r="N119" s="13"/>
      <c r="O119" s="13"/>
      <c r="P119" s="152"/>
      <c r="Q119" s="149"/>
      <c r="R119" s="152"/>
      <c r="S119" s="152"/>
      <c r="T119" s="62" t="str">
        <f aca="false">IF(OR($C119="",R119=""),"",IF(R119/IF($R$2="",100,$R$2)&gt;=設定!$I$28,設定!$G$8,IF(R119/IF($R$2="",100,$R$2)&lt;設定!$I$29,設定!$G$10,設定!$G$9)))</f>
        <v/>
      </c>
      <c r="U119" s="62" t="str">
        <f aca="false">IF(OR($C119="",S119=""),"",IF(S119/IF($S$2="",100,$S$2)&gt;=設定!$I$28,設定!$G$8,IF(S119/IF($S$2="",100,$S$2)&lt;設定!$I$29,設定!$G$10,設定!$G$9)))</f>
        <v/>
      </c>
    </row>
    <row r="120" customFormat="false" ht="21" hidden="false" customHeight="true" outlineLevel="0" collapsed="false">
      <c r="A120" s="91" t="str">
        <f aca="false">IF(名簿!$D120="","",名簿!$B120&amp;"")</f>
        <v/>
      </c>
      <c r="B120" s="91" t="str">
        <f aca="false">IF(名簿!$D120="","",名簿!$C120)</f>
        <v/>
      </c>
      <c r="C120" s="59" t="str">
        <f aca="false">IF(名簿!$D120="","",名簿!$D120&amp;IF(名簿!$F120="転出","（転出）",""))</f>
        <v/>
      </c>
      <c r="D120" s="149"/>
      <c r="E120" s="61" t="str">
        <f aca="false">IF(OR($C120="",名簿!$F120="転出"),"",IF($C$2="学級ごと",$A120,IF($C$2="前の単元と同じ",単元01!$E120&amp;"",$D120&amp;"")))</f>
        <v/>
      </c>
      <c r="F120" s="150"/>
      <c r="G120" s="150"/>
      <c r="H120" s="150"/>
      <c r="I120" s="151"/>
      <c r="J120" s="41" t="str">
        <f aca="false">IF($E120="","",$E120&amp;"|"&amp;COUNTIF($E$5:$E120,$E120))</f>
        <v/>
      </c>
      <c r="K120" s="40" t="str">
        <f aca="false">IF($I120="","",LEN($I120))</f>
        <v/>
      </c>
      <c r="L120" s="13"/>
      <c r="M120" s="13"/>
      <c r="N120" s="13"/>
      <c r="O120" s="13"/>
      <c r="P120" s="152"/>
      <c r="Q120" s="149"/>
      <c r="R120" s="152"/>
      <c r="S120" s="152"/>
      <c r="T120" s="62" t="str">
        <f aca="false">IF(OR($C120="",R120=""),"",IF(R120/IF($R$2="",100,$R$2)&gt;=設定!$I$28,設定!$G$8,IF(R120/IF($R$2="",100,$R$2)&lt;設定!$I$29,設定!$G$10,設定!$G$9)))</f>
        <v/>
      </c>
      <c r="U120" s="62" t="str">
        <f aca="false">IF(OR($C120="",S120=""),"",IF(S120/IF($S$2="",100,$S$2)&gt;=設定!$I$28,設定!$G$8,IF(S120/IF($S$2="",100,$S$2)&lt;設定!$I$29,設定!$G$10,設定!$G$9)))</f>
        <v/>
      </c>
    </row>
    <row r="121" customFormat="false" ht="21" hidden="false" customHeight="true" outlineLevel="0" collapsed="false">
      <c r="A121" s="91" t="str">
        <f aca="false">IF(名簿!$D121="","",名簿!$B121&amp;"")</f>
        <v/>
      </c>
      <c r="B121" s="91" t="str">
        <f aca="false">IF(名簿!$D121="","",名簿!$C121)</f>
        <v/>
      </c>
      <c r="C121" s="59" t="str">
        <f aca="false">IF(名簿!$D121="","",名簿!$D121&amp;IF(名簿!$F121="転出","（転出）",""))</f>
        <v/>
      </c>
      <c r="D121" s="149"/>
      <c r="E121" s="61" t="str">
        <f aca="false">IF(OR($C121="",名簿!$F121="転出"),"",IF($C$2="学級ごと",$A121,IF($C$2="前の単元と同じ",単元01!$E121&amp;"",$D121&amp;"")))</f>
        <v/>
      </c>
      <c r="F121" s="150"/>
      <c r="G121" s="150"/>
      <c r="H121" s="150"/>
      <c r="I121" s="151"/>
      <c r="J121" s="41" t="str">
        <f aca="false">IF($E121="","",$E121&amp;"|"&amp;COUNTIF($E$5:$E121,$E121))</f>
        <v/>
      </c>
      <c r="K121" s="40" t="str">
        <f aca="false">IF($I121="","",LEN($I121))</f>
        <v/>
      </c>
      <c r="L121" s="13"/>
      <c r="M121" s="13"/>
      <c r="N121" s="13"/>
      <c r="O121" s="13"/>
      <c r="P121" s="152"/>
      <c r="Q121" s="149"/>
      <c r="R121" s="152"/>
      <c r="S121" s="152"/>
      <c r="T121" s="62" t="str">
        <f aca="false">IF(OR($C121="",R121=""),"",IF(R121/IF($R$2="",100,$R$2)&gt;=設定!$I$28,設定!$G$8,IF(R121/IF($R$2="",100,$R$2)&lt;設定!$I$29,設定!$G$10,設定!$G$9)))</f>
        <v/>
      </c>
      <c r="U121" s="62" t="str">
        <f aca="false">IF(OR($C121="",S121=""),"",IF(S121/IF($S$2="",100,$S$2)&gt;=設定!$I$28,設定!$G$8,IF(S121/IF($S$2="",100,$S$2)&lt;設定!$I$29,設定!$G$10,設定!$G$9)))</f>
        <v/>
      </c>
    </row>
    <row r="122" customFormat="false" ht="21" hidden="false" customHeight="true" outlineLevel="0" collapsed="false">
      <c r="A122" s="91" t="str">
        <f aca="false">IF(名簿!$D122="","",名簿!$B122&amp;"")</f>
        <v/>
      </c>
      <c r="B122" s="91" t="str">
        <f aca="false">IF(名簿!$D122="","",名簿!$C122)</f>
        <v/>
      </c>
      <c r="C122" s="59" t="str">
        <f aca="false">IF(名簿!$D122="","",名簿!$D122&amp;IF(名簿!$F122="転出","（転出）",""))</f>
        <v/>
      </c>
      <c r="D122" s="149"/>
      <c r="E122" s="61" t="str">
        <f aca="false">IF(OR($C122="",名簿!$F122="転出"),"",IF($C$2="学級ごと",$A122,IF($C$2="前の単元と同じ",単元01!$E122&amp;"",$D122&amp;"")))</f>
        <v/>
      </c>
      <c r="F122" s="150"/>
      <c r="G122" s="150"/>
      <c r="H122" s="150"/>
      <c r="I122" s="151"/>
      <c r="J122" s="41" t="str">
        <f aca="false">IF($E122="","",$E122&amp;"|"&amp;COUNTIF($E$5:$E122,$E122))</f>
        <v/>
      </c>
      <c r="K122" s="40" t="str">
        <f aca="false">IF($I122="","",LEN($I122))</f>
        <v/>
      </c>
      <c r="L122" s="13"/>
      <c r="M122" s="13"/>
      <c r="N122" s="13"/>
      <c r="O122" s="13"/>
      <c r="P122" s="152"/>
      <c r="Q122" s="149"/>
      <c r="R122" s="152"/>
      <c r="S122" s="152"/>
      <c r="T122" s="62" t="str">
        <f aca="false">IF(OR($C122="",R122=""),"",IF(R122/IF($R$2="",100,$R$2)&gt;=設定!$I$28,設定!$G$8,IF(R122/IF($R$2="",100,$R$2)&lt;設定!$I$29,設定!$G$10,設定!$G$9)))</f>
        <v/>
      </c>
      <c r="U122" s="62" t="str">
        <f aca="false">IF(OR($C122="",S122=""),"",IF(S122/IF($S$2="",100,$S$2)&gt;=設定!$I$28,設定!$G$8,IF(S122/IF($S$2="",100,$S$2)&lt;設定!$I$29,設定!$G$10,設定!$G$9)))</f>
        <v/>
      </c>
    </row>
    <row r="123" customFormat="false" ht="21" hidden="false" customHeight="true" outlineLevel="0" collapsed="false">
      <c r="A123" s="91" t="str">
        <f aca="false">IF(名簿!$D123="","",名簿!$B123&amp;"")</f>
        <v/>
      </c>
      <c r="B123" s="91" t="str">
        <f aca="false">IF(名簿!$D123="","",名簿!$C123)</f>
        <v/>
      </c>
      <c r="C123" s="59" t="str">
        <f aca="false">IF(名簿!$D123="","",名簿!$D123&amp;IF(名簿!$F123="転出","（転出）",""))</f>
        <v/>
      </c>
      <c r="D123" s="149"/>
      <c r="E123" s="61" t="str">
        <f aca="false">IF(OR($C123="",名簿!$F123="転出"),"",IF($C$2="学級ごと",$A123,IF($C$2="前の単元と同じ",単元01!$E123&amp;"",$D123&amp;"")))</f>
        <v/>
      </c>
      <c r="F123" s="150"/>
      <c r="G123" s="150"/>
      <c r="H123" s="150"/>
      <c r="I123" s="151"/>
      <c r="J123" s="41" t="str">
        <f aca="false">IF($E123="","",$E123&amp;"|"&amp;COUNTIF($E$5:$E123,$E123))</f>
        <v/>
      </c>
      <c r="K123" s="40" t="str">
        <f aca="false">IF($I123="","",LEN($I123))</f>
        <v/>
      </c>
      <c r="L123" s="13"/>
      <c r="M123" s="13"/>
      <c r="N123" s="13"/>
      <c r="O123" s="13"/>
      <c r="P123" s="152"/>
      <c r="Q123" s="149"/>
      <c r="R123" s="152"/>
      <c r="S123" s="152"/>
      <c r="T123" s="62" t="str">
        <f aca="false">IF(OR($C123="",R123=""),"",IF(R123/IF($R$2="",100,$R$2)&gt;=設定!$I$28,設定!$G$8,IF(R123/IF($R$2="",100,$R$2)&lt;設定!$I$29,設定!$G$10,設定!$G$9)))</f>
        <v/>
      </c>
      <c r="U123" s="62" t="str">
        <f aca="false">IF(OR($C123="",S123=""),"",IF(S123/IF($S$2="",100,$S$2)&gt;=設定!$I$28,設定!$G$8,IF(S123/IF($S$2="",100,$S$2)&lt;設定!$I$29,設定!$G$10,設定!$G$9)))</f>
        <v/>
      </c>
    </row>
    <row r="124" customFormat="false" ht="21" hidden="false" customHeight="true" outlineLevel="0" collapsed="false">
      <c r="A124" s="91" t="str">
        <f aca="false">IF(名簿!$D124="","",名簿!$B124&amp;"")</f>
        <v/>
      </c>
      <c r="B124" s="91" t="str">
        <f aca="false">IF(名簿!$D124="","",名簿!$C124)</f>
        <v/>
      </c>
      <c r="C124" s="59" t="str">
        <f aca="false">IF(名簿!$D124="","",名簿!$D124&amp;IF(名簿!$F124="転出","（転出）",""))</f>
        <v/>
      </c>
      <c r="D124" s="149"/>
      <c r="E124" s="61" t="str">
        <f aca="false">IF(OR($C124="",名簿!$F124="転出"),"",IF($C$2="学級ごと",$A124,IF($C$2="前の単元と同じ",単元01!$E124&amp;"",$D124&amp;"")))</f>
        <v/>
      </c>
      <c r="F124" s="150"/>
      <c r="G124" s="150"/>
      <c r="H124" s="150"/>
      <c r="I124" s="151"/>
      <c r="J124" s="41" t="str">
        <f aca="false">IF($E124="","",$E124&amp;"|"&amp;COUNTIF($E$5:$E124,$E124))</f>
        <v/>
      </c>
      <c r="K124" s="40" t="str">
        <f aca="false">IF($I124="","",LEN($I124))</f>
        <v/>
      </c>
      <c r="L124" s="13"/>
      <c r="M124" s="13"/>
      <c r="N124" s="13"/>
      <c r="O124" s="13"/>
      <c r="P124" s="152"/>
      <c r="Q124" s="149"/>
      <c r="R124" s="152"/>
      <c r="S124" s="152"/>
      <c r="T124" s="62" t="str">
        <f aca="false">IF(OR($C124="",R124=""),"",IF(R124/IF($R$2="",100,$R$2)&gt;=設定!$I$28,設定!$G$8,IF(R124/IF($R$2="",100,$R$2)&lt;設定!$I$29,設定!$G$10,設定!$G$9)))</f>
        <v/>
      </c>
      <c r="U124" s="62" t="str">
        <f aca="false">IF(OR($C124="",S124=""),"",IF(S124/IF($S$2="",100,$S$2)&gt;=設定!$I$28,設定!$G$8,IF(S124/IF($S$2="",100,$S$2)&lt;設定!$I$29,設定!$G$10,設定!$G$9)))</f>
        <v/>
      </c>
    </row>
    <row r="125" customFormat="false" ht="21" hidden="false" customHeight="true" outlineLevel="0" collapsed="false">
      <c r="A125" s="91" t="str">
        <f aca="false">IF(名簿!$D125="","",名簿!$B125&amp;"")</f>
        <v/>
      </c>
      <c r="B125" s="91" t="str">
        <f aca="false">IF(名簿!$D125="","",名簿!$C125)</f>
        <v/>
      </c>
      <c r="C125" s="59" t="str">
        <f aca="false">IF(名簿!$D125="","",名簿!$D125&amp;IF(名簿!$F125="転出","（転出）",""))</f>
        <v/>
      </c>
      <c r="D125" s="149"/>
      <c r="E125" s="61" t="str">
        <f aca="false">IF(OR($C125="",名簿!$F125="転出"),"",IF($C$2="学級ごと",$A125,IF($C$2="前の単元と同じ",単元01!$E125&amp;"",$D125&amp;"")))</f>
        <v/>
      </c>
      <c r="F125" s="150"/>
      <c r="G125" s="150"/>
      <c r="H125" s="150"/>
      <c r="I125" s="151"/>
      <c r="J125" s="41" t="str">
        <f aca="false">IF($E125="","",$E125&amp;"|"&amp;COUNTIF($E$5:$E125,$E125))</f>
        <v/>
      </c>
      <c r="K125" s="40" t="str">
        <f aca="false">IF($I125="","",LEN($I125))</f>
        <v/>
      </c>
      <c r="L125" s="13"/>
      <c r="M125" s="13"/>
      <c r="N125" s="13"/>
      <c r="O125" s="13"/>
      <c r="P125" s="152"/>
      <c r="Q125" s="149"/>
      <c r="R125" s="152"/>
      <c r="S125" s="152"/>
      <c r="T125" s="62" t="str">
        <f aca="false">IF(OR($C125="",R125=""),"",IF(R125/IF($R$2="",100,$R$2)&gt;=設定!$I$28,設定!$G$8,IF(R125/IF($R$2="",100,$R$2)&lt;設定!$I$29,設定!$G$10,設定!$G$9)))</f>
        <v/>
      </c>
      <c r="U125" s="62" t="str">
        <f aca="false">IF(OR($C125="",S125=""),"",IF(S125/IF($S$2="",100,$S$2)&gt;=設定!$I$28,設定!$G$8,IF(S125/IF($S$2="",100,$S$2)&lt;設定!$I$29,設定!$G$10,設定!$G$9)))</f>
        <v/>
      </c>
    </row>
    <row r="126" customFormat="false" ht="21" hidden="false" customHeight="true" outlineLevel="0" collapsed="false">
      <c r="A126" s="91" t="str">
        <f aca="false">IF(名簿!$D126="","",名簿!$B126&amp;"")</f>
        <v/>
      </c>
      <c r="B126" s="91" t="str">
        <f aca="false">IF(名簿!$D126="","",名簿!$C126)</f>
        <v/>
      </c>
      <c r="C126" s="59" t="str">
        <f aca="false">IF(名簿!$D126="","",名簿!$D126&amp;IF(名簿!$F126="転出","（転出）",""))</f>
        <v/>
      </c>
      <c r="D126" s="149"/>
      <c r="E126" s="61" t="str">
        <f aca="false">IF(OR($C126="",名簿!$F126="転出"),"",IF($C$2="学級ごと",$A126,IF($C$2="前の単元と同じ",単元01!$E126&amp;"",$D126&amp;"")))</f>
        <v/>
      </c>
      <c r="F126" s="150"/>
      <c r="G126" s="150"/>
      <c r="H126" s="150"/>
      <c r="I126" s="151"/>
      <c r="J126" s="41" t="str">
        <f aca="false">IF($E126="","",$E126&amp;"|"&amp;COUNTIF($E$5:$E126,$E126))</f>
        <v/>
      </c>
      <c r="K126" s="40" t="str">
        <f aca="false">IF($I126="","",LEN($I126))</f>
        <v/>
      </c>
      <c r="L126" s="13"/>
      <c r="M126" s="13"/>
      <c r="N126" s="13"/>
      <c r="O126" s="13"/>
      <c r="P126" s="152"/>
      <c r="Q126" s="149"/>
      <c r="R126" s="152"/>
      <c r="S126" s="152"/>
      <c r="T126" s="62" t="str">
        <f aca="false">IF(OR($C126="",R126=""),"",IF(R126/IF($R$2="",100,$R$2)&gt;=設定!$I$28,設定!$G$8,IF(R126/IF($R$2="",100,$R$2)&lt;設定!$I$29,設定!$G$10,設定!$G$9)))</f>
        <v/>
      </c>
      <c r="U126" s="62" t="str">
        <f aca="false">IF(OR($C126="",S126=""),"",IF(S126/IF($S$2="",100,$S$2)&gt;=設定!$I$28,設定!$G$8,IF(S126/IF($S$2="",100,$S$2)&lt;設定!$I$29,設定!$G$10,設定!$G$9)))</f>
        <v/>
      </c>
    </row>
    <row r="127" customFormat="false" ht="21" hidden="false" customHeight="true" outlineLevel="0" collapsed="false">
      <c r="A127" s="91" t="str">
        <f aca="false">IF(名簿!$D127="","",名簿!$B127&amp;"")</f>
        <v/>
      </c>
      <c r="B127" s="91" t="str">
        <f aca="false">IF(名簿!$D127="","",名簿!$C127)</f>
        <v/>
      </c>
      <c r="C127" s="59" t="str">
        <f aca="false">IF(名簿!$D127="","",名簿!$D127&amp;IF(名簿!$F127="転出","（転出）",""))</f>
        <v/>
      </c>
      <c r="D127" s="149"/>
      <c r="E127" s="61" t="str">
        <f aca="false">IF(OR($C127="",名簿!$F127="転出"),"",IF($C$2="学級ごと",$A127,IF($C$2="前の単元と同じ",単元01!$E127&amp;"",$D127&amp;"")))</f>
        <v/>
      </c>
      <c r="F127" s="150"/>
      <c r="G127" s="150"/>
      <c r="H127" s="150"/>
      <c r="I127" s="151"/>
      <c r="J127" s="41" t="str">
        <f aca="false">IF($E127="","",$E127&amp;"|"&amp;COUNTIF($E$5:$E127,$E127))</f>
        <v/>
      </c>
      <c r="K127" s="40" t="str">
        <f aca="false">IF($I127="","",LEN($I127))</f>
        <v/>
      </c>
      <c r="L127" s="13"/>
      <c r="M127" s="13"/>
      <c r="N127" s="13"/>
      <c r="O127" s="13"/>
      <c r="P127" s="152"/>
      <c r="Q127" s="149"/>
      <c r="R127" s="152"/>
      <c r="S127" s="152"/>
      <c r="T127" s="62" t="str">
        <f aca="false">IF(OR($C127="",R127=""),"",IF(R127/IF($R$2="",100,$R$2)&gt;=設定!$I$28,設定!$G$8,IF(R127/IF($R$2="",100,$R$2)&lt;設定!$I$29,設定!$G$10,設定!$G$9)))</f>
        <v/>
      </c>
      <c r="U127" s="62" t="str">
        <f aca="false">IF(OR($C127="",S127=""),"",IF(S127/IF($S$2="",100,$S$2)&gt;=設定!$I$28,設定!$G$8,IF(S127/IF($S$2="",100,$S$2)&lt;設定!$I$29,設定!$G$10,設定!$G$9)))</f>
        <v/>
      </c>
    </row>
    <row r="128" customFormat="false" ht="21" hidden="false" customHeight="true" outlineLevel="0" collapsed="false">
      <c r="A128" s="91" t="str">
        <f aca="false">IF(名簿!$D128="","",名簿!$B128&amp;"")</f>
        <v/>
      </c>
      <c r="B128" s="91" t="str">
        <f aca="false">IF(名簿!$D128="","",名簿!$C128)</f>
        <v/>
      </c>
      <c r="C128" s="59" t="str">
        <f aca="false">IF(名簿!$D128="","",名簿!$D128&amp;IF(名簿!$F128="転出","（転出）",""))</f>
        <v/>
      </c>
      <c r="D128" s="149"/>
      <c r="E128" s="61" t="str">
        <f aca="false">IF(OR($C128="",名簿!$F128="転出"),"",IF($C$2="学級ごと",$A128,IF($C$2="前の単元と同じ",単元01!$E128&amp;"",$D128&amp;"")))</f>
        <v/>
      </c>
      <c r="F128" s="150"/>
      <c r="G128" s="150"/>
      <c r="H128" s="150"/>
      <c r="I128" s="151"/>
      <c r="J128" s="41" t="str">
        <f aca="false">IF($E128="","",$E128&amp;"|"&amp;COUNTIF($E$5:$E128,$E128))</f>
        <v/>
      </c>
      <c r="K128" s="40" t="str">
        <f aca="false">IF($I128="","",LEN($I128))</f>
        <v/>
      </c>
      <c r="L128" s="13"/>
      <c r="M128" s="13"/>
      <c r="N128" s="13"/>
      <c r="O128" s="13"/>
      <c r="P128" s="152"/>
      <c r="Q128" s="149"/>
      <c r="R128" s="152"/>
      <c r="S128" s="152"/>
      <c r="T128" s="62" t="str">
        <f aca="false">IF(OR($C128="",R128=""),"",IF(R128/IF($R$2="",100,$R$2)&gt;=設定!$I$28,設定!$G$8,IF(R128/IF($R$2="",100,$R$2)&lt;設定!$I$29,設定!$G$10,設定!$G$9)))</f>
        <v/>
      </c>
      <c r="U128" s="62" t="str">
        <f aca="false">IF(OR($C128="",S128=""),"",IF(S128/IF($S$2="",100,$S$2)&gt;=設定!$I$28,設定!$G$8,IF(S128/IF($S$2="",100,$S$2)&lt;設定!$I$29,設定!$G$10,設定!$G$9)))</f>
        <v/>
      </c>
    </row>
    <row r="129" customFormat="false" ht="21" hidden="false" customHeight="true" outlineLevel="0" collapsed="false">
      <c r="A129" s="91" t="str">
        <f aca="false">IF(名簿!$D129="","",名簿!$B129&amp;"")</f>
        <v/>
      </c>
      <c r="B129" s="91" t="str">
        <f aca="false">IF(名簿!$D129="","",名簿!$C129)</f>
        <v/>
      </c>
      <c r="C129" s="59" t="str">
        <f aca="false">IF(名簿!$D129="","",名簿!$D129&amp;IF(名簿!$F129="転出","（転出）",""))</f>
        <v/>
      </c>
      <c r="D129" s="149"/>
      <c r="E129" s="61" t="str">
        <f aca="false">IF(OR($C129="",名簿!$F129="転出"),"",IF($C$2="学級ごと",$A129,IF($C$2="前の単元と同じ",単元01!$E129&amp;"",$D129&amp;"")))</f>
        <v/>
      </c>
      <c r="F129" s="150"/>
      <c r="G129" s="150"/>
      <c r="H129" s="150"/>
      <c r="I129" s="151"/>
      <c r="J129" s="41" t="str">
        <f aca="false">IF($E129="","",$E129&amp;"|"&amp;COUNTIF($E$5:$E129,$E129))</f>
        <v/>
      </c>
      <c r="K129" s="40" t="str">
        <f aca="false">IF($I129="","",LEN($I129))</f>
        <v/>
      </c>
      <c r="L129" s="13"/>
      <c r="M129" s="13"/>
      <c r="N129" s="13"/>
      <c r="O129" s="13"/>
      <c r="P129" s="152"/>
      <c r="Q129" s="149"/>
      <c r="R129" s="152"/>
      <c r="S129" s="152"/>
      <c r="T129" s="62" t="str">
        <f aca="false">IF(OR($C129="",R129=""),"",IF(R129/IF($R$2="",100,$R$2)&gt;=設定!$I$28,設定!$G$8,IF(R129/IF($R$2="",100,$R$2)&lt;設定!$I$29,設定!$G$10,設定!$G$9)))</f>
        <v/>
      </c>
      <c r="U129" s="62" t="str">
        <f aca="false">IF(OR($C129="",S129=""),"",IF(S129/IF($S$2="",100,$S$2)&gt;=設定!$I$28,設定!$G$8,IF(S129/IF($S$2="",100,$S$2)&lt;設定!$I$29,設定!$G$10,設定!$G$9)))</f>
        <v/>
      </c>
    </row>
    <row r="130" customFormat="false" ht="21" hidden="false" customHeight="true" outlineLevel="0" collapsed="false">
      <c r="A130" s="91" t="str">
        <f aca="false">IF(名簿!$D130="","",名簿!$B130&amp;"")</f>
        <v/>
      </c>
      <c r="B130" s="91" t="str">
        <f aca="false">IF(名簿!$D130="","",名簿!$C130)</f>
        <v/>
      </c>
      <c r="C130" s="59" t="str">
        <f aca="false">IF(名簿!$D130="","",名簿!$D130&amp;IF(名簿!$F130="転出","（転出）",""))</f>
        <v/>
      </c>
      <c r="D130" s="149"/>
      <c r="E130" s="61" t="str">
        <f aca="false">IF(OR($C130="",名簿!$F130="転出"),"",IF($C$2="学級ごと",$A130,IF($C$2="前の単元と同じ",単元01!$E130&amp;"",$D130&amp;"")))</f>
        <v/>
      </c>
      <c r="F130" s="150"/>
      <c r="G130" s="150"/>
      <c r="H130" s="150"/>
      <c r="I130" s="151"/>
      <c r="J130" s="41" t="str">
        <f aca="false">IF($E130="","",$E130&amp;"|"&amp;COUNTIF($E$5:$E130,$E130))</f>
        <v/>
      </c>
      <c r="K130" s="40" t="str">
        <f aca="false">IF($I130="","",LEN($I130))</f>
        <v/>
      </c>
      <c r="L130" s="13"/>
      <c r="M130" s="13"/>
      <c r="N130" s="13"/>
      <c r="O130" s="13"/>
      <c r="P130" s="152"/>
      <c r="Q130" s="149"/>
      <c r="R130" s="152"/>
      <c r="S130" s="152"/>
      <c r="T130" s="62" t="str">
        <f aca="false">IF(OR($C130="",R130=""),"",IF(R130/IF($R$2="",100,$R$2)&gt;=設定!$I$28,設定!$G$8,IF(R130/IF($R$2="",100,$R$2)&lt;設定!$I$29,設定!$G$10,設定!$G$9)))</f>
        <v/>
      </c>
      <c r="U130" s="62" t="str">
        <f aca="false">IF(OR($C130="",S130=""),"",IF(S130/IF($S$2="",100,$S$2)&gt;=設定!$I$28,設定!$G$8,IF(S130/IF($S$2="",100,$S$2)&lt;設定!$I$29,設定!$G$10,設定!$G$9)))</f>
        <v/>
      </c>
    </row>
    <row r="131" customFormat="false" ht="21" hidden="false" customHeight="true" outlineLevel="0" collapsed="false">
      <c r="A131" s="91" t="str">
        <f aca="false">IF(名簿!$D131="","",名簿!$B131&amp;"")</f>
        <v/>
      </c>
      <c r="B131" s="91" t="str">
        <f aca="false">IF(名簿!$D131="","",名簿!$C131)</f>
        <v/>
      </c>
      <c r="C131" s="59" t="str">
        <f aca="false">IF(名簿!$D131="","",名簿!$D131&amp;IF(名簿!$F131="転出","（転出）",""))</f>
        <v/>
      </c>
      <c r="D131" s="149"/>
      <c r="E131" s="61" t="str">
        <f aca="false">IF(OR($C131="",名簿!$F131="転出"),"",IF($C$2="学級ごと",$A131,IF($C$2="前の単元と同じ",単元01!$E131&amp;"",$D131&amp;"")))</f>
        <v/>
      </c>
      <c r="F131" s="150"/>
      <c r="G131" s="150"/>
      <c r="H131" s="150"/>
      <c r="I131" s="151"/>
      <c r="J131" s="41" t="str">
        <f aca="false">IF($E131="","",$E131&amp;"|"&amp;COUNTIF($E$5:$E131,$E131))</f>
        <v/>
      </c>
      <c r="K131" s="40" t="str">
        <f aca="false">IF($I131="","",LEN($I131))</f>
        <v/>
      </c>
      <c r="L131" s="13"/>
      <c r="M131" s="13"/>
      <c r="N131" s="13"/>
      <c r="O131" s="13"/>
      <c r="P131" s="152"/>
      <c r="Q131" s="149"/>
      <c r="R131" s="152"/>
      <c r="S131" s="152"/>
      <c r="T131" s="62" t="str">
        <f aca="false">IF(OR($C131="",R131=""),"",IF(R131/IF($R$2="",100,$R$2)&gt;=設定!$I$28,設定!$G$8,IF(R131/IF($R$2="",100,$R$2)&lt;設定!$I$29,設定!$G$10,設定!$G$9)))</f>
        <v/>
      </c>
      <c r="U131" s="62" t="str">
        <f aca="false">IF(OR($C131="",S131=""),"",IF(S131/IF($S$2="",100,$S$2)&gt;=設定!$I$28,設定!$G$8,IF(S131/IF($S$2="",100,$S$2)&lt;設定!$I$29,設定!$G$10,設定!$G$9)))</f>
        <v/>
      </c>
    </row>
    <row r="132" customFormat="false" ht="21" hidden="false" customHeight="true" outlineLevel="0" collapsed="false">
      <c r="A132" s="91" t="str">
        <f aca="false">IF(名簿!$D132="","",名簿!$B132&amp;"")</f>
        <v/>
      </c>
      <c r="B132" s="91" t="str">
        <f aca="false">IF(名簿!$D132="","",名簿!$C132)</f>
        <v/>
      </c>
      <c r="C132" s="59" t="str">
        <f aca="false">IF(名簿!$D132="","",名簿!$D132&amp;IF(名簿!$F132="転出","（転出）",""))</f>
        <v/>
      </c>
      <c r="D132" s="149"/>
      <c r="E132" s="61" t="str">
        <f aca="false">IF(OR($C132="",名簿!$F132="転出"),"",IF($C$2="学級ごと",$A132,IF($C$2="前の単元と同じ",単元01!$E132&amp;"",$D132&amp;"")))</f>
        <v/>
      </c>
      <c r="F132" s="150"/>
      <c r="G132" s="150"/>
      <c r="H132" s="150"/>
      <c r="I132" s="151"/>
      <c r="J132" s="41" t="str">
        <f aca="false">IF($E132="","",$E132&amp;"|"&amp;COUNTIF($E$5:$E132,$E132))</f>
        <v/>
      </c>
      <c r="K132" s="40" t="str">
        <f aca="false">IF($I132="","",LEN($I132))</f>
        <v/>
      </c>
      <c r="L132" s="13"/>
      <c r="M132" s="13"/>
      <c r="N132" s="13"/>
      <c r="O132" s="13"/>
      <c r="P132" s="152"/>
      <c r="Q132" s="149"/>
      <c r="R132" s="152"/>
      <c r="S132" s="152"/>
      <c r="T132" s="62" t="str">
        <f aca="false">IF(OR($C132="",R132=""),"",IF(R132/IF($R$2="",100,$R$2)&gt;=設定!$I$28,設定!$G$8,IF(R132/IF($R$2="",100,$R$2)&lt;設定!$I$29,設定!$G$10,設定!$G$9)))</f>
        <v/>
      </c>
      <c r="U132" s="62" t="str">
        <f aca="false">IF(OR($C132="",S132=""),"",IF(S132/IF($S$2="",100,$S$2)&gt;=設定!$I$28,設定!$G$8,IF(S132/IF($S$2="",100,$S$2)&lt;設定!$I$29,設定!$G$10,設定!$G$9)))</f>
        <v/>
      </c>
    </row>
    <row r="133" customFormat="false" ht="21" hidden="false" customHeight="true" outlineLevel="0" collapsed="false">
      <c r="A133" s="91" t="str">
        <f aca="false">IF(名簿!$D133="","",名簿!$B133&amp;"")</f>
        <v/>
      </c>
      <c r="B133" s="91" t="str">
        <f aca="false">IF(名簿!$D133="","",名簿!$C133)</f>
        <v/>
      </c>
      <c r="C133" s="59" t="str">
        <f aca="false">IF(名簿!$D133="","",名簿!$D133&amp;IF(名簿!$F133="転出","（転出）",""))</f>
        <v/>
      </c>
      <c r="D133" s="149"/>
      <c r="E133" s="61" t="str">
        <f aca="false">IF(OR($C133="",名簿!$F133="転出"),"",IF($C$2="学級ごと",$A133,IF($C$2="前の単元と同じ",単元01!$E133&amp;"",$D133&amp;"")))</f>
        <v/>
      </c>
      <c r="F133" s="150"/>
      <c r="G133" s="150"/>
      <c r="H133" s="150"/>
      <c r="I133" s="151"/>
      <c r="J133" s="41" t="str">
        <f aca="false">IF($E133="","",$E133&amp;"|"&amp;COUNTIF($E$5:$E133,$E133))</f>
        <v/>
      </c>
      <c r="K133" s="40" t="str">
        <f aca="false">IF($I133="","",LEN($I133))</f>
        <v/>
      </c>
      <c r="L133" s="13"/>
      <c r="M133" s="13"/>
      <c r="N133" s="13"/>
      <c r="O133" s="13"/>
      <c r="P133" s="152"/>
      <c r="Q133" s="149"/>
      <c r="R133" s="152"/>
      <c r="S133" s="152"/>
      <c r="T133" s="62" t="str">
        <f aca="false">IF(OR($C133="",R133=""),"",IF(R133/IF($R$2="",100,$R$2)&gt;=設定!$I$28,設定!$G$8,IF(R133/IF($R$2="",100,$R$2)&lt;設定!$I$29,設定!$G$10,設定!$G$9)))</f>
        <v/>
      </c>
      <c r="U133" s="62" t="str">
        <f aca="false">IF(OR($C133="",S133=""),"",IF(S133/IF($S$2="",100,$S$2)&gt;=設定!$I$28,設定!$G$8,IF(S133/IF($S$2="",100,$S$2)&lt;設定!$I$29,設定!$G$10,設定!$G$9)))</f>
        <v/>
      </c>
    </row>
    <row r="134" customFormat="false" ht="21" hidden="false" customHeight="true" outlineLevel="0" collapsed="false">
      <c r="A134" s="91" t="str">
        <f aca="false">IF(名簿!$D134="","",名簿!$B134&amp;"")</f>
        <v/>
      </c>
      <c r="B134" s="91" t="str">
        <f aca="false">IF(名簿!$D134="","",名簿!$C134)</f>
        <v/>
      </c>
      <c r="C134" s="59" t="str">
        <f aca="false">IF(名簿!$D134="","",名簿!$D134&amp;IF(名簿!$F134="転出","（転出）",""))</f>
        <v/>
      </c>
      <c r="D134" s="149"/>
      <c r="E134" s="61" t="str">
        <f aca="false">IF(OR($C134="",名簿!$F134="転出"),"",IF($C$2="学級ごと",$A134,IF($C$2="前の単元と同じ",単元01!$E134&amp;"",$D134&amp;"")))</f>
        <v/>
      </c>
      <c r="F134" s="150"/>
      <c r="G134" s="150"/>
      <c r="H134" s="150"/>
      <c r="I134" s="151"/>
      <c r="J134" s="41" t="str">
        <f aca="false">IF($E134="","",$E134&amp;"|"&amp;COUNTIF($E$5:$E134,$E134))</f>
        <v/>
      </c>
      <c r="K134" s="40" t="str">
        <f aca="false">IF($I134="","",LEN($I134))</f>
        <v/>
      </c>
      <c r="L134" s="13"/>
      <c r="M134" s="13"/>
      <c r="N134" s="13"/>
      <c r="O134" s="13"/>
      <c r="P134" s="152"/>
      <c r="Q134" s="149"/>
      <c r="R134" s="152"/>
      <c r="S134" s="152"/>
      <c r="T134" s="62" t="str">
        <f aca="false">IF(OR($C134="",R134=""),"",IF(R134/IF($R$2="",100,$R$2)&gt;=設定!$I$28,設定!$G$8,IF(R134/IF($R$2="",100,$R$2)&lt;設定!$I$29,設定!$G$10,設定!$G$9)))</f>
        <v/>
      </c>
      <c r="U134" s="62" t="str">
        <f aca="false">IF(OR($C134="",S134=""),"",IF(S134/IF($S$2="",100,$S$2)&gt;=設定!$I$28,設定!$G$8,IF(S134/IF($S$2="",100,$S$2)&lt;設定!$I$29,設定!$G$10,設定!$G$9)))</f>
        <v/>
      </c>
    </row>
    <row r="135" customFormat="false" ht="21" hidden="false" customHeight="true" outlineLevel="0" collapsed="false">
      <c r="A135" s="91" t="str">
        <f aca="false">IF(名簿!$D135="","",名簿!$B135&amp;"")</f>
        <v/>
      </c>
      <c r="B135" s="91" t="str">
        <f aca="false">IF(名簿!$D135="","",名簿!$C135)</f>
        <v/>
      </c>
      <c r="C135" s="59" t="str">
        <f aca="false">IF(名簿!$D135="","",名簿!$D135&amp;IF(名簿!$F135="転出","（転出）",""))</f>
        <v/>
      </c>
      <c r="D135" s="149"/>
      <c r="E135" s="61" t="str">
        <f aca="false">IF(OR($C135="",名簿!$F135="転出"),"",IF($C$2="学級ごと",$A135,IF($C$2="前の単元と同じ",単元01!$E135&amp;"",$D135&amp;"")))</f>
        <v/>
      </c>
      <c r="F135" s="150"/>
      <c r="G135" s="150"/>
      <c r="H135" s="150"/>
      <c r="I135" s="151"/>
      <c r="J135" s="41" t="str">
        <f aca="false">IF($E135="","",$E135&amp;"|"&amp;COUNTIF($E$5:$E135,$E135))</f>
        <v/>
      </c>
      <c r="K135" s="40" t="str">
        <f aca="false">IF($I135="","",LEN($I135))</f>
        <v/>
      </c>
      <c r="L135" s="13"/>
      <c r="M135" s="13"/>
      <c r="N135" s="13"/>
      <c r="O135" s="13"/>
      <c r="P135" s="152"/>
      <c r="Q135" s="149"/>
      <c r="R135" s="152"/>
      <c r="S135" s="152"/>
      <c r="T135" s="62" t="str">
        <f aca="false">IF(OR($C135="",R135=""),"",IF(R135/IF($R$2="",100,$R$2)&gt;=設定!$I$28,設定!$G$8,IF(R135/IF($R$2="",100,$R$2)&lt;設定!$I$29,設定!$G$10,設定!$G$9)))</f>
        <v/>
      </c>
      <c r="U135" s="62" t="str">
        <f aca="false">IF(OR($C135="",S135=""),"",IF(S135/IF($S$2="",100,$S$2)&gt;=設定!$I$28,設定!$G$8,IF(S135/IF($S$2="",100,$S$2)&lt;設定!$I$29,設定!$G$10,設定!$G$9)))</f>
        <v/>
      </c>
    </row>
    <row r="136" customFormat="false" ht="21" hidden="false" customHeight="true" outlineLevel="0" collapsed="false">
      <c r="A136" s="91" t="str">
        <f aca="false">IF(名簿!$D136="","",名簿!$B136&amp;"")</f>
        <v/>
      </c>
      <c r="B136" s="91" t="str">
        <f aca="false">IF(名簿!$D136="","",名簿!$C136)</f>
        <v/>
      </c>
      <c r="C136" s="59" t="str">
        <f aca="false">IF(名簿!$D136="","",名簿!$D136&amp;IF(名簿!$F136="転出","（転出）",""))</f>
        <v/>
      </c>
      <c r="D136" s="149"/>
      <c r="E136" s="61" t="str">
        <f aca="false">IF(OR($C136="",名簿!$F136="転出"),"",IF($C$2="学級ごと",$A136,IF($C$2="前の単元と同じ",単元01!$E136&amp;"",$D136&amp;"")))</f>
        <v/>
      </c>
      <c r="F136" s="150"/>
      <c r="G136" s="150"/>
      <c r="H136" s="150"/>
      <c r="I136" s="151"/>
      <c r="J136" s="41" t="str">
        <f aca="false">IF($E136="","",$E136&amp;"|"&amp;COUNTIF($E$5:$E136,$E136))</f>
        <v/>
      </c>
      <c r="K136" s="40" t="str">
        <f aca="false">IF($I136="","",LEN($I136))</f>
        <v/>
      </c>
      <c r="L136" s="13"/>
      <c r="M136" s="13"/>
      <c r="N136" s="13"/>
      <c r="O136" s="13"/>
      <c r="P136" s="152"/>
      <c r="Q136" s="149"/>
      <c r="R136" s="152"/>
      <c r="S136" s="152"/>
      <c r="T136" s="62" t="str">
        <f aca="false">IF(OR($C136="",R136=""),"",IF(R136/IF($R$2="",100,$R$2)&gt;=設定!$I$28,設定!$G$8,IF(R136/IF($R$2="",100,$R$2)&lt;設定!$I$29,設定!$G$10,設定!$G$9)))</f>
        <v/>
      </c>
      <c r="U136" s="62" t="str">
        <f aca="false">IF(OR($C136="",S136=""),"",IF(S136/IF($S$2="",100,$S$2)&gt;=設定!$I$28,設定!$G$8,IF(S136/IF($S$2="",100,$S$2)&lt;設定!$I$29,設定!$G$10,設定!$G$9)))</f>
        <v/>
      </c>
    </row>
    <row r="137" customFormat="false" ht="21" hidden="false" customHeight="true" outlineLevel="0" collapsed="false">
      <c r="A137" s="91" t="str">
        <f aca="false">IF(名簿!$D137="","",名簿!$B137&amp;"")</f>
        <v/>
      </c>
      <c r="B137" s="91" t="str">
        <f aca="false">IF(名簿!$D137="","",名簿!$C137)</f>
        <v/>
      </c>
      <c r="C137" s="59" t="str">
        <f aca="false">IF(名簿!$D137="","",名簿!$D137&amp;IF(名簿!$F137="転出","（転出）",""))</f>
        <v/>
      </c>
      <c r="D137" s="149"/>
      <c r="E137" s="61" t="str">
        <f aca="false">IF(OR($C137="",名簿!$F137="転出"),"",IF($C$2="学級ごと",$A137,IF($C$2="前の単元と同じ",単元01!$E137&amp;"",$D137&amp;"")))</f>
        <v/>
      </c>
      <c r="F137" s="150"/>
      <c r="G137" s="150"/>
      <c r="H137" s="150"/>
      <c r="I137" s="151"/>
      <c r="J137" s="41" t="str">
        <f aca="false">IF($E137="","",$E137&amp;"|"&amp;COUNTIF($E$5:$E137,$E137))</f>
        <v/>
      </c>
      <c r="K137" s="40" t="str">
        <f aca="false">IF($I137="","",LEN($I137))</f>
        <v/>
      </c>
      <c r="L137" s="13"/>
      <c r="M137" s="13"/>
      <c r="N137" s="13"/>
      <c r="O137" s="13"/>
      <c r="P137" s="152"/>
      <c r="Q137" s="149"/>
      <c r="R137" s="152"/>
      <c r="S137" s="152"/>
      <c r="T137" s="62" t="str">
        <f aca="false">IF(OR($C137="",R137=""),"",IF(R137/IF($R$2="",100,$R$2)&gt;=設定!$I$28,設定!$G$8,IF(R137/IF($R$2="",100,$R$2)&lt;設定!$I$29,設定!$G$10,設定!$G$9)))</f>
        <v/>
      </c>
      <c r="U137" s="62" t="str">
        <f aca="false">IF(OR($C137="",S137=""),"",IF(S137/IF($S$2="",100,$S$2)&gt;=設定!$I$28,設定!$G$8,IF(S137/IF($S$2="",100,$S$2)&lt;設定!$I$29,設定!$G$10,設定!$G$9)))</f>
        <v/>
      </c>
    </row>
    <row r="138" customFormat="false" ht="21" hidden="false" customHeight="true" outlineLevel="0" collapsed="false">
      <c r="A138" s="91" t="str">
        <f aca="false">IF(名簿!$D138="","",名簿!$B138&amp;"")</f>
        <v/>
      </c>
      <c r="B138" s="91" t="str">
        <f aca="false">IF(名簿!$D138="","",名簿!$C138)</f>
        <v/>
      </c>
      <c r="C138" s="59" t="str">
        <f aca="false">IF(名簿!$D138="","",名簿!$D138&amp;IF(名簿!$F138="転出","（転出）",""))</f>
        <v/>
      </c>
      <c r="D138" s="149"/>
      <c r="E138" s="61" t="str">
        <f aca="false">IF(OR($C138="",名簿!$F138="転出"),"",IF($C$2="学級ごと",$A138,IF($C$2="前の単元と同じ",単元01!$E138&amp;"",$D138&amp;"")))</f>
        <v/>
      </c>
      <c r="F138" s="150"/>
      <c r="G138" s="150"/>
      <c r="H138" s="150"/>
      <c r="I138" s="151"/>
      <c r="J138" s="41" t="str">
        <f aca="false">IF($E138="","",$E138&amp;"|"&amp;COUNTIF($E$5:$E138,$E138))</f>
        <v/>
      </c>
      <c r="K138" s="40" t="str">
        <f aca="false">IF($I138="","",LEN($I138))</f>
        <v/>
      </c>
      <c r="L138" s="13"/>
      <c r="M138" s="13"/>
      <c r="N138" s="13"/>
      <c r="O138" s="13"/>
      <c r="P138" s="152"/>
      <c r="Q138" s="149"/>
      <c r="R138" s="152"/>
      <c r="S138" s="152"/>
      <c r="T138" s="62" t="str">
        <f aca="false">IF(OR($C138="",R138=""),"",IF(R138/IF($R$2="",100,$R$2)&gt;=設定!$I$28,設定!$G$8,IF(R138/IF($R$2="",100,$R$2)&lt;設定!$I$29,設定!$G$10,設定!$G$9)))</f>
        <v/>
      </c>
      <c r="U138" s="62" t="str">
        <f aca="false">IF(OR($C138="",S138=""),"",IF(S138/IF($S$2="",100,$S$2)&gt;=設定!$I$28,設定!$G$8,IF(S138/IF($S$2="",100,$S$2)&lt;設定!$I$29,設定!$G$10,設定!$G$9)))</f>
        <v/>
      </c>
    </row>
    <row r="139" customFormat="false" ht="21" hidden="false" customHeight="true" outlineLevel="0" collapsed="false">
      <c r="A139" s="91" t="str">
        <f aca="false">IF(名簿!$D139="","",名簿!$B139&amp;"")</f>
        <v/>
      </c>
      <c r="B139" s="91" t="str">
        <f aca="false">IF(名簿!$D139="","",名簿!$C139)</f>
        <v/>
      </c>
      <c r="C139" s="59" t="str">
        <f aca="false">IF(名簿!$D139="","",名簿!$D139&amp;IF(名簿!$F139="転出","（転出）",""))</f>
        <v/>
      </c>
      <c r="D139" s="149"/>
      <c r="E139" s="61" t="str">
        <f aca="false">IF(OR($C139="",名簿!$F139="転出"),"",IF($C$2="学級ごと",$A139,IF($C$2="前の単元と同じ",単元01!$E139&amp;"",$D139&amp;"")))</f>
        <v/>
      </c>
      <c r="F139" s="150"/>
      <c r="G139" s="150"/>
      <c r="H139" s="150"/>
      <c r="I139" s="151"/>
      <c r="J139" s="41" t="str">
        <f aca="false">IF($E139="","",$E139&amp;"|"&amp;COUNTIF($E$5:$E139,$E139))</f>
        <v/>
      </c>
      <c r="K139" s="40" t="str">
        <f aca="false">IF($I139="","",LEN($I139))</f>
        <v/>
      </c>
      <c r="L139" s="13"/>
      <c r="M139" s="13"/>
      <c r="N139" s="13"/>
      <c r="O139" s="13"/>
      <c r="P139" s="152"/>
      <c r="Q139" s="149"/>
      <c r="R139" s="152"/>
      <c r="S139" s="152"/>
      <c r="T139" s="62" t="str">
        <f aca="false">IF(OR($C139="",R139=""),"",IF(R139/IF($R$2="",100,$R$2)&gt;=設定!$I$28,設定!$G$8,IF(R139/IF($R$2="",100,$R$2)&lt;設定!$I$29,設定!$G$10,設定!$G$9)))</f>
        <v/>
      </c>
      <c r="U139" s="62" t="str">
        <f aca="false">IF(OR($C139="",S139=""),"",IF(S139/IF($S$2="",100,$S$2)&gt;=設定!$I$28,設定!$G$8,IF(S139/IF($S$2="",100,$S$2)&lt;設定!$I$29,設定!$G$10,設定!$G$9)))</f>
        <v/>
      </c>
    </row>
    <row r="140" customFormat="false" ht="21" hidden="false" customHeight="true" outlineLevel="0" collapsed="false">
      <c r="A140" s="91" t="str">
        <f aca="false">IF(名簿!$D140="","",名簿!$B140&amp;"")</f>
        <v/>
      </c>
      <c r="B140" s="91" t="str">
        <f aca="false">IF(名簿!$D140="","",名簿!$C140)</f>
        <v/>
      </c>
      <c r="C140" s="59" t="str">
        <f aca="false">IF(名簿!$D140="","",名簿!$D140&amp;IF(名簿!$F140="転出","（転出）",""))</f>
        <v/>
      </c>
      <c r="D140" s="149"/>
      <c r="E140" s="61" t="str">
        <f aca="false">IF(OR($C140="",名簿!$F140="転出"),"",IF($C$2="学級ごと",$A140,IF($C$2="前の単元と同じ",単元01!$E140&amp;"",$D140&amp;"")))</f>
        <v/>
      </c>
      <c r="F140" s="150"/>
      <c r="G140" s="150"/>
      <c r="H140" s="150"/>
      <c r="I140" s="151"/>
      <c r="J140" s="41" t="str">
        <f aca="false">IF($E140="","",$E140&amp;"|"&amp;COUNTIF($E$5:$E140,$E140))</f>
        <v/>
      </c>
      <c r="K140" s="40" t="str">
        <f aca="false">IF($I140="","",LEN($I140))</f>
        <v/>
      </c>
      <c r="L140" s="13"/>
      <c r="M140" s="13"/>
      <c r="N140" s="13"/>
      <c r="O140" s="13"/>
      <c r="P140" s="152"/>
      <c r="Q140" s="149"/>
      <c r="R140" s="152"/>
      <c r="S140" s="152"/>
      <c r="T140" s="62" t="str">
        <f aca="false">IF(OR($C140="",R140=""),"",IF(R140/IF($R$2="",100,$R$2)&gt;=設定!$I$28,設定!$G$8,IF(R140/IF($R$2="",100,$R$2)&lt;設定!$I$29,設定!$G$10,設定!$G$9)))</f>
        <v/>
      </c>
      <c r="U140" s="62" t="str">
        <f aca="false">IF(OR($C140="",S140=""),"",IF(S140/IF($S$2="",100,$S$2)&gt;=設定!$I$28,設定!$G$8,IF(S140/IF($S$2="",100,$S$2)&lt;設定!$I$29,設定!$G$10,設定!$G$9)))</f>
        <v/>
      </c>
    </row>
    <row r="141" customFormat="false" ht="21" hidden="false" customHeight="true" outlineLevel="0" collapsed="false">
      <c r="A141" s="91" t="str">
        <f aca="false">IF(名簿!$D141="","",名簿!$B141&amp;"")</f>
        <v/>
      </c>
      <c r="B141" s="91" t="str">
        <f aca="false">IF(名簿!$D141="","",名簿!$C141)</f>
        <v/>
      </c>
      <c r="C141" s="59" t="str">
        <f aca="false">IF(名簿!$D141="","",名簿!$D141&amp;IF(名簿!$F141="転出","（転出）",""))</f>
        <v/>
      </c>
      <c r="D141" s="149"/>
      <c r="E141" s="61" t="str">
        <f aca="false">IF(OR($C141="",名簿!$F141="転出"),"",IF($C$2="学級ごと",$A141,IF($C$2="前の単元と同じ",単元01!$E141&amp;"",$D141&amp;"")))</f>
        <v/>
      </c>
      <c r="F141" s="150"/>
      <c r="G141" s="150"/>
      <c r="H141" s="150"/>
      <c r="I141" s="151"/>
      <c r="J141" s="41" t="str">
        <f aca="false">IF($E141="","",$E141&amp;"|"&amp;COUNTIF($E$5:$E141,$E141))</f>
        <v/>
      </c>
      <c r="K141" s="40" t="str">
        <f aca="false">IF($I141="","",LEN($I141))</f>
        <v/>
      </c>
      <c r="L141" s="13"/>
      <c r="M141" s="13"/>
      <c r="N141" s="13"/>
      <c r="O141" s="13"/>
      <c r="P141" s="152"/>
      <c r="Q141" s="149"/>
      <c r="R141" s="152"/>
      <c r="S141" s="152"/>
      <c r="T141" s="62" t="str">
        <f aca="false">IF(OR($C141="",R141=""),"",IF(R141/IF($R$2="",100,$R$2)&gt;=設定!$I$28,設定!$G$8,IF(R141/IF($R$2="",100,$R$2)&lt;設定!$I$29,設定!$G$10,設定!$G$9)))</f>
        <v/>
      </c>
      <c r="U141" s="62" t="str">
        <f aca="false">IF(OR($C141="",S141=""),"",IF(S141/IF($S$2="",100,$S$2)&gt;=設定!$I$28,設定!$G$8,IF(S141/IF($S$2="",100,$S$2)&lt;設定!$I$29,設定!$G$10,設定!$G$9)))</f>
        <v/>
      </c>
    </row>
    <row r="142" customFormat="false" ht="21" hidden="false" customHeight="true" outlineLevel="0" collapsed="false">
      <c r="A142" s="91" t="str">
        <f aca="false">IF(名簿!$D142="","",名簿!$B142&amp;"")</f>
        <v/>
      </c>
      <c r="B142" s="91" t="str">
        <f aca="false">IF(名簿!$D142="","",名簿!$C142)</f>
        <v/>
      </c>
      <c r="C142" s="59" t="str">
        <f aca="false">IF(名簿!$D142="","",名簿!$D142&amp;IF(名簿!$F142="転出","（転出）",""))</f>
        <v/>
      </c>
      <c r="D142" s="149"/>
      <c r="E142" s="61" t="str">
        <f aca="false">IF(OR($C142="",名簿!$F142="転出"),"",IF($C$2="学級ごと",$A142,IF($C$2="前の単元と同じ",単元01!$E142&amp;"",$D142&amp;"")))</f>
        <v/>
      </c>
      <c r="F142" s="150"/>
      <c r="G142" s="150"/>
      <c r="H142" s="150"/>
      <c r="I142" s="151"/>
      <c r="J142" s="41" t="str">
        <f aca="false">IF($E142="","",$E142&amp;"|"&amp;COUNTIF($E$5:$E142,$E142))</f>
        <v/>
      </c>
      <c r="K142" s="40" t="str">
        <f aca="false">IF($I142="","",LEN($I142))</f>
        <v/>
      </c>
      <c r="L142" s="13"/>
      <c r="M142" s="13"/>
      <c r="N142" s="13"/>
      <c r="O142" s="13"/>
      <c r="P142" s="152"/>
      <c r="Q142" s="149"/>
      <c r="R142" s="152"/>
      <c r="S142" s="152"/>
      <c r="T142" s="62" t="str">
        <f aca="false">IF(OR($C142="",R142=""),"",IF(R142/IF($R$2="",100,$R$2)&gt;=設定!$I$28,設定!$G$8,IF(R142/IF($R$2="",100,$R$2)&lt;設定!$I$29,設定!$G$10,設定!$G$9)))</f>
        <v/>
      </c>
      <c r="U142" s="62" t="str">
        <f aca="false">IF(OR($C142="",S142=""),"",IF(S142/IF($S$2="",100,$S$2)&gt;=設定!$I$28,設定!$G$8,IF(S142/IF($S$2="",100,$S$2)&lt;設定!$I$29,設定!$G$10,設定!$G$9)))</f>
        <v/>
      </c>
    </row>
    <row r="143" customFormat="false" ht="21" hidden="false" customHeight="true" outlineLevel="0" collapsed="false">
      <c r="A143" s="91" t="str">
        <f aca="false">IF(名簿!$D143="","",名簿!$B143&amp;"")</f>
        <v/>
      </c>
      <c r="B143" s="91" t="str">
        <f aca="false">IF(名簿!$D143="","",名簿!$C143)</f>
        <v/>
      </c>
      <c r="C143" s="59" t="str">
        <f aca="false">IF(名簿!$D143="","",名簿!$D143&amp;IF(名簿!$F143="転出","（転出）",""))</f>
        <v/>
      </c>
      <c r="D143" s="149"/>
      <c r="E143" s="61" t="str">
        <f aca="false">IF(OR($C143="",名簿!$F143="転出"),"",IF($C$2="学級ごと",$A143,IF($C$2="前の単元と同じ",単元01!$E143&amp;"",$D143&amp;"")))</f>
        <v/>
      </c>
      <c r="F143" s="150"/>
      <c r="G143" s="150"/>
      <c r="H143" s="150"/>
      <c r="I143" s="151"/>
      <c r="J143" s="41" t="str">
        <f aca="false">IF($E143="","",$E143&amp;"|"&amp;COUNTIF($E$5:$E143,$E143))</f>
        <v/>
      </c>
      <c r="K143" s="40" t="str">
        <f aca="false">IF($I143="","",LEN($I143))</f>
        <v/>
      </c>
      <c r="L143" s="13"/>
      <c r="M143" s="13"/>
      <c r="N143" s="13"/>
      <c r="O143" s="13"/>
      <c r="P143" s="152"/>
      <c r="Q143" s="149"/>
      <c r="R143" s="152"/>
      <c r="S143" s="152"/>
      <c r="T143" s="62" t="str">
        <f aca="false">IF(OR($C143="",R143=""),"",IF(R143/IF($R$2="",100,$R$2)&gt;=設定!$I$28,設定!$G$8,IF(R143/IF($R$2="",100,$R$2)&lt;設定!$I$29,設定!$G$10,設定!$G$9)))</f>
        <v/>
      </c>
      <c r="U143" s="62" t="str">
        <f aca="false">IF(OR($C143="",S143=""),"",IF(S143/IF($S$2="",100,$S$2)&gt;=設定!$I$28,設定!$G$8,IF(S143/IF($S$2="",100,$S$2)&lt;設定!$I$29,設定!$G$10,設定!$G$9)))</f>
        <v/>
      </c>
    </row>
    <row r="144" customFormat="false" ht="21" hidden="false" customHeight="true" outlineLevel="0" collapsed="false">
      <c r="A144" s="91" t="str">
        <f aca="false">IF(名簿!$D144="","",名簿!$B144&amp;"")</f>
        <v/>
      </c>
      <c r="B144" s="91" t="str">
        <f aca="false">IF(名簿!$D144="","",名簿!$C144)</f>
        <v/>
      </c>
      <c r="C144" s="59" t="str">
        <f aca="false">IF(名簿!$D144="","",名簿!$D144&amp;IF(名簿!$F144="転出","（転出）",""))</f>
        <v/>
      </c>
      <c r="D144" s="149"/>
      <c r="E144" s="61" t="str">
        <f aca="false">IF(OR($C144="",名簿!$F144="転出"),"",IF($C$2="学級ごと",$A144,IF($C$2="前の単元と同じ",単元01!$E144&amp;"",$D144&amp;"")))</f>
        <v/>
      </c>
      <c r="F144" s="150"/>
      <c r="G144" s="150"/>
      <c r="H144" s="150"/>
      <c r="I144" s="151"/>
      <c r="J144" s="41" t="str">
        <f aca="false">IF($E144="","",$E144&amp;"|"&amp;COUNTIF($E$5:$E144,$E144))</f>
        <v/>
      </c>
      <c r="K144" s="40" t="str">
        <f aca="false">IF($I144="","",LEN($I144))</f>
        <v/>
      </c>
      <c r="L144" s="13"/>
      <c r="M144" s="13"/>
      <c r="N144" s="13"/>
      <c r="O144" s="13"/>
      <c r="P144" s="152"/>
      <c r="Q144" s="149"/>
      <c r="R144" s="152"/>
      <c r="S144" s="152"/>
      <c r="T144" s="62" t="str">
        <f aca="false">IF(OR($C144="",R144=""),"",IF(R144/IF($R$2="",100,$R$2)&gt;=設定!$I$28,設定!$G$8,IF(R144/IF($R$2="",100,$R$2)&lt;設定!$I$29,設定!$G$10,設定!$G$9)))</f>
        <v/>
      </c>
      <c r="U144" s="62" t="str">
        <f aca="false">IF(OR($C144="",S144=""),"",IF(S144/IF($S$2="",100,$S$2)&gt;=設定!$I$28,設定!$G$8,IF(S144/IF($S$2="",100,$S$2)&lt;設定!$I$29,設定!$G$10,設定!$G$9)))</f>
        <v/>
      </c>
    </row>
    <row r="145" customFormat="false" ht="21" hidden="false" customHeight="true" outlineLevel="0" collapsed="false">
      <c r="A145" s="91" t="str">
        <f aca="false">IF(名簿!$D145="","",名簿!$B145&amp;"")</f>
        <v/>
      </c>
      <c r="B145" s="91" t="str">
        <f aca="false">IF(名簿!$D145="","",名簿!$C145)</f>
        <v/>
      </c>
      <c r="C145" s="59" t="str">
        <f aca="false">IF(名簿!$D145="","",名簿!$D145&amp;IF(名簿!$F145="転出","（転出）",""))</f>
        <v/>
      </c>
      <c r="D145" s="149"/>
      <c r="E145" s="61" t="str">
        <f aca="false">IF(OR($C145="",名簿!$F145="転出"),"",IF($C$2="学級ごと",$A145,IF($C$2="前の単元と同じ",単元01!$E145&amp;"",$D145&amp;"")))</f>
        <v/>
      </c>
      <c r="F145" s="150"/>
      <c r="G145" s="150"/>
      <c r="H145" s="150"/>
      <c r="I145" s="151"/>
      <c r="J145" s="41" t="str">
        <f aca="false">IF($E145="","",$E145&amp;"|"&amp;COUNTIF($E$5:$E145,$E145))</f>
        <v/>
      </c>
      <c r="K145" s="40" t="str">
        <f aca="false">IF($I145="","",LEN($I145))</f>
        <v/>
      </c>
      <c r="L145" s="13"/>
      <c r="M145" s="13"/>
      <c r="N145" s="13"/>
      <c r="O145" s="13"/>
      <c r="P145" s="152"/>
      <c r="Q145" s="149"/>
      <c r="R145" s="152"/>
      <c r="S145" s="152"/>
      <c r="T145" s="62" t="str">
        <f aca="false">IF(OR($C145="",R145=""),"",IF(R145/IF($R$2="",100,$R$2)&gt;=設定!$I$28,設定!$G$8,IF(R145/IF($R$2="",100,$R$2)&lt;設定!$I$29,設定!$G$10,設定!$G$9)))</f>
        <v/>
      </c>
      <c r="U145" s="62" t="str">
        <f aca="false">IF(OR($C145="",S145=""),"",IF(S145/IF($S$2="",100,$S$2)&gt;=設定!$I$28,設定!$G$8,IF(S145/IF($S$2="",100,$S$2)&lt;設定!$I$29,設定!$G$10,設定!$G$9)))</f>
        <v/>
      </c>
    </row>
    <row r="146" customFormat="false" ht="21" hidden="false" customHeight="true" outlineLevel="0" collapsed="false">
      <c r="A146" s="91" t="str">
        <f aca="false">IF(名簿!$D146="","",名簿!$B146&amp;"")</f>
        <v/>
      </c>
      <c r="B146" s="91" t="str">
        <f aca="false">IF(名簿!$D146="","",名簿!$C146)</f>
        <v/>
      </c>
      <c r="C146" s="59" t="str">
        <f aca="false">IF(名簿!$D146="","",名簿!$D146&amp;IF(名簿!$F146="転出","（転出）",""))</f>
        <v/>
      </c>
      <c r="D146" s="149"/>
      <c r="E146" s="61" t="str">
        <f aca="false">IF(OR($C146="",名簿!$F146="転出"),"",IF($C$2="学級ごと",$A146,IF($C$2="前の単元と同じ",単元01!$E146&amp;"",$D146&amp;"")))</f>
        <v/>
      </c>
      <c r="F146" s="150"/>
      <c r="G146" s="150"/>
      <c r="H146" s="150"/>
      <c r="I146" s="151"/>
      <c r="J146" s="41" t="str">
        <f aca="false">IF($E146="","",$E146&amp;"|"&amp;COUNTIF($E$5:$E146,$E146))</f>
        <v/>
      </c>
      <c r="K146" s="40" t="str">
        <f aca="false">IF($I146="","",LEN($I146))</f>
        <v/>
      </c>
      <c r="L146" s="13"/>
      <c r="M146" s="13"/>
      <c r="N146" s="13"/>
      <c r="O146" s="13"/>
      <c r="P146" s="152"/>
      <c r="Q146" s="149"/>
      <c r="R146" s="152"/>
      <c r="S146" s="152"/>
      <c r="T146" s="62" t="str">
        <f aca="false">IF(OR($C146="",R146=""),"",IF(R146/IF($R$2="",100,$R$2)&gt;=設定!$I$28,設定!$G$8,IF(R146/IF($R$2="",100,$R$2)&lt;設定!$I$29,設定!$G$10,設定!$G$9)))</f>
        <v/>
      </c>
      <c r="U146" s="62" t="str">
        <f aca="false">IF(OR($C146="",S146=""),"",IF(S146/IF($S$2="",100,$S$2)&gt;=設定!$I$28,設定!$G$8,IF(S146/IF($S$2="",100,$S$2)&lt;設定!$I$29,設定!$G$10,設定!$G$9)))</f>
        <v/>
      </c>
    </row>
    <row r="147" customFormat="false" ht="21" hidden="false" customHeight="true" outlineLevel="0" collapsed="false">
      <c r="A147" s="91" t="str">
        <f aca="false">IF(名簿!$D147="","",名簿!$B147&amp;"")</f>
        <v/>
      </c>
      <c r="B147" s="91" t="str">
        <f aca="false">IF(名簿!$D147="","",名簿!$C147)</f>
        <v/>
      </c>
      <c r="C147" s="59" t="str">
        <f aca="false">IF(名簿!$D147="","",名簿!$D147&amp;IF(名簿!$F147="転出","（転出）",""))</f>
        <v/>
      </c>
      <c r="D147" s="149"/>
      <c r="E147" s="61" t="str">
        <f aca="false">IF(OR($C147="",名簿!$F147="転出"),"",IF($C$2="学級ごと",$A147,IF($C$2="前の単元と同じ",単元01!$E147&amp;"",$D147&amp;"")))</f>
        <v/>
      </c>
      <c r="F147" s="150"/>
      <c r="G147" s="150"/>
      <c r="H147" s="150"/>
      <c r="I147" s="151"/>
      <c r="J147" s="41" t="str">
        <f aca="false">IF($E147="","",$E147&amp;"|"&amp;COUNTIF($E$5:$E147,$E147))</f>
        <v/>
      </c>
      <c r="K147" s="40" t="str">
        <f aca="false">IF($I147="","",LEN($I147))</f>
        <v/>
      </c>
      <c r="L147" s="13"/>
      <c r="M147" s="13"/>
      <c r="N147" s="13"/>
      <c r="O147" s="13"/>
      <c r="P147" s="152"/>
      <c r="Q147" s="149"/>
      <c r="R147" s="152"/>
      <c r="S147" s="152"/>
      <c r="T147" s="62" t="str">
        <f aca="false">IF(OR($C147="",R147=""),"",IF(R147/IF($R$2="",100,$R$2)&gt;=設定!$I$28,設定!$G$8,IF(R147/IF($R$2="",100,$R$2)&lt;設定!$I$29,設定!$G$10,設定!$G$9)))</f>
        <v/>
      </c>
      <c r="U147" s="62" t="str">
        <f aca="false">IF(OR($C147="",S147=""),"",IF(S147/IF($S$2="",100,$S$2)&gt;=設定!$I$28,設定!$G$8,IF(S147/IF($S$2="",100,$S$2)&lt;設定!$I$29,設定!$G$10,設定!$G$9)))</f>
        <v/>
      </c>
    </row>
    <row r="148" customFormat="false" ht="21" hidden="false" customHeight="true" outlineLevel="0" collapsed="false">
      <c r="A148" s="91" t="str">
        <f aca="false">IF(名簿!$D148="","",名簿!$B148&amp;"")</f>
        <v/>
      </c>
      <c r="B148" s="91" t="str">
        <f aca="false">IF(名簿!$D148="","",名簿!$C148)</f>
        <v/>
      </c>
      <c r="C148" s="59" t="str">
        <f aca="false">IF(名簿!$D148="","",名簿!$D148&amp;IF(名簿!$F148="転出","（転出）",""))</f>
        <v/>
      </c>
      <c r="D148" s="149"/>
      <c r="E148" s="61" t="str">
        <f aca="false">IF(OR($C148="",名簿!$F148="転出"),"",IF($C$2="学級ごと",$A148,IF($C$2="前の単元と同じ",単元01!$E148&amp;"",$D148&amp;"")))</f>
        <v/>
      </c>
      <c r="F148" s="150"/>
      <c r="G148" s="150"/>
      <c r="H148" s="150"/>
      <c r="I148" s="151"/>
      <c r="J148" s="41" t="str">
        <f aca="false">IF($E148="","",$E148&amp;"|"&amp;COUNTIF($E$5:$E148,$E148))</f>
        <v/>
      </c>
      <c r="K148" s="40" t="str">
        <f aca="false">IF($I148="","",LEN($I148))</f>
        <v/>
      </c>
      <c r="L148" s="13"/>
      <c r="M148" s="13"/>
      <c r="N148" s="13"/>
      <c r="O148" s="13"/>
      <c r="P148" s="152"/>
      <c r="Q148" s="149"/>
      <c r="R148" s="152"/>
      <c r="S148" s="152"/>
      <c r="T148" s="62" t="str">
        <f aca="false">IF(OR($C148="",R148=""),"",IF(R148/IF($R$2="",100,$R$2)&gt;=設定!$I$28,設定!$G$8,IF(R148/IF($R$2="",100,$R$2)&lt;設定!$I$29,設定!$G$10,設定!$G$9)))</f>
        <v/>
      </c>
      <c r="U148" s="62" t="str">
        <f aca="false">IF(OR($C148="",S148=""),"",IF(S148/IF($S$2="",100,$S$2)&gt;=設定!$I$28,設定!$G$8,IF(S148/IF($S$2="",100,$S$2)&lt;設定!$I$29,設定!$G$10,設定!$G$9)))</f>
        <v/>
      </c>
    </row>
    <row r="149" customFormat="false" ht="21" hidden="false" customHeight="true" outlineLevel="0" collapsed="false">
      <c r="A149" s="91" t="str">
        <f aca="false">IF(名簿!$D149="","",名簿!$B149&amp;"")</f>
        <v/>
      </c>
      <c r="B149" s="91" t="str">
        <f aca="false">IF(名簿!$D149="","",名簿!$C149)</f>
        <v/>
      </c>
      <c r="C149" s="59" t="str">
        <f aca="false">IF(名簿!$D149="","",名簿!$D149&amp;IF(名簿!$F149="転出","（転出）",""))</f>
        <v/>
      </c>
      <c r="D149" s="149"/>
      <c r="E149" s="61" t="str">
        <f aca="false">IF(OR($C149="",名簿!$F149="転出"),"",IF($C$2="学級ごと",$A149,IF($C$2="前の単元と同じ",単元01!$E149&amp;"",$D149&amp;"")))</f>
        <v/>
      </c>
      <c r="F149" s="150"/>
      <c r="G149" s="150"/>
      <c r="H149" s="150"/>
      <c r="I149" s="151"/>
      <c r="J149" s="41" t="str">
        <f aca="false">IF($E149="","",$E149&amp;"|"&amp;COUNTIF($E$5:$E149,$E149))</f>
        <v/>
      </c>
      <c r="K149" s="40" t="str">
        <f aca="false">IF($I149="","",LEN($I149))</f>
        <v/>
      </c>
      <c r="L149" s="13"/>
      <c r="M149" s="13"/>
      <c r="N149" s="13"/>
      <c r="O149" s="13"/>
      <c r="P149" s="152"/>
      <c r="Q149" s="149"/>
      <c r="R149" s="152"/>
      <c r="S149" s="152"/>
      <c r="T149" s="62" t="str">
        <f aca="false">IF(OR($C149="",R149=""),"",IF(R149/IF($R$2="",100,$R$2)&gt;=設定!$I$28,設定!$G$8,IF(R149/IF($R$2="",100,$R$2)&lt;設定!$I$29,設定!$G$10,設定!$G$9)))</f>
        <v/>
      </c>
      <c r="U149" s="62" t="str">
        <f aca="false">IF(OR($C149="",S149=""),"",IF(S149/IF($S$2="",100,$S$2)&gt;=設定!$I$28,設定!$G$8,IF(S149/IF($S$2="",100,$S$2)&lt;設定!$I$29,設定!$G$10,設定!$G$9)))</f>
        <v/>
      </c>
    </row>
    <row r="150" customFormat="false" ht="21" hidden="false" customHeight="true" outlineLevel="0" collapsed="false">
      <c r="A150" s="91" t="str">
        <f aca="false">IF(名簿!$D150="","",名簿!$B150&amp;"")</f>
        <v/>
      </c>
      <c r="B150" s="91" t="str">
        <f aca="false">IF(名簿!$D150="","",名簿!$C150)</f>
        <v/>
      </c>
      <c r="C150" s="59" t="str">
        <f aca="false">IF(名簿!$D150="","",名簿!$D150&amp;IF(名簿!$F150="転出","（転出）",""))</f>
        <v/>
      </c>
      <c r="D150" s="149"/>
      <c r="E150" s="61" t="str">
        <f aca="false">IF(OR($C150="",名簿!$F150="転出"),"",IF($C$2="学級ごと",$A150,IF($C$2="前の単元と同じ",単元01!$E150&amp;"",$D150&amp;"")))</f>
        <v/>
      </c>
      <c r="F150" s="150"/>
      <c r="G150" s="150"/>
      <c r="H150" s="150"/>
      <c r="I150" s="151"/>
      <c r="J150" s="41" t="str">
        <f aca="false">IF($E150="","",$E150&amp;"|"&amp;COUNTIF($E$5:$E150,$E150))</f>
        <v/>
      </c>
      <c r="K150" s="40" t="str">
        <f aca="false">IF($I150="","",LEN($I150))</f>
        <v/>
      </c>
      <c r="L150" s="13"/>
      <c r="M150" s="13"/>
      <c r="N150" s="13"/>
      <c r="O150" s="13"/>
      <c r="P150" s="152"/>
      <c r="Q150" s="149"/>
      <c r="R150" s="152"/>
      <c r="S150" s="152"/>
      <c r="T150" s="62" t="str">
        <f aca="false">IF(OR($C150="",R150=""),"",IF(R150/IF($R$2="",100,$R$2)&gt;=設定!$I$28,設定!$G$8,IF(R150/IF($R$2="",100,$R$2)&lt;設定!$I$29,設定!$G$10,設定!$G$9)))</f>
        <v/>
      </c>
      <c r="U150" s="62" t="str">
        <f aca="false">IF(OR($C150="",S150=""),"",IF(S150/IF($S$2="",100,$S$2)&gt;=設定!$I$28,設定!$G$8,IF(S150/IF($S$2="",100,$S$2)&lt;設定!$I$29,設定!$G$10,設定!$G$9)))</f>
        <v/>
      </c>
    </row>
    <row r="151" customFormat="false" ht="21" hidden="false" customHeight="true" outlineLevel="0" collapsed="false">
      <c r="A151" s="91" t="str">
        <f aca="false">IF(名簿!$D151="","",名簿!$B151&amp;"")</f>
        <v/>
      </c>
      <c r="B151" s="91" t="str">
        <f aca="false">IF(名簿!$D151="","",名簿!$C151)</f>
        <v/>
      </c>
      <c r="C151" s="59" t="str">
        <f aca="false">IF(名簿!$D151="","",名簿!$D151&amp;IF(名簿!$F151="転出","（転出）",""))</f>
        <v/>
      </c>
      <c r="D151" s="149"/>
      <c r="E151" s="61" t="str">
        <f aca="false">IF(OR($C151="",名簿!$F151="転出"),"",IF($C$2="学級ごと",$A151,IF($C$2="前の単元と同じ",単元01!$E151&amp;"",$D151&amp;"")))</f>
        <v/>
      </c>
      <c r="F151" s="150"/>
      <c r="G151" s="150"/>
      <c r="H151" s="150"/>
      <c r="I151" s="151"/>
      <c r="J151" s="41" t="str">
        <f aca="false">IF($E151="","",$E151&amp;"|"&amp;COUNTIF($E$5:$E151,$E151))</f>
        <v/>
      </c>
      <c r="K151" s="40" t="str">
        <f aca="false">IF($I151="","",LEN($I151))</f>
        <v/>
      </c>
      <c r="L151" s="13"/>
      <c r="M151" s="13"/>
      <c r="N151" s="13"/>
      <c r="O151" s="13"/>
      <c r="P151" s="152"/>
      <c r="Q151" s="149"/>
      <c r="R151" s="152"/>
      <c r="S151" s="152"/>
      <c r="T151" s="62" t="str">
        <f aca="false">IF(OR($C151="",R151=""),"",IF(R151/IF($R$2="",100,$R$2)&gt;=設定!$I$28,設定!$G$8,IF(R151/IF($R$2="",100,$R$2)&lt;設定!$I$29,設定!$G$10,設定!$G$9)))</f>
        <v/>
      </c>
      <c r="U151" s="62" t="str">
        <f aca="false">IF(OR($C151="",S151=""),"",IF(S151/IF($S$2="",100,$S$2)&gt;=設定!$I$28,設定!$G$8,IF(S151/IF($S$2="",100,$S$2)&lt;設定!$I$29,設定!$G$10,設定!$G$9)))</f>
        <v/>
      </c>
    </row>
    <row r="152" customFormat="false" ht="21" hidden="false" customHeight="true" outlineLevel="0" collapsed="false">
      <c r="A152" s="91" t="str">
        <f aca="false">IF(名簿!$D152="","",名簿!$B152&amp;"")</f>
        <v/>
      </c>
      <c r="B152" s="91" t="str">
        <f aca="false">IF(名簿!$D152="","",名簿!$C152)</f>
        <v/>
      </c>
      <c r="C152" s="59" t="str">
        <f aca="false">IF(名簿!$D152="","",名簿!$D152&amp;IF(名簿!$F152="転出","（転出）",""))</f>
        <v/>
      </c>
      <c r="D152" s="149"/>
      <c r="E152" s="61" t="str">
        <f aca="false">IF(OR($C152="",名簿!$F152="転出"),"",IF($C$2="学級ごと",$A152,IF($C$2="前の単元と同じ",単元01!$E152&amp;"",$D152&amp;"")))</f>
        <v/>
      </c>
      <c r="F152" s="150"/>
      <c r="G152" s="150"/>
      <c r="H152" s="150"/>
      <c r="I152" s="151"/>
      <c r="J152" s="41" t="str">
        <f aca="false">IF($E152="","",$E152&amp;"|"&amp;COUNTIF($E$5:$E152,$E152))</f>
        <v/>
      </c>
      <c r="K152" s="40" t="str">
        <f aca="false">IF($I152="","",LEN($I152))</f>
        <v/>
      </c>
      <c r="L152" s="13"/>
      <c r="M152" s="13"/>
      <c r="N152" s="13"/>
      <c r="O152" s="13"/>
      <c r="P152" s="152"/>
      <c r="Q152" s="149"/>
      <c r="R152" s="152"/>
      <c r="S152" s="152"/>
      <c r="T152" s="62" t="str">
        <f aca="false">IF(OR($C152="",R152=""),"",IF(R152/IF($R$2="",100,$R$2)&gt;=設定!$I$28,設定!$G$8,IF(R152/IF($R$2="",100,$R$2)&lt;設定!$I$29,設定!$G$10,設定!$G$9)))</f>
        <v/>
      </c>
      <c r="U152" s="62" t="str">
        <f aca="false">IF(OR($C152="",S152=""),"",IF(S152/IF($S$2="",100,$S$2)&gt;=設定!$I$28,設定!$G$8,IF(S152/IF($S$2="",100,$S$2)&lt;設定!$I$29,設定!$G$10,設定!$G$9)))</f>
        <v/>
      </c>
    </row>
    <row r="153" customFormat="false" ht="21" hidden="false" customHeight="true" outlineLevel="0" collapsed="false">
      <c r="A153" s="91" t="str">
        <f aca="false">IF(名簿!$D153="","",名簿!$B153&amp;"")</f>
        <v/>
      </c>
      <c r="B153" s="91" t="str">
        <f aca="false">IF(名簿!$D153="","",名簿!$C153)</f>
        <v/>
      </c>
      <c r="C153" s="59" t="str">
        <f aca="false">IF(名簿!$D153="","",名簿!$D153&amp;IF(名簿!$F153="転出","（転出）",""))</f>
        <v/>
      </c>
      <c r="D153" s="149"/>
      <c r="E153" s="61" t="str">
        <f aca="false">IF(OR($C153="",名簿!$F153="転出"),"",IF($C$2="学級ごと",$A153,IF($C$2="前の単元と同じ",単元01!$E153&amp;"",$D153&amp;"")))</f>
        <v/>
      </c>
      <c r="F153" s="150"/>
      <c r="G153" s="150"/>
      <c r="H153" s="150"/>
      <c r="I153" s="151"/>
      <c r="J153" s="41" t="str">
        <f aca="false">IF($E153="","",$E153&amp;"|"&amp;COUNTIF($E$5:$E153,$E153))</f>
        <v/>
      </c>
      <c r="K153" s="40" t="str">
        <f aca="false">IF($I153="","",LEN($I153))</f>
        <v/>
      </c>
      <c r="L153" s="13"/>
      <c r="M153" s="13"/>
      <c r="N153" s="13"/>
      <c r="O153" s="13"/>
      <c r="P153" s="152"/>
      <c r="Q153" s="149"/>
      <c r="R153" s="152"/>
      <c r="S153" s="152"/>
      <c r="T153" s="62" t="str">
        <f aca="false">IF(OR($C153="",R153=""),"",IF(R153/IF($R$2="",100,$R$2)&gt;=設定!$I$28,設定!$G$8,IF(R153/IF($R$2="",100,$R$2)&lt;設定!$I$29,設定!$G$10,設定!$G$9)))</f>
        <v/>
      </c>
      <c r="U153" s="62" t="str">
        <f aca="false">IF(OR($C153="",S153=""),"",IF(S153/IF($S$2="",100,$S$2)&gt;=設定!$I$28,設定!$G$8,IF(S153/IF($S$2="",100,$S$2)&lt;設定!$I$29,設定!$G$10,設定!$G$9)))</f>
        <v/>
      </c>
    </row>
    <row r="154" customFormat="false" ht="21" hidden="false" customHeight="true" outlineLevel="0" collapsed="false">
      <c r="A154" s="91" t="str">
        <f aca="false">IF(名簿!$D154="","",名簿!$B154&amp;"")</f>
        <v/>
      </c>
      <c r="B154" s="91" t="str">
        <f aca="false">IF(名簿!$D154="","",名簿!$C154)</f>
        <v/>
      </c>
      <c r="C154" s="59" t="str">
        <f aca="false">IF(名簿!$D154="","",名簿!$D154&amp;IF(名簿!$F154="転出","（転出）",""))</f>
        <v/>
      </c>
      <c r="D154" s="149"/>
      <c r="E154" s="61" t="str">
        <f aca="false">IF(OR($C154="",名簿!$F154="転出"),"",IF($C$2="学級ごと",$A154,IF($C$2="前の単元と同じ",単元01!$E154&amp;"",$D154&amp;"")))</f>
        <v/>
      </c>
      <c r="F154" s="150"/>
      <c r="G154" s="150"/>
      <c r="H154" s="150"/>
      <c r="I154" s="151"/>
      <c r="J154" s="41" t="str">
        <f aca="false">IF($E154="","",$E154&amp;"|"&amp;COUNTIF($E$5:$E154,$E154))</f>
        <v/>
      </c>
      <c r="K154" s="40" t="str">
        <f aca="false">IF($I154="","",LEN($I154))</f>
        <v/>
      </c>
      <c r="L154" s="13"/>
      <c r="M154" s="13"/>
      <c r="N154" s="13"/>
      <c r="O154" s="13"/>
      <c r="P154" s="152"/>
      <c r="Q154" s="149"/>
      <c r="R154" s="152"/>
      <c r="S154" s="152"/>
      <c r="T154" s="62" t="str">
        <f aca="false">IF(OR($C154="",R154=""),"",IF(R154/IF($R$2="",100,$R$2)&gt;=設定!$I$28,設定!$G$8,IF(R154/IF($R$2="",100,$R$2)&lt;設定!$I$29,設定!$G$10,設定!$G$9)))</f>
        <v/>
      </c>
      <c r="U154" s="62" t="str">
        <f aca="false">IF(OR($C154="",S154=""),"",IF(S154/IF($S$2="",100,$S$2)&gt;=設定!$I$28,設定!$G$8,IF(S154/IF($S$2="",100,$S$2)&lt;設定!$I$29,設定!$G$10,設定!$G$9)))</f>
        <v/>
      </c>
    </row>
    <row r="155" customFormat="false" ht="21" hidden="false" customHeight="true" outlineLevel="0" collapsed="false">
      <c r="A155" s="91" t="str">
        <f aca="false">IF(名簿!$D155="","",名簿!$B155&amp;"")</f>
        <v/>
      </c>
      <c r="B155" s="91" t="str">
        <f aca="false">IF(名簿!$D155="","",名簿!$C155)</f>
        <v/>
      </c>
      <c r="C155" s="59" t="str">
        <f aca="false">IF(名簿!$D155="","",名簿!$D155&amp;IF(名簿!$F155="転出","（転出）",""))</f>
        <v/>
      </c>
      <c r="D155" s="149"/>
      <c r="E155" s="61" t="str">
        <f aca="false">IF(OR($C155="",名簿!$F155="転出"),"",IF($C$2="学級ごと",$A155,IF($C$2="前の単元と同じ",単元01!$E155&amp;"",$D155&amp;"")))</f>
        <v/>
      </c>
      <c r="F155" s="150"/>
      <c r="G155" s="150"/>
      <c r="H155" s="150"/>
      <c r="I155" s="151"/>
      <c r="J155" s="41" t="str">
        <f aca="false">IF($E155="","",$E155&amp;"|"&amp;COUNTIF($E$5:$E155,$E155))</f>
        <v/>
      </c>
      <c r="K155" s="40" t="str">
        <f aca="false">IF($I155="","",LEN($I155))</f>
        <v/>
      </c>
      <c r="L155" s="13"/>
      <c r="M155" s="13"/>
      <c r="N155" s="13"/>
      <c r="O155" s="13"/>
      <c r="P155" s="152"/>
      <c r="Q155" s="149"/>
      <c r="R155" s="152"/>
      <c r="S155" s="152"/>
      <c r="T155" s="62" t="str">
        <f aca="false">IF(OR($C155="",R155=""),"",IF(R155/IF($R$2="",100,$R$2)&gt;=設定!$I$28,設定!$G$8,IF(R155/IF($R$2="",100,$R$2)&lt;設定!$I$29,設定!$G$10,設定!$G$9)))</f>
        <v/>
      </c>
      <c r="U155" s="62" t="str">
        <f aca="false">IF(OR($C155="",S155=""),"",IF(S155/IF($S$2="",100,$S$2)&gt;=設定!$I$28,設定!$G$8,IF(S155/IF($S$2="",100,$S$2)&lt;設定!$I$29,設定!$G$10,設定!$G$9)))</f>
        <v/>
      </c>
    </row>
    <row r="156" customFormat="false" ht="21" hidden="false" customHeight="true" outlineLevel="0" collapsed="false">
      <c r="A156" s="91" t="str">
        <f aca="false">IF(名簿!$D156="","",名簿!$B156&amp;"")</f>
        <v/>
      </c>
      <c r="B156" s="91" t="str">
        <f aca="false">IF(名簿!$D156="","",名簿!$C156)</f>
        <v/>
      </c>
      <c r="C156" s="59" t="str">
        <f aca="false">IF(名簿!$D156="","",名簿!$D156&amp;IF(名簿!$F156="転出","（転出）",""))</f>
        <v/>
      </c>
      <c r="D156" s="149"/>
      <c r="E156" s="61" t="str">
        <f aca="false">IF(OR($C156="",名簿!$F156="転出"),"",IF($C$2="学級ごと",$A156,IF($C$2="前の単元と同じ",単元01!$E156&amp;"",$D156&amp;"")))</f>
        <v/>
      </c>
      <c r="F156" s="150"/>
      <c r="G156" s="150"/>
      <c r="H156" s="150"/>
      <c r="I156" s="151"/>
      <c r="J156" s="41" t="str">
        <f aca="false">IF($E156="","",$E156&amp;"|"&amp;COUNTIF($E$5:$E156,$E156))</f>
        <v/>
      </c>
      <c r="K156" s="40" t="str">
        <f aca="false">IF($I156="","",LEN($I156))</f>
        <v/>
      </c>
      <c r="L156" s="13"/>
      <c r="M156" s="13"/>
      <c r="N156" s="13"/>
      <c r="O156" s="13"/>
      <c r="P156" s="152"/>
      <c r="Q156" s="149"/>
      <c r="R156" s="152"/>
      <c r="S156" s="152"/>
      <c r="T156" s="62" t="str">
        <f aca="false">IF(OR($C156="",R156=""),"",IF(R156/IF($R$2="",100,$R$2)&gt;=設定!$I$28,設定!$G$8,IF(R156/IF($R$2="",100,$R$2)&lt;設定!$I$29,設定!$G$10,設定!$G$9)))</f>
        <v/>
      </c>
      <c r="U156" s="62" t="str">
        <f aca="false">IF(OR($C156="",S156=""),"",IF(S156/IF($S$2="",100,$S$2)&gt;=設定!$I$28,設定!$G$8,IF(S156/IF($S$2="",100,$S$2)&lt;設定!$I$29,設定!$G$10,設定!$G$9)))</f>
        <v/>
      </c>
    </row>
    <row r="157" customFormat="false" ht="21" hidden="false" customHeight="true" outlineLevel="0" collapsed="false">
      <c r="A157" s="91" t="str">
        <f aca="false">IF(名簿!$D157="","",名簿!$B157&amp;"")</f>
        <v/>
      </c>
      <c r="B157" s="91" t="str">
        <f aca="false">IF(名簿!$D157="","",名簿!$C157)</f>
        <v/>
      </c>
      <c r="C157" s="59" t="str">
        <f aca="false">IF(名簿!$D157="","",名簿!$D157&amp;IF(名簿!$F157="転出","（転出）",""))</f>
        <v/>
      </c>
      <c r="D157" s="149"/>
      <c r="E157" s="61" t="str">
        <f aca="false">IF(OR($C157="",名簿!$F157="転出"),"",IF($C$2="学級ごと",$A157,IF($C$2="前の単元と同じ",単元01!$E157&amp;"",$D157&amp;"")))</f>
        <v/>
      </c>
      <c r="F157" s="150"/>
      <c r="G157" s="150"/>
      <c r="H157" s="150"/>
      <c r="I157" s="151"/>
      <c r="J157" s="41" t="str">
        <f aca="false">IF($E157="","",$E157&amp;"|"&amp;COUNTIF($E$5:$E157,$E157))</f>
        <v/>
      </c>
      <c r="K157" s="40" t="str">
        <f aca="false">IF($I157="","",LEN($I157))</f>
        <v/>
      </c>
      <c r="L157" s="13"/>
      <c r="M157" s="13"/>
      <c r="N157" s="13"/>
      <c r="O157" s="13"/>
      <c r="P157" s="152"/>
      <c r="Q157" s="149"/>
      <c r="R157" s="152"/>
      <c r="S157" s="152"/>
      <c r="T157" s="62" t="str">
        <f aca="false">IF(OR($C157="",R157=""),"",IF(R157/IF($R$2="",100,$R$2)&gt;=設定!$I$28,設定!$G$8,IF(R157/IF($R$2="",100,$R$2)&lt;設定!$I$29,設定!$G$10,設定!$G$9)))</f>
        <v/>
      </c>
      <c r="U157" s="62" t="str">
        <f aca="false">IF(OR($C157="",S157=""),"",IF(S157/IF($S$2="",100,$S$2)&gt;=設定!$I$28,設定!$G$8,IF(S157/IF($S$2="",100,$S$2)&lt;設定!$I$29,設定!$G$10,設定!$G$9)))</f>
        <v/>
      </c>
    </row>
    <row r="158" customFormat="false" ht="21" hidden="false" customHeight="true" outlineLevel="0" collapsed="false">
      <c r="A158" s="91" t="str">
        <f aca="false">IF(名簿!$D158="","",名簿!$B158&amp;"")</f>
        <v/>
      </c>
      <c r="B158" s="91" t="str">
        <f aca="false">IF(名簿!$D158="","",名簿!$C158)</f>
        <v/>
      </c>
      <c r="C158" s="59" t="str">
        <f aca="false">IF(名簿!$D158="","",名簿!$D158&amp;IF(名簿!$F158="転出","（転出）",""))</f>
        <v/>
      </c>
      <c r="D158" s="149"/>
      <c r="E158" s="61" t="str">
        <f aca="false">IF(OR($C158="",名簿!$F158="転出"),"",IF($C$2="学級ごと",$A158,IF($C$2="前の単元と同じ",単元01!$E158&amp;"",$D158&amp;"")))</f>
        <v/>
      </c>
      <c r="F158" s="150"/>
      <c r="G158" s="150"/>
      <c r="H158" s="150"/>
      <c r="I158" s="151"/>
      <c r="J158" s="41" t="str">
        <f aca="false">IF($E158="","",$E158&amp;"|"&amp;COUNTIF($E$5:$E158,$E158))</f>
        <v/>
      </c>
      <c r="K158" s="40" t="str">
        <f aca="false">IF($I158="","",LEN($I158))</f>
        <v/>
      </c>
      <c r="L158" s="13"/>
      <c r="M158" s="13"/>
      <c r="N158" s="13"/>
      <c r="O158" s="13"/>
      <c r="P158" s="152"/>
      <c r="Q158" s="149"/>
      <c r="R158" s="152"/>
      <c r="S158" s="152"/>
      <c r="T158" s="62" t="str">
        <f aca="false">IF(OR($C158="",R158=""),"",IF(R158/IF($R$2="",100,$R$2)&gt;=設定!$I$28,設定!$G$8,IF(R158/IF($R$2="",100,$R$2)&lt;設定!$I$29,設定!$G$10,設定!$G$9)))</f>
        <v/>
      </c>
      <c r="U158" s="62" t="str">
        <f aca="false">IF(OR($C158="",S158=""),"",IF(S158/IF($S$2="",100,$S$2)&gt;=設定!$I$28,設定!$G$8,IF(S158/IF($S$2="",100,$S$2)&lt;設定!$I$29,設定!$G$10,設定!$G$9)))</f>
        <v/>
      </c>
    </row>
    <row r="159" customFormat="false" ht="21" hidden="false" customHeight="true" outlineLevel="0" collapsed="false">
      <c r="A159" s="91" t="str">
        <f aca="false">IF(名簿!$D159="","",名簿!$B159&amp;"")</f>
        <v/>
      </c>
      <c r="B159" s="91" t="str">
        <f aca="false">IF(名簿!$D159="","",名簿!$C159)</f>
        <v/>
      </c>
      <c r="C159" s="59" t="str">
        <f aca="false">IF(名簿!$D159="","",名簿!$D159&amp;IF(名簿!$F159="転出","（転出）",""))</f>
        <v/>
      </c>
      <c r="D159" s="149"/>
      <c r="E159" s="61" t="str">
        <f aca="false">IF(OR($C159="",名簿!$F159="転出"),"",IF($C$2="学級ごと",$A159,IF($C$2="前の単元と同じ",単元01!$E159&amp;"",$D159&amp;"")))</f>
        <v/>
      </c>
      <c r="F159" s="150"/>
      <c r="G159" s="150"/>
      <c r="H159" s="150"/>
      <c r="I159" s="151"/>
      <c r="J159" s="41" t="str">
        <f aca="false">IF($E159="","",$E159&amp;"|"&amp;COUNTIF($E$5:$E159,$E159))</f>
        <v/>
      </c>
      <c r="K159" s="40" t="str">
        <f aca="false">IF($I159="","",LEN($I159))</f>
        <v/>
      </c>
      <c r="L159" s="13"/>
      <c r="M159" s="13"/>
      <c r="N159" s="13"/>
      <c r="O159" s="13"/>
      <c r="P159" s="152"/>
      <c r="Q159" s="149"/>
      <c r="R159" s="152"/>
      <c r="S159" s="152"/>
      <c r="T159" s="62" t="str">
        <f aca="false">IF(OR($C159="",R159=""),"",IF(R159/IF($R$2="",100,$R$2)&gt;=設定!$I$28,設定!$G$8,IF(R159/IF($R$2="",100,$R$2)&lt;設定!$I$29,設定!$G$10,設定!$G$9)))</f>
        <v/>
      </c>
      <c r="U159" s="62" t="str">
        <f aca="false">IF(OR($C159="",S159=""),"",IF(S159/IF($S$2="",100,$S$2)&gt;=設定!$I$28,設定!$G$8,IF(S159/IF($S$2="",100,$S$2)&lt;設定!$I$29,設定!$G$10,設定!$G$9)))</f>
        <v/>
      </c>
    </row>
    <row r="160" customFormat="false" ht="21" hidden="false" customHeight="true" outlineLevel="0" collapsed="false">
      <c r="A160" s="91" t="str">
        <f aca="false">IF(名簿!$D160="","",名簿!$B160&amp;"")</f>
        <v/>
      </c>
      <c r="B160" s="91" t="str">
        <f aca="false">IF(名簿!$D160="","",名簿!$C160)</f>
        <v/>
      </c>
      <c r="C160" s="59" t="str">
        <f aca="false">IF(名簿!$D160="","",名簿!$D160&amp;IF(名簿!$F160="転出","（転出）",""))</f>
        <v/>
      </c>
      <c r="D160" s="149"/>
      <c r="E160" s="61" t="str">
        <f aca="false">IF(OR($C160="",名簿!$F160="転出"),"",IF($C$2="学級ごと",$A160,IF($C$2="前の単元と同じ",単元01!$E160&amp;"",$D160&amp;"")))</f>
        <v/>
      </c>
      <c r="F160" s="150"/>
      <c r="G160" s="150"/>
      <c r="H160" s="150"/>
      <c r="I160" s="151"/>
      <c r="J160" s="41" t="str">
        <f aca="false">IF($E160="","",$E160&amp;"|"&amp;COUNTIF($E$5:$E160,$E160))</f>
        <v/>
      </c>
      <c r="K160" s="40" t="str">
        <f aca="false">IF($I160="","",LEN($I160))</f>
        <v/>
      </c>
      <c r="L160" s="13"/>
      <c r="M160" s="13"/>
      <c r="N160" s="13"/>
      <c r="O160" s="13"/>
      <c r="P160" s="152"/>
      <c r="Q160" s="149"/>
      <c r="R160" s="152"/>
      <c r="S160" s="152"/>
      <c r="T160" s="62" t="str">
        <f aca="false">IF(OR($C160="",R160=""),"",IF(R160/IF($R$2="",100,$R$2)&gt;=設定!$I$28,設定!$G$8,IF(R160/IF($R$2="",100,$R$2)&lt;設定!$I$29,設定!$G$10,設定!$G$9)))</f>
        <v/>
      </c>
      <c r="U160" s="62" t="str">
        <f aca="false">IF(OR($C160="",S160=""),"",IF(S160/IF($S$2="",100,$S$2)&gt;=設定!$I$28,設定!$G$8,IF(S160/IF($S$2="",100,$S$2)&lt;設定!$I$29,設定!$G$10,設定!$G$9)))</f>
        <v/>
      </c>
    </row>
    <row r="161" customFormat="false" ht="21" hidden="false" customHeight="true" outlineLevel="0" collapsed="false">
      <c r="A161" s="91" t="str">
        <f aca="false">IF(名簿!$D161="","",名簿!$B161&amp;"")</f>
        <v/>
      </c>
      <c r="B161" s="91" t="str">
        <f aca="false">IF(名簿!$D161="","",名簿!$C161)</f>
        <v/>
      </c>
      <c r="C161" s="59" t="str">
        <f aca="false">IF(名簿!$D161="","",名簿!$D161&amp;IF(名簿!$F161="転出","（転出）",""))</f>
        <v/>
      </c>
      <c r="D161" s="149"/>
      <c r="E161" s="61" t="str">
        <f aca="false">IF(OR($C161="",名簿!$F161="転出"),"",IF($C$2="学級ごと",$A161,IF($C$2="前の単元と同じ",単元01!$E161&amp;"",$D161&amp;"")))</f>
        <v/>
      </c>
      <c r="F161" s="150"/>
      <c r="G161" s="150"/>
      <c r="H161" s="150"/>
      <c r="I161" s="151"/>
      <c r="J161" s="41" t="str">
        <f aca="false">IF($E161="","",$E161&amp;"|"&amp;COUNTIF($E$5:$E161,$E161))</f>
        <v/>
      </c>
      <c r="K161" s="40" t="str">
        <f aca="false">IF($I161="","",LEN($I161))</f>
        <v/>
      </c>
      <c r="L161" s="13"/>
      <c r="M161" s="13"/>
      <c r="N161" s="13"/>
      <c r="O161" s="13"/>
      <c r="P161" s="152"/>
      <c r="Q161" s="149"/>
      <c r="R161" s="152"/>
      <c r="S161" s="152"/>
      <c r="T161" s="62" t="str">
        <f aca="false">IF(OR($C161="",R161=""),"",IF(R161/IF($R$2="",100,$R$2)&gt;=設定!$I$28,設定!$G$8,IF(R161/IF($R$2="",100,$R$2)&lt;設定!$I$29,設定!$G$10,設定!$G$9)))</f>
        <v/>
      </c>
      <c r="U161" s="62" t="str">
        <f aca="false">IF(OR($C161="",S161=""),"",IF(S161/IF($S$2="",100,$S$2)&gt;=設定!$I$28,設定!$G$8,IF(S161/IF($S$2="",100,$S$2)&lt;設定!$I$29,設定!$G$10,設定!$G$9)))</f>
        <v/>
      </c>
    </row>
    <row r="162" customFormat="false" ht="21" hidden="false" customHeight="true" outlineLevel="0" collapsed="false">
      <c r="A162" s="91" t="str">
        <f aca="false">IF(名簿!$D162="","",名簿!$B162&amp;"")</f>
        <v/>
      </c>
      <c r="B162" s="91" t="str">
        <f aca="false">IF(名簿!$D162="","",名簿!$C162)</f>
        <v/>
      </c>
      <c r="C162" s="59" t="str">
        <f aca="false">IF(名簿!$D162="","",名簿!$D162&amp;IF(名簿!$F162="転出","（転出）",""))</f>
        <v/>
      </c>
      <c r="D162" s="149"/>
      <c r="E162" s="61" t="str">
        <f aca="false">IF(OR($C162="",名簿!$F162="転出"),"",IF($C$2="学級ごと",$A162,IF($C$2="前の単元と同じ",単元01!$E162&amp;"",$D162&amp;"")))</f>
        <v/>
      </c>
      <c r="F162" s="150"/>
      <c r="G162" s="150"/>
      <c r="H162" s="150"/>
      <c r="I162" s="151"/>
      <c r="J162" s="41" t="str">
        <f aca="false">IF($E162="","",$E162&amp;"|"&amp;COUNTIF($E$5:$E162,$E162))</f>
        <v/>
      </c>
      <c r="K162" s="40" t="str">
        <f aca="false">IF($I162="","",LEN($I162))</f>
        <v/>
      </c>
      <c r="L162" s="13"/>
      <c r="M162" s="13"/>
      <c r="N162" s="13"/>
      <c r="O162" s="13"/>
      <c r="P162" s="152"/>
      <c r="Q162" s="149"/>
      <c r="R162" s="152"/>
      <c r="S162" s="152"/>
      <c r="T162" s="62" t="str">
        <f aca="false">IF(OR($C162="",R162=""),"",IF(R162/IF($R$2="",100,$R$2)&gt;=設定!$I$28,設定!$G$8,IF(R162/IF($R$2="",100,$R$2)&lt;設定!$I$29,設定!$G$10,設定!$G$9)))</f>
        <v/>
      </c>
      <c r="U162" s="62" t="str">
        <f aca="false">IF(OR($C162="",S162=""),"",IF(S162/IF($S$2="",100,$S$2)&gt;=設定!$I$28,設定!$G$8,IF(S162/IF($S$2="",100,$S$2)&lt;設定!$I$29,設定!$G$10,設定!$G$9)))</f>
        <v/>
      </c>
    </row>
    <row r="163" customFormat="false" ht="21" hidden="false" customHeight="true" outlineLevel="0" collapsed="false">
      <c r="A163" s="91" t="str">
        <f aca="false">IF(名簿!$D163="","",名簿!$B163&amp;"")</f>
        <v/>
      </c>
      <c r="B163" s="91" t="str">
        <f aca="false">IF(名簿!$D163="","",名簿!$C163)</f>
        <v/>
      </c>
      <c r="C163" s="59" t="str">
        <f aca="false">IF(名簿!$D163="","",名簿!$D163&amp;IF(名簿!$F163="転出","（転出）",""))</f>
        <v/>
      </c>
      <c r="D163" s="149"/>
      <c r="E163" s="61" t="str">
        <f aca="false">IF(OR($C163="",名簿!$F163="転出"),"",IF($C$2="学級ごと",$A163,IF($C$2="前の単元と同じ",単元01!$E163&amp;"",$D163&amp;"")))</f>
        <v/>
      </c>
      <c r="F163" s="150"/>
      <c r="G163" s="150"/>
      <c r="H163" s="150"/>
      <c r="I163" s="151"/>
      <c r="J163" s="41" t="str">
        <f aca="false">IF($E163="","",$E163&amp;"|"&amp;COUNTIF($E$5:$E163,$E163))</f>
        <v/>
      </c>
      <c r="K163" s="40" t="str">
        <f aca="false">IF($I163="","",LEN($I163))</f>
        <v/>
      </c>
      <c r="L163" s="13"/>
      <c r="M163" s="13"/>
      <c r="N163" s="13"/>
      <c r="O163" s="13"/>
      <c r="P163" s="152"/>
      <c r="Q163" s="149"/>
      <c r="R163" s="152"/>
      <c r="S163" s="152"/>
      <c r="T163" s="62" t="str">
        <f aca="false">IF(OR($C163="",R163=""),"",IF(R163/IF($R$2="",100,$R$2)&gt;=設定!$I$28,設定!$G$8,IF(R163/IF($R$2="",100,$R$2)&lt;設定!$I$29,設定!$G$10,設定!$G$9)))</f>
        <v/>
      </c>
      <c r="U163" s="62" t="str">
        <f aca="false">IF(OR($C163="",S163=""),"",IF(S163/IF($S$2="",100,$S$2)&gt;=設定!$I$28,設定!$G$8,IF(S163/IF($S$2="",100,$S$2)&lt;設定!$I$29,設定!$G$10,設定!$G$9)))</f>
        <v/>
      </c>
    </row>
    <row r="164" customFormat="false" ht="21" hidden="false" customHeight="true" outlineLevel="0" collapsed="false">
      <c r="A164" s="91" t="str">
        <f aca="false">IF(名簿!$D164="","",名簿!$B164&amp;"")</f>
        <v/>
      </c>
      <c r="B164" s="91" t="str">
        <f aca="false">IF(名簿!$D164="","",名簿!$C164)</f>
        <v/>
      </c>
      <c r="C164" s="59" t="str">
        <f aca="false">IF(名簿!$D164="","",名簿!$D164&amp;IF(名簿!$F164="転出","（転出）",""))</f>
        <v/>
      </c>
      <c r="D164" s="149"/>
      <c r="E164" s="61" t="str">
        <f aca="false">IF(OR($C164="",名簿!$F164="転出"),"",IF($C$2="学級ごと",$A164,IF($C$2="前の単元と同じ",単元01!$E164&amp;"",$D164&amp;"")))</f>
        <v/>
      </c>
      <c r="F164" s="150"/>
      <c r="G164" s="150"/>
      <c r="H164" s="150"/>
      <c r="I164" s="151"/>
      <c r="J164" s="41" t="str">
        <f aca="false">IF($E164="","",$E164&amp;"|"&amp;COUNTIF($E$5:$E164,$E164))</f>
        <v/>
      </c>
      <c r="K164" s="40" t="str">
        <f aca="false">IF($I164="","",LEN($I164))</f>
        <v/>
      </c>
      <c r="L164" s="13"/>
      <c r="M164" s="13"/>
      <c r="N164" s="13"/>
      <c r="O164" s="13"/>
      <c r="P164" s="152"/>
      <c r="Q164" s="149"/>
      <c r="R164" s="152"/>
      <c r="S164" s="152"/>
      <c r="T164" s="62" t="str">
        <f aca="false">IF(OR($C164="",R164=""),"",IF(R164/IF($R$2="",100,$R$2)&gt;=設定!$I$28,設定!$G$8,IF(R164/IF($R$2="",100,$R$2)&lt;設定!$I$29,設定!$G$10,設定!$G$9)))</f>
        <v/>
      </c>
      <c r="U164" s="62" t="str">
        <f aca="false">IF(OR($C164="",S164=""),"",IF(S164/IF($S$2="",100,$S$2)&gt;=設定!$I$28,設定!$G$8,IF(S164/IF($S$2="",100,$S$2)&lt;設定!$I$29,設定!$G$10,設定!$G$9)))</f>
        <v/>
      </c>
    </row>
  </sheetData>
  <sheetProtection sheet="true" formatColumns="false" formatRows="false" autoFilter="false"/>
  <autoFilter ref="A4:I164"/>
  <mergeCells count="5">
    <mergeCell ref="A1:I1"/>
    <mergeCell ref="R1:U1"/>
    <mergeCell ref="A2:B2"/>
    <mergeCell ref="D2:I2"/>
    <mergeCell ref="T2:U2"/>
  </mergeCells>
  <conditionalFormatting sqref="A5:C164">
    <cfRule type="expression" priority="2" aboveAverage="0" equalAverage="0" bottom="0" percent="0" rank="0" text="" dxfId="37">
      <formula>RIGHT($C5,4)="（転出）"</formula>
    </cfRule>
    <cfRule type="expression" priority="3" aboveAverage="0" equalAverage="0" bottom="0" percent="0" rank="0" text="" dxfId="8">
      <formula>$C5&lt;&gt;""</formula>
    </cfRule>
  </conditionalFormatting>
  <conditionalFormatting sqref="D5:D164">
    <cfRule type="expression" priority="4" aboveAverage="0" equalAverage="0" bottom="0" percent="0" rank="0" text="" dxfId="37">
      <formula>RIGHT($C5,4)="（転出）"</formula>
    </cfRule>
    <cfRule type="expression" priority="5" aboveAverage="0" equalAverage="0" bottom="0" percent="0" rank="0" text="" dxfId="38">
      <formula>AND($C5&lt;&gt;"",$C$2&lt;&gt;"習熟度別")</formula>
    </cfRule>
    <cfRule type="expression" priority="6" aboveAverage="0" equalAverage="0" bottom="0" percent="0" rank="0" text="" dxfId="39">
      <formula>AND($C5&lt;&gt;"",$E5="")</formula>
    </cfRule>
    <cfRule type="expression" priority="7" aboveAverage="0" equalAverage="0" bottom="0" percent="0" rank="0" text="" dxfId="39">
      <formula>AND($C5&lt;&gt;"",$D5&lt;&gt;"",COUNTIF(コース一覧,$D5)=0)</formula>
    </cfRule>
    <cfRule type="expression" priority="8" aboveAverage="0" equalAverage="0" bottom="0" percent="0" rank="0" text="" dxfId="40">
      <formula>AND($C5&lt;&gt;"",$C$2="習熟度別",$Q5&lt;&gt;"",$E5&lt;&gt;"",$Q5&lt;&gt;$E5)</formula>
    </cfRule>
    <cfRule type="expression" priority="9" aboveAverage="0" equalAverage="0" bottom="0" percent="0" rank="0" text="" dxfId="41">
      <formula>$C5&lt;&gt;""</formula>
    </cfRule>
  </conditionalFormatting>
  <conditionalFormatting sqref="E5:E164">
    <cfRule type="expression" priority="10" aboveAverage="0" equalAverage="0" bottom="0" percent="0" rank="0" text="" dxfId="37">
      <formula>RIGHT($C5,4)="（転出）"</formula>
    </cfRule>
    <cfRule type="expression" priority="11" aboveAverage="0" equalAverage="0" bottom="0" percent="0" rank="0" text="" dxfId="42">
      <formula>AND($E5&lt;&gt;"",$E5=$L$2)</formula>
    </cfRule>
    <cfRule type="expression" priority="12" aboveAverage="0" equalAverage="0" bottom="0" percent="0" rank="0" text="" dxfId="43">
      <formula>AND($E5&lt;&gt;"",$E5=$L$3)</formula>
    </cfRule>
    <cfRule type="expression" priority="13" aboveAverage="0" equalAverage="0" bottom="0" percent="0" rank="0" text="" dxfId="44">
      <formula>AND($E5&lt;&gt;"",$E5=$L$4)</formula>
    </cfRule>
    <cfRule type="expression" priority="14" aboveAverage="0" equalAverage="0" bottom="0" percent="0" rank="0" text="" dxfId="45">
      <formula>AND($E5&lt;&gt;"",$E5=$L$5)</formula>
    </cfRule>
    <cfRule type="expression" priority="15" aboveAverage="0" equalAverage="0" bottom="0" percent="0" rank="0" text="" dxfId="46">
      <formula>AND($E5&lt;&gt;"",$E5=$L$6)</formula>
    </cfRule>
    <cfRule type="expression" priority="16" aboveAverage="0" equalAverage="0" bottom="0" percent="0" rank="0" text="" dxfId="8">
      <formula>$C5&lt;&gt;""</formula>
    </cfRule>
  </conditionalFormatting>
  <conditionalFormatting sqref="F5:H164">
    <cfRule type="expression" priority="17" aboveAverage="0" equalAverage="0" bottom="0" percent="0" rank="0" text="" dxfId="37">
      <formula>RIGHT($C5,4)="（転出）"</formula>
    </cfRule>
    <cfRule type="expression" priority="18" aboveAverage="0" equalAverage="0" bottom="0" percent="0" rank="0" text="" dxfId="12">
      <formula>AND(F5&lt;&gt;"",F5=設定!$G$10)</formula>
    </cfRule>
    <cfRule type="expression" priority="19" aboveAverage="0" equalAverage="0" bottom="0" percent="0" rank="0" text="" dxfId="47">
      <formula>AND(F5&lt;&gt;"",F5=設定!$G$8)</formula>
    </cfRule>
    <cfRule type="expression" priority="20" aboveAverage="0" equalAverage="0" bottom="0" percent="0" rank="0" text="" dxfId="41">
      <formula>AND($C5&lt;&gt;"",$E5&lt;&gt;"")</formula>
    </cfRule>
    <cfRule type="expression" priority="21" aboveAverage="0" equalAverage="0" bottom="0" percent="0" rank="0" text="" dxfId="8">
      <formula>$C5&lt;&gt;""</formula>
    </cfRule>
  </conditionalFormatting>
  <conditionalFormatting sqref="I5:I164">
    <cfRule type="expression" priority="22" aboveAverage="0" equalAverage="0" bottom="0" percent="0" rank="0" text="" dxfId="37">
      <formula>RIGHT($C5,4)="（転出）"</formula>
    </cfRule>
    <cfRule type="expression" priority="23" aboveAverage="0" equalAverage="0" bottom="0" percent="0" rank="0" text="" dxfId="48">
      <formula>AND($C5&lt;&gt;"",$I5&lt;&gt;"",ISNUMBER(設定!$I$22),LEN($I5)&gt;設定!$I$22)</formula>
    </cfRule>
    <cfRule type="expression" priority="24" aboveAverage="0" equalAverage="0" bottom="0" percent="0" rank="0" text="" dxfId="41">
      <formula>AND($C5&lt;&gt;"",$E5&lt;&gt;"")</formula>
    </cfRule>
    <cfRule type="expression" priority="25" aboveAverage="0" equalAverage="0" bottom="0" percent="0" rank="0" text="" dxfId="8">
      <formula>$C5&lt;&gt;""</formula>
    </cfRule>
  </conditionalFormatting>
  <conditionalFormatting sqref="K5:K164">
    <cfRule type="expression" priority="26" aboveAverage="0" equalAverage="0" bottom="0" percent="0" rank="0" text="" dxfId="49">
      <formula>AND($K5&lt;&gt;"",ISNUMBER(設定!$I$22),$K5&gt;設定!$I$22)</formula>
    </cfRule>
    <cfRule type="expression" priority="27" aboveAverage="0" equalAverage="0" bottom="0" percent="0" rank="0" text="" dxfId="50">
      <formula>$C5&lt;&gt;""</formula>
    </cfRule>
  </conditionalFormatting>
  <conditionalFormatting sqref="P5:P164">
    <cfRule type="expression" priority="28" aboveAverage="0" equalAverage="0" bottom="0" percent="0" rank="0" text="" dxfId="41">
      <formula>$C5&lt;&gt;""</formula>
    </cfRule>
  </conditionalFormatting>
  <conditionalFormatting sqref="R5:R164">
    <cfRule type="expression" priority="29" aboveAverage="0" equalAverage="0" bottom="0" percent="0" rank="0" text="" dxfId="49">
      <formula>AND($C5&lt;&gt;"",$R5&lt;&gt;"",$R$2&lt;&gt;"",$R5&gt;$R$2)</formula>
    </cfRule>
    <cfRule type="expression" priority="30" aboveAverage="0" equalAverage="0" bottom="0" percent="0" rank="0" text="" dxfId="41">
      <formula>$C5&lt;&gt;""</formula>
    </cfRule>
  </conditionalFormatting>
  <conditionalFormatting sqref="S5:S164">
    <cfRule type="expression" priority="31" aboveAverage="0" equalAverage="0" bottom="0" percent="0" rank="0" text="" dxfId="49">
      <formula>AND($C5&lt;&gt;"",$S5&lt;&gt;"",$S$2&lt;&gt;"",$S5&gt;$S$2)</formula>
    </cfRule>
    <cfRule type="expression" priority="32" aboveAverage="0" equalAverage="0" bottom="0" percent="0" rank="0" text="" dxfId="41">
      <formula>$C5&lt;&gt;""</formula>
    </cfRule>
  </conditionalFormatting>
  <conditionalFormatting sqref="T5:U164">
    <cfRule type="expression" priority="33" aboveAverage="0" equalAverage="0" bottom="0" percent="0" rank="0" text="" dxfId="12">
      <formula>AND(T5&lt;&gt;"",T5=設定!$G$10)</formula>
    </cfRule>
    <cfRule type="expression" priority="34" aboveAverage="0" equalAverage="0" bottom="0" percent="0" rank="0" text="" dxfId="51">
      <formula>AND(T5&lt;&gt;"",T5=設定!$G$8)</formula>
    </cfRule>
    <cfRule type="expression" priority="35" aboveAverage="0" equalAverage="0" bottom="0" percent="0" rank="0" text="" dxfId="19">
      <formula>$C5&lt;&gt;""</formula>
    </cfRule>
  </conditionalFormatting>
  <conditionalFormatting sqref="Q5:Q164">
    <cfRule type="expression" priority="36" aboveAverage="0" equalAverage="0" bottom="0" percent="0" rank="0" text="" dxfId="40">
      <formula>AND($C5&lt;&gt;"",$Q5&lt;&gt;"",$E5&lt;&gt;"",$Q5&lt;&gt;$E5)</formula>
    </cfRule>
    <cfRule type="expression" priority="37" aboveAverage="0" equalAverage="0" bottom="0" percent="0" rank="0" text="" dxfId="41">
      <formula>$C5&lt;&gt;""</formula>
    </cfRule>
  </conditionalFormatting>
  <conditionalFormatting sqref="L2:N2">
    <cfRule type="expression" priority="38" aboveAverage="0" equalAverage="0" bottom="0" percent="0" rank="0" text="" dxfId="14">
      <formula>$L2=""</formula>
    </cfRule>
  </conditionalFormatting>
  <conditionalFormatting sqref="L3:N3">
    <cfRule type="expression" priority="39" aboveAverage="0" equalAverage="0" bottom="0" percent="0" rank="0" text="" dxfId="14">
      <formula>$L3=""</formula>
    </cfRule>
  </conditionalFormatting>
  <conditionalFormatting sqref="L4:N4">
    <cfRule type="expression" priority="40" aboveAverage="0" equalAverage="0" bottom="0" percent="0" rank="0" text="" dxfId="14">
      <formula>$L4=""</formula>
    </cfRule>
  </conditionalFormatting>
  <conditionalFormatting sqref="L5:N5">
    <cfRule type="expression" priority="41" aboveAverage="0" equalAverage="0" bottom="0" percent="0" rank="0" text="" dxfId="14">
      <formula>$L5=""</formula>
    </cfRule>
  </conditionalFormatting>
  <conditionalFormatting sqref="L6:N6">
    <cfRule type="expression" priority="42" aboveAverage="0" equalAverage="0" bottom="0" percent="0" rank="0" text="" dxfId="14">
      <formula>$L6=""</formula>
    </cfRule>
  </conditionalFormatting>
  <conditionalFormatting sqref="N7">
    <cfRule type="expression" priority="43" aboveAverage="0" equalAverage="0" bottom="0" percent="0" rank="0" text="" dxfId="52">
      <formula>$N$7=0</formula>
    </cfRule>
  </conditionalFormatting>
  <dataValidations count="6">
    <dataValidation allowBlank="true" error="点数（数字）を入力してください。" errorStyle="stop" operator="between" showDropDown="false" showErrorMessage="true" showInputMessage="false" sqref="R2:S2 P5:P164 R5:S164" type="decimal">
      <formula1>0</formula1>
      <formula2>1000</formula2>
    </dataValidation>
    <dataValidation allowBlank="false" error="一覧から選んでください。" errorStyle="stop" errorTitle="入力エラー" operator="between" showDropDown="false" showErrorMessage="true" showInputMessage="false" sqref="C2" type="list">
      <formula1>"習熟度別,前の単元と同じ,学級ごと"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D5:D164" type="list">
      <formula1>コース一覧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Q5:Q164" type="list">
      <formula1>コース一覧</formula1>
      <formula2>0</formula2>
    </dataValidation>
    <dataValidation allowBlank="true" error="設定シートの評価記号（A/B/C）から選んでください。" errorStyle="stop" errorTitle="入力エラー" operator="between" showDropDown="false" showErrorMessage="true" showInputMessage="false" sqref="F5:H164" type="list">
      <formula1>評価記号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M2:M6" type="list">
      <formula1>担当者一覧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U16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5"/>
    <col collapsed="false" customWidth="true" hidden="false" outlineLevel="0" max="3" min="3" style="0" width="17"/>
    <col collapsed="false" customWidth="true" hidden="false" outlineLevel="0" max="4" min="4" style="0" width="11"/>
    <col collapsed="false" customWidth="true" hidden="false" outlineLevel="0" max="5" min="5" style="0" width="12"/>
    <col collapsed="false" customWidth="true" hidden="false" outlineLevel="0" max="8" min="6" style="0" width="6"/>
    <col collapsed="false" customWidth="true" hidden="false" outlineLevel="0" max="9" min="9" style="0" width="55"/>
    <col collapsed="false" customWidth="true" hidden="true" outlineLevel="0" max="10" min="10" style="0" width="3"/>
    <col collapsed="false" customWidth="true" hidden="false" outlineLevel="0" max="11" min="11" style="0" width="5"/>
    <col collapsed="false" customWidth="true" hidden="false" outlineLevel="0" max="12" min="12" style="0" width="14"/>
    <col collapsed="false" customWidth="true" hidden="false" outlineLevel="0" max="13" min="13" style="0" width="13"/>
    <col collapsed="false" customWidth="true" hidden="false" outlineLevel="0" max="14" min="14" style="0" width="7"/>
    <col collapsed="false" customWidth="true" hidden="false" outlineLevel="0" max="15" min="15" style="0" width="2"/>
    <col collapsed="false" customWidth="true" hidden="false" outlineLevel="0" max="16" min="16" style="0" width="9"/>
    <col collapsed="false" customWidth="true" hidden="false" outlineLevel="0" max="17" min="17" style="0" width="12"/>
    <col collapsed="false" customWidth="true" hidden="false" outlineLevel="0" max="19" min="18" style="0" width="7"/>
    <col collapsed="false" customWidth="true" hidden="false" outlineLevel="0" max="21" min="20" style="0" width="6"/>
  </cols>
  <sheetData>
    <row r="1" customFormat="false" ht="33.75" hidden="false" customHeight="true" outlineLevel="0" collapsed="false">
      <c r="A1" s="14" t="str">
        <f aca="false">"単元3　"&amp;IF(設定!$D$19="","（設定シートで単元名を入力）",設定!$D$19)&amp;IF(設定!$C$19="","","　／　"&amp;設定!$C$19&amp;IF(ISNUMBER(設定!$C$19),"学期",""))</f>
        <v>単元3　（設定シートで単元名を入力）</v>
      </c>
      <c r="B1" s="14"/>
      <c r="C1" s="14"/>
      <c r="D1" s="14"/>
      <c r="E1" s="14"/>
      <c r="F1" s="14"/>
      <c r="G1" s="14"/>
      <c r="H1" s="14"/>
      <c r="I1" s="14"/>
      <c r="J1" s="13"/>
      <c r="K1" s="13"/>
      <c r="L1" s="16" t="s">
        <v>153</v>
      </c>
      <c r="M1" s="16" t="s">
        <v>68</v>
      </c>
      <c r="N1" s="16" t="s">
        <v>128</v>
      </c>
      <c r="O1" s="13"/>
      <c r="P1" s="13"/>
      <c r="Q1" s="13"/>
      <c r="R1" s="131" t="s">
        <v>154</v>
      </c>
      <c r="S1" s="131"/>
      <c r="T1" s="131"/>
      <c r="U1" s="131"/>
    </row>
    <row r="2" customFormat="false" ht="25.5" hidden="false" customHeight="true" outlineLevel="0" collapsed="false">
      <c r="A2" s="16" t="s">
        <v>131</v>
      </c>
      <c r="B2" s="16"/>
      <c r="C2" s="138" t="s">
        <v>164</v>
      </c>
      <c r="D2" s="139" t="str">
        <f aca="false">IF($C$2="習熟度別","← D列「コース」で一人ずつ選びます",IF($C$2="前の単元と同じ","← 前の単元のコースをそのまま使います","← 在籍学級のまま分かれます"))</f>
        <v>← D列「コース」で一人ずつ選びます</v>
      </c>
      <c r="E2" s="139"/>
      <c r="F2" s="139"/>
      <c r="G2" s="139"/>
      <c r="H2" s="139"/>
      <c r="I2" s="139"/>
      <c r="J2" s="13"/>
      <c r="K2" s="13"/>
      <c r="L2" s="119" t="str">
        <f aca="false">IF($C$2="前の単元と同じ",単元02!$L2&amp;"",IF($C$2="学級ごと",IF(設定!$B$8="","",設定!$B$8&amp;""),IF(設定!$D$8="","",設定!$D$8&amp;"")))</f>
        <v>深める</v>
      </c>
      <c r="M2" s="39"/>
      <c r="N2" s="140" t="n">
        <f aca="false">IF($L2="","",COUNTIF($E$5:$E$164,$L2))</f>
        <v>0</v>
      </c>
      <c r="O2" s="13"/>
      <c r="P2" s="13"/>
      <c r="Q2" s="13"/>
      <c r="R2" s="141" t="n">
        <v>100</v>
      </c>
      <c r="S2" s="141" t="n">
        <v>100</v>
      </c>
      <c r="T2" s="142" t="s">
        <v>165</v>
      </c>
      <c r="U2" s="142"/>
    </row>
    <row r="3" customFormat="false" ht="17.15" hidden="false" customHeight="false" outlineLevel="0" collapsed="false">
      <c r="A3" s="4" t="s">
        <v>166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23" t="str">
        <f aca="false">IF($C$2="前の単元と同じ",単元02!$L3&amp;"",IF($C$2="学級ごと",IF(設定!$B$9="","",設定!$B$9&amp;""),IF(設定!$D$9="","",設定!$D$9&amp;"")))</f>
        <v>広げるA</v>
      </c>
      <c r="M3" s="39"/>
      <c r="N3" s="140" t="n">
        <f aca="false">IF($L3="","",COUNTIF($E$5:$E$164,$L3))</f>
        <v>0</v>
      </c>
      <c r="O3" s="13"/>
      <c r="P3" s="143" t="s">
        <v>167</v>
      </c>
      <c r="Q3" s="13"/>
      <c r="R3" s="144" t="s">
        <v>168</v>
      </c>
      <c r="S3" s="13"/>
      <c r="T3" s="13"/>
      <c r="U3" s="13"/>
    </row>
    <row r="4" customFormat="false" ht="30" hidden="false" customHeight="true" outlineLevel="0" collapsed="false">
      <c r="A4" s="16" t="s">
        <v>121</v>
      </c>
      <c r="B4" s="16" t="s">
        <v>122</v>
      </c>
      <c r="C4" s="16" t="s">
        <v>123</v>
      </c>
      <c r="D4" s="145" t="s">
        <v>153</v>
      </c>
      <c r="E4" s="16" t="s">
        <v>169</v>
      </c>
      <c r="F4" s="146" t="str">
        <f aca="false">設定!$I$8</f>
        <v>知</v>
      </c>
      <c r="G4" s="146" t="str">
        <f aca="false">設定!$I$9</f>
        <v>思</v>
      </c>
      <c r="H4" s="146" t="str">
        <f aca="false">設定!$I$10</f>
        <v>態</v>
      </c>
      <c r="I4" s="146" t="s">
        <v>107</v>
      </c>
      <c r="J4" s="16"/>
      <c r="K4" s="110" t="s">
        <v>170</v>
      </c>
      <c r="L4" s="124" t="str">
        <f aca="false">IF($C$2="前の単元と同じ",単元02!$L4&amp;"",IF($C$2="学級ごと",IF(設定!$B$10="","",設定!$B$10&amp;""),IF(設定!$D$10="","",設定!$D$10&amp;"")))</f>
        <v>広げるB</v>
      </c>
      <c r="M4" s="39"/>
      <c r="N4" s="140" t="n">
        <f aca="false">IF($L4="","",COUNTIF($E$5:$E$164,$L4))</f>
        <v>0</v>
      </c>
      <c r="O4" s="13"/>
      <c r="P4" s="147" t="s">
        <v>171</v>
      </c>
      <c r="Q4" s="147" t="s">
        <v>172</v>
      </c>
      <c r="R4" s="131" t="str">
        <f aca="false">設定!$I$8&amp;"得点"</f>
        <v>知得点</v>
      </c>
      <c r="S4" s="131" t="str">
        <f aca="false">設定!$I$9&amp;"得点"</f>
        <v>思得点</v>
      </c>
      <c r="T4" s="148" t="str">
        <f aca="false">設定!$I$8&amp;"目安"</f>
        <v>知目安</v>
      </c>
      <c r="U4" s="148" t="str">
        <f aca="false">設定!$I$9&amp;"目安"</f>
        <v>思目安</v>
      </c>
    </row>
    <row r="5" customFormat="false" ht="21" hidden="false" customHeight="true" outlineLevel="0" collapsed="false">
      <c r="A5" s="91" t="str">
        <f aca="false">IF(名簿!$D5="","",名簿!$B5&amp;"")</f>
        <v/>
      </c>
      <c r="B5" s="91" t="str">
        <f aca="false">IF(名簿!$D5="","",名簿!$C5)</f>
        <v/>
      </c>
      <c r="C5" s="59" t="str">
        <f aca="false">IF(名簿!$D5="","",名簿!$D5&amp;IF(名簿!$F5="転出","（転出）",""))</f>
        <v/>
      </c>
      <c r="D5" s="149"/>
      <c r="E5" s="61" t="str">
        <f aca="false">IF(OR($C5="",名簿!$F5="転出"),"",IF($C$2="学級ごと",$A5,IF($C$2="前の単元と同じ",単元02!$E5&amp;"",$D5&amp;"")))</f>
        <v/>
      </c>
      <c r="F5" s="150"/>
      <c r="G5" s="150"/>
      <c r="H5" s="150"/>
      <c r="I5" s="151"/>
      <c r="J5" s="41" t="str">
        <f aca="false">IF($E5="","",$E5&amp;"|"&amp;COUNTIF($E$5:$E5,$E5))</f>
        <v/>
      </c>
      <c r="K5" s="40" t="str">
        <f aca="false">IF($I5="","",LEN($I5))</f>
        <v/>
      </c>
      <c r="L5" s="125" t="str">
        <f aca="false">IF($C$2="前の単元と同じ",単元02!$L5&amp;"",IF($C$2="学級ごと",IF(設定!$B$11="","",設定!$B$11&amp;""),IF(設定!$D$11="","",設定!$D$11&amp;"")))</f>
        <v>かためる</v>
      </c>
      <c r="M5" s="39"/>
      <c r="N5" s="140" t="n">
        <f aca="false">IF($L5="","",COUNTIF($E$5:$E$164,$L5))</f>
        <v>0</v>
      </c>
      <c r="O5" s="13"/>
      <c r="P5" s="152"/>
      <c r="Q5" s="149"/>
      <c r="R5" s="152"/>
      <c r="S5" s="152"/>
      <c r="T5" s="62" t="str">
        <f aca="false">IF(OR($C5="",R5=""),"",IF(R5/IF($R$2="",100,$R$2)&gt;=設定!$I$28,設定!$G$8,IF(R5/IF($R$2="",100,$R$2)&lt;設定!$I$29,設定!$G$10,設定!$G$9)))</f>
        <v/>
      </c>
      <c r="U5" s="62" t="str">
        <f aca="false">IF(OR($C5="",S5=""),"",IF(S5/IF($S$2="",100,$S$2)&gt;=設定!$I$28,設定!$G$8,IF(S5/IF($S$2="",100,$S$2)&lt;設定!$I$29,設定!$G$10,設定!$G$9)))</f>
        <v/>
      </c>
    </row>
    <row r="6" customFormat="false" ht="21" hidden="false" customHeight="true" outlineLevel="0" collapsed="false">
      <c r="A6" s="91" t="str">
        <f aca="false">IF(名簿!$D6="","",名簿!$B6&amp;"")</f>
        <v/>
      </c>
      <c r="B6" s="91" t="str">
        <f aca="false">IF(名簿!$D6="","",名簿!$C6)</f>
        <v/>
      </c>
      <c r="C6" s="59" t="str">
        <f aca="false">IF(名簿!$D6="","",名簿!$D6&amp;IF(名簿!$F6="転出","（転出）",""))</f>
        <v/>
      </c>
      <c r="D6" s="149"/>
      <c r="E6" s="61" t="str">
        <f aca="false">IF(OR($C6="",名簿!$F6="転出"),"",IF($C$2="学級ごと",$A6,IF($C$2="前の単元と同じ",単元02!$E6&amp;"",$D6&amp;"")))</f>
        <v/>
      </c>
      <c r="F6" s="150"/>
      <c r="G6" s="150"/>
      <c r="H6" s="150"/>
      <c r="I6" s="151"/>
      <c r="J6" s="41" t="str">
        <f aca="false">IF($E6="","",$E6&amp;"|"&amp;COUNTIF($E$5:$E6,$E6))</f>
        <v/>
      </c>
      <c r="K6" s="40" t="str">
        <f aca="false">IF($I6="","",LEN($I6))</f>
        <v/>
      </c>
      <c r="L6" s="126" t="str">
        <f aca="false">IF($C$2="前の単元と同じ",単元02!$L6&amp;"",IF($C$2="学級ごと",IF(設定!$B$12="","",設定!$B$12&amp;""),IF(設定!$D$12="","",設定!$D$12&amp;"")))</f>
        <v/>
      </c>
      <c r="M6" s="39"/>
      <c r="N6" s="153" t="str">
        <f aca="false">IF($L6="","",COUNTIF($E$5:$E$164,$L6))</f>
        <v/>
      </c>
      <c r="O6" s="13"/>
      <c r="P6" s="152"/>
      <c r="Q6" s="149"/>
      <c r="R6" s="152"/>
      <c r="S6" s="152"/>
      <c r="T6" s="62" t="str">
        <f aca="false">IF(OR($C6="",R6=""),"",IF(R6/IF($R$2="",100,$R$2)&gt;=設定!$I$28,設定!$G$8,IF(R6/IF($R$2="",100,$R$2)&lt;設定!$I$29,設定!$G$10,設定!$G$9)))</f>
        <v/>
      </c>
      <c r="U6" s="62" t="str">
        <f aca="false">IF(OR($C6="",S6=""),"",IF(S6/IF($S$2="",100,$S$2)&gt;=設定!$I$28,設定!$G$8,IF(S6/IF($S$2="",100,$S$2)&lt;設定!$I$29,設定!$G$10,設定!$G$9)))</f>
        <v/>
      </c>
    </row>
    <row r="7" customFormat="false" ht="21" hidden="false" customHeight="true" outlineLevel="0" collapsed="false">
      <c r="A7" s="91" t="str">
        <f aca="false">IF(名簿!$D7="","",名簿!$B7&amp;"")</f>
        <v/>
      </c>
      <c r="B7" s="91" t="str">
        <f aca="false">IF(名簿!$D7="","",名簿!$C7)</f>
        <v/>
      </c>
      <c r="C7" s="59" t="str">
        <f aca="false">IF(名簿!$D7="","",名簿!$D7&amp;IF(名簿!$F7="転出","（転出）",""))</f>
        <v/>
      </c>
      <c r="D7" s="149"/>
      <c r="E7" s="61" t="str">
        <f aca="false">IF(OR($C7="",名簿!$F7="転出"),"",IF($C$2="学級ごと",$A7,IF($C$2="前の単元と同じ",単元02!$E7&amp;"",$D7&amp;"")))</f>
        <v/>
      </c>
      <c r="F7" s="150"/>
      <c r="G7" s="150"/>
      <c r="H7" s="150"/>
      <c r="I7" s="151"/>
      <c r="J7" s="41" t="str">
        <f aca="false">IF($E7="","",$E7&amp;"|"&amp;COUNTIF($E$5:$E7,$E7))</f>
        <v/>
      </c>
      <c r="K7" s="40" t="str">
        <f aca="false">IF($I7="","",LEN($I7))</f>
        <v/>
      </c>
      <c r="L7" s="154" t="s">
        <v>133</v>
      </c>
      <c r="M7" s="155" t="s">
        <v>173</v>
      </c>
      <c r="N7" s="156" t="n">
        <f aca="false">SUMPRODUCT(($C$5:$C$164&lt;&gt;"")*(名簿!$F$5:$F$164&lt;&gt;"転出")*($E$5:$E$164=""))</f>
        <v>0</v>
      </c>
      <c r="O7" s="13"/>
      <c r="P7" s="152"/>
      <c r="Q7" s="149"/>
      <c r="R7" s="152"/>
      <c r="S7" s="152"/>
      <c r="T7" s="62" t="str">
        <f aca="false">IF(OR($C7="",R7=""),"",IF(R7/IF($R$2="",100,$R$2)&gt;=設定!$I$28,設定!$G$8,IF(R7/IF($R$2="",100,$R$2)&lt;設定!$I$29,設定!$G$10,設定!$G$9)))</f>
        <v/>
      </c>
      <c r="U7" s="62" t="str">
        <f aca="false">IF(OR($C7="",S7=""),"",IF(S7/IF($S$2="",100,$S$2)&gt;=設定!$I$28,設定!$G$8,IF(S7/IF($S$2="",100,$S$2)&lt;設定!$I$29,設定!$G$10,設定!$G$9)))</f>
        <v/>
      </c>
    </row>
    <row r="8" customFormat="false" ht="21" hidden="false" customHeight="true" outlineLevel="0" collapsed="false">
      <c r="A8" s="91" t="str">
        <f aca="false">IF(名簿!$D8="","",名簿!$B8&amp;"")</f>
        <v/>
      </c>
      <c r="B8" s="91" t="str">
        <f aca="false">IF(名簿!$D8="","",名簿!$C8)</f>
        <v/>
      </c>
      <c r="C8" s="59" t="str">
        <f aca="false">IF(名簿!$D8="","",名簿!$D8&amp;IF(名簿!$F8="転出","（転出）",""))</f>
        <v/>
      </c>
      <c r="D8" s="149"/>
      <c r="E8" s="61" t="str">
        <f aca="false">IF(OR($C8="",名簿!$F8="転出"),"",IF($C$2="学級ごと",$A8,IF($C$2="前の単元と同じ",単元02!$E8&amp;"",$D8&amp;"")))</f>
        <v/>
      </c>
      <c r="F8" s="150"/>
      <c r="G8" s="150"/>
      <c r="H8" s="150"/>
      <c r="I8" s="151"/>
      <c r="J8" s="41" t="str">
        <f aca="false">IF($E8="","",$E8&amp;"|"&amp;COUNTIF($E$5:$E8,$E8))</f>
        <v/>
      </c>
      <c r="K8" s="40" t="str">
        <f aca="false">IF($I8="","",LEN($I8))</f>
        <v/>
      </c>
      <c r="L8" s="157" t="s">
        <v>174</v>
      </c>
      <c r="M8" s="158" t="s">
        <v>175</v>
      </c>
      <c r="N8" s="159" t="n">
        <f aca="false">SUMPRODUCT(($E$5:$E$164&lt;&gt;"")*(($F$5:$F$164="")+($G$5:$G$164="")+($H$5:$H$164="")&gt;0))</f>
        <v>0</v>
      </c>
      <c r="O8" s="13"/>
      <c r="P8" s="152"/>
      <c r="Q8" s="149"/>
      <c r="R8" s="152"/>
      <c r="S8" s="152"/>
      <c r="T8" s="62" t="str">
        <f aca="false">IF(OR($C8="",R8=""),"",IF(R8/IF($R$2="",100,$R$2)&gt;=設定!$I$28,設定!$G$8,IF(R8/IF($R$2="",100,$R$2)&lt;設定!$I$29,設定!$G$10,設定!$G$9)))</f>
        <v/>
      </c>
      <c r="U8" s="62" t="str">
        <f aca="false">IF(OR($C8="",S8=""),"",IF(S8/IF($S$2="",100,$S$2)&gt;=設定!$I$28,設定!$G$8,IF(S8/IF($S$2="",100,$S$2)&lt;設定!$I$29,設定!$G$10,設定!$G$9)))</f>
        <v/>
      </c>
    </row>
    <row r="9" customFormat="false" ht="21" hidden="false" customHeight="true" outlineLevel="0" collapsed="false">
      <c r="A9" s="91" t="str">
        <f aca="false">IF(名簿!$D9="","",名簿!$B9&amp;"")</f>
        <v/>
      </c>
      <c r="B9" s="91" t="str">
        <f aca="false">IF(名簿!$D9="","",名簿!$C9)</f>
        <v/>
      </c>
      <c r="C9" s="59" t="str">
        <f aca="false">IF(名簿!$D9="","",名簿!$D9&amp;IF(名簿!$F9="転出","（転出）",""))</f>
        <v/>
      </c>
      <c r="D9" s="149"/>
      <c r="E9" s="61" t="str">
        <f aca="false">IF(OR($C9="",名簿!$F9="転出"),"",IF($C$2="学級ごと",$A9,IF($C$2="前の単元と同じ",単元02!$E9&amp;"",$D9&amp;"")))</f>
        <v/>
      </c>
      <c r="F9" s="150"/>
      <c r="G9" s="150"/>
      <c r="H9" s="150"/>
      <c r="I9" s="151"/>
      <c r="J9" s="41" t="str">
        <f aca="false">IF($E9="","",$E9&amp;"|"&amp;COUNTIF($E$5:$E9,$E9))</f>
        <v/>
      </c>
      <c r="K9" s="40" t="str">
        <f aca="false">IF($I9="","",LEN($I9))</f>
        <v/>
      </c>
      <c r="L9" s="13"/>
      <c r="M9" s="13"/>
      <c r="N9" s="13"/>
      <c r="O9" s="13"/>
      <c r="P9" s="152"/>
      <c r="Q9" s="149"/>
      <c r="R9" s="152"/>
      <c r="S9" s="152"/>
      <c r="T9" s="62" t="str">
        <f aca="false">IF(OR($C9="",R9=""),"",IF(R9/IF($R$2="",100,$R$2)&gt;=設定!$I$28,設定!$G$8,IF(R9/IF($R$2="",100,$R$2)&lt;設定!$I$29,設定!$G$10,設定!$G$9)))</f>
        <v/>
      </c>
      <c r="U9" s="62" t="str">
        <f aca="false">IF(OR($C9="",S9=""),"",IF(S9/IF($S$2="",100,$S$2)&gt;=設定!$I$28,設定!$G$8,IF(S9/IF($S$2="",100,$S$2)&lt;設定!$I$29,設定!$G$10,設定!$G$9)))</f>
        <v/>
      </c>
    </row>
    <row r="10" customFormat="false" ht="21" hidden="false" customHeight="true" outlineLevel="0" collapsed="false">
      <c r="A10" s="91" t="str">
        <f aca="false">IF(名簿!$D10="","",名簿!$B10&amp;"")</f>
        <v/>
      </c>
      <c r="B10" s="91" t="str">
        <f aca="false">IF(名簿!$D10="","",名簿!$C10)</f>
        <v/>
      </c>
      <c r="C10" s="59" t="str">
        <f aca="false">IF(名簿!$D10="","",名簿!$D10&amp;IF(名簿!$F10="転出","（転出）",""))</f>
        <v/>
      </c>
      <c r="D10" s="149"/>
      <c r="E10" s="61" t="str">
        <f aca="false">IF(OR($C10="",名簿!$F10="転出"),"",IF($C$2="学級ごと",$A10,IF($C$2="前の単元と同じ",単元02!$E10&amp;"",$D10&amp;"")))</f>
        <v/>
      </c>
      <c r="F10" s="150"/>
      <c r="G10" s="150"/>
      <c r="H10" s="150"/>
      <c r="I10" s="151"/>
      <c r="J10" s="41" t="str">
        <f aca="false">IF($E10="","",$E10&amp;"|"&amp;COUNTIF($E$5:$E10,$E10))</f>
        <v/>
      </c>
      <c r="K10" s="40" t="str">
        <f aca="false">IF($I10="","",LEN($I10))</f>
        <v/>
      </c>
      <c r="L10" s="13"/>
      <c r="M10" s="13"/>
      <c r="N10" s="13"/>
      <c r="O10" s="13"/>
      <c r="P10" s="152"/>
      <c r="Q10" s="149"/>
      <c r="R10" s="152"/>
      <c r="S10" s="152"/>
      <c r="T10" s="62" t="str">
        <f aca="false">IF(OR($C10="",R10=""),"",IF(R10/IF($R$2="",100,$R$2)&gt;=設定!$I$28,設定!$G$8,IF(R10/IF($R$2="",100,$R$2)&lt;設定!$I$29,設定!$G$10,設定!$G$9)))</f>
        <v/>
      </c>
      <c r="U10" s="62" t="str">
        <f aca="false">IF(OR($C10="",S10=""),"",IF(S10/IF($S$2="",100,$S$2)&gt;=設定!$I$28,設定!$G$8,IF(S10/IF($S$2="",100,$S$2)&lt;設定!$I$29,設定!$G$10,設定!$G$9)))</f>
        <v/>
      </c>
    </row>
    <row r="11" customFormat="false" ht="21" hidden="false" customHeight="true" outlineLevel="0" collapsed="false">
      <c r="A11" s="91" t="str">
        <f aca="false">IF(名簿!$D11="","",名簿!$B11&amp;"")</f>
        <v/>
      </c>
      <c r="B11" s="91" t="str">
        <f aca="false">IF(名簿!$D11="","",名簿!$C11)</f>
        <v/>
      </c>
      <c r="C11" s="59" t="str">
        <f aca="false">IF(名簿!$D11="","",名簿!$D11&amp;IF(名簿!$F11="転出","（転出）",""))</f>
        <v/>
      </c>
      <c r="D11" s="149"/>
      <c r="E11" s="61" t="str">
        <f aca="false">IF(OR($C11="",名簿!$F11="転出"),"",IF($C$2="学級ごと",$A11,IF($C$2="前の単元と同じ",単元02!$E11&amp;"",$D11&amp;"")))</f>
        <v/>
      </c>
      <c r="F11" s="150"/>
      <c r="G11" s="150"/>
      <c r="H11" s="150"/>
      <c r="I11" s="151"/>
      <c r="J11" s="41" t="str">
        <f aca="false">IF($E11="","",$E11&amp;"|"&amp;COUNTIF($E$5:$E11,$E11))</f>
        <v/>
      </c>
      <c r="K11" s="40" t="str">
        <f aca="false">IF($I11="","",LEN($I11))</f>
        <v/>
      </c>
      <c r="L11" s="13"/>
      <c r="M11" s="13"/>
      <c r="N11" s="13"/>
      <c r="O11" s="13"/>
      <c r="P11" s="152"/>
      <c r="Q11" s="149"/>
      <c r="R11" s="152"/>
      <c r="S11" s="152"/>
      <c r="T11" s="62" t="str">
        <f aca="false">IF(OR($C11="",R11=""),"",IF(R11/IF($R$2="",100,$R$2)&gt;=設定!$I$28,設定!$G$8,IF(R11/IF($R$2="",100,$R$2)&lt;設定!$I$29,設定!$G$10,設定!$G$9)))</f>
        <v/>
      </c>
      <c r="U11" s="62" t="str">
        <f aca="false">IF(OR($C11="",S11=""),"",IF(S11/IF($S$2="",100,$S$2)&gt;=設定!$I$28,設定!$G$8,IF(S11/IF($S$2="",100,$S$2)&lt;設定!$I$29,設定!$G$10,設定!$G$9)))</f>
        <v/>
      </c>
    </row>
    <row r="12" customFormat="false" ht="21" hidden="false" customHeight="true" outlineLevel="0" collapsed="false">
      <c r="A12" s="91" t="str">
        <f aca="false">IF(名簿!$D12="","",名簿!$B12&amp;"")</f>
        <v/>
      </c>
      <c r="B12" s="91" t="str">
        <f aca="false">IF(名簿!$D12="","",名簿!$C12)</f>
        <v/>
      </c>
      <c r="C12" s="59" t="str">
        <f aca="false">IF(名簿!$D12="","",名簿!$D12&amp;IF(名簿!$F12="転出","（転出）",""))</f>
        <v/>
      </c>
      <c r="D12" s="149"/>
      <c r="E12" s="61" t="str">
        <f aca="false">IF(OR($C12="",名簿!$F12="転出"),"",IF($C$2="学級ごと",$A12,IF($C$2="前の単元と同じ",単元02!$E12&amp;"",$D12&amp;"")))</f>
        <v/>
      </c>
      <c r="F12" s="150"/>
      <c r="G12" s="150"/>
      <c r="H12" s="150"/>
      <c r="I12" s="151"/>
      <c r="J12" s="41" t="str">
        <f aca="false">IF($E12="","",$E12&amp;"|"&amp;COUNTIF($E$5:$E12,$E12))</f>
        <v/>
      </c>
      <c r="K12" s="40" t="str">
        <f aca="false">IF($I12="","",LEN($I12))</f>
        <v/>
      </c>
      <c r="L12" s="13"/>
      <c r="M12" s="13"/>
      <c r="N12" s="13"/>
      <c r="O12" s="13"/>
      <c r="P12" s="152"/>
      <c r="Q12" s="149"/>
      <c r="R12" s="152"/>
      <c r="S12" s="152"/>
      <c r="T12" s="62" t="str">
        <f aca="false">IF(OR($C12="",R12=""),"",IF(R12/IF($R$2="",100,$R$2)&gt;=設定!$I$28,設定!$G$8,IF(R12/IF($R$2="",100,$R$2)&lt;設定!$I$29,設定!$G$10,設定!$G$9)))</f>
        <v/>
      </c>
      <c r="U12" s="62" t="str">
        <f aca="false">IF(OR($C12="",S12=""),"",IF(S12/IF($S$2="",100,$S$2)&gt;=設定!$I$28,設定!$G$8,IF(S12/IF($S$2="",100,$S$2)&lt;設定!$I$29,設定!$G$10,設定!$G$9)))</f>
        <v/>
      </c>
    </row>
    <row r="13" customFormat="false" ht="21" hidden="false" customHeight="true" outlineLevel="0" collapsed="false">
      <c r="A13" s="91" t="str">
        <f aca="false">IF(名簿!$D13="","",名簿!$B13&amp;"")</f>
        <v/>
      </c>
      <c r="B13" s="91" t="str">
        <f aca="false">IF(名簿!$D13="","",名簿!$C13)</f>
        <v/>
      </c>
      <c r="C13" s="59" t="str">
        <f aca="false">IF(名簿!$D13="","",名簿!$D13&amp;IF(名簿!$F13="転出","（転出）",""))</f>
        <v/>
      </c>
      <c r="D13" s="149"/>
      <c r="E13" s="61" t="str">
        <f aca="false">IF(OR($C13="",名簿!$F13="転出"),"",IF($C$2="学級ごと",$A13,IF($C$2="前の単元と同じ",単元02!$E13&amp;"",$D13&amp;"")))</f>
        <v/>
      </c>
      <c r="F13" s="150"/>
      <c r="G13" s="150"/>
      <c r="H13" s="150"/>
      <c r="I13" s="151"/>
      <c r="J13" s="41" t="str">
        <f aca="false">IF($E13="","",$E13&amp;"|"&amp;COUNTIF($E$5:$E13,$E13))</f>
        <v/>
      </c>
      <c r="K13" s="40" t="str">
        <f aca="false">IF($I13="","",LEN($I13))</f>
        <v/>
      </c>
      <c r="L13" s="13"/>
      <c r="M13" s="13"/>
      <c r="N13" s="13"/>
      <c r="O13" s="13"/>
      <c r="P13" s="152"/>
      <c r="Q13" s="149"/>
      <c r="R13" s="152"/>
      <c r="S13" s="152"/>
      <c r="T13" s="62" t="str">
        <f aca="false">IF(OR($C13="",R13=""),"",IF(R13/IF($R$2="",100,$R$2)&gt;=設定!$I$28,設定!$G$8,IF(R13/IF($R$2="",100,$R$2)&lt;設定!$I$29,設定!$G$10,設定!$G$9)))</f>
        <v/>
      </c>
      <c r="U13" s="62" t="str">
        <f aca="false">IF(OR($C13="",S13=""),"",IF(S13/IF($S$2="",100,$S$2)&gt;=設定!$I$28,設定!$G$8,IF(S13/IF($S$2="",100,$S$2)&lt;設定!$I$29,設定!$G$10,設定!$G$9)))</f>
        <v/>
      </c>
    </row>
    <row r="14" customFormat="false" ht="21" hidden="false" customHeight="true" outlineLevel="0" collapsed="false">
      <c r="A14" s="91" t="str">
        <f aca="false">IF(名簿!$D14="","",名簿!$B14&amp;"")</f>
        <v/>
      </c>
      <c r="B14" s="91" t="str">
        <f aca="false">IF(名簿!$D14="","",名簿!$C14)</f>
        <v/>
      </c>
      <c r="C14" s="59" t="str">
        <f aca="false">IF(名簿!$D14="","",名簿!$D14&amp;IF(名簿!$F14="転出","（転出）",""))</f>
        <v/>
      </c>
      <c r="D14" s="149"/>
      <c r="E14" s="61" t="str">
        <f aca="false">IF(OR($C14="",名簿!$F14="転出"),"",IF($C$2="学級ごと",$A14,IF($C$2="前の単元と同じ",単元02!$E14&amp;"",$D14&amp;"")))</f>
        <v/>
      </c>
      <c r="F14" s="150"/>
      <c r="G14" s="150"/>
      <c r="H14" s="150"/>
      <c r="I14" s="151"/>
      <c r="J14" s="41" t="str">
        <f aca="false">IF($E14="","",$E14&amp;"|"&amp;COUNTIF($E$5:$E14,$E14))</f>
        <v/>
      </c>
      <c r="K14" s="40" t="str">
        <f aca="false">IF($I14="","",LEN($I14))</f>
        <v/>
      </c>
      <c r="L14" s="13"/>
      <c r="M14" s="13"/>
      <c r="N14" s="13"/>
      <c r="O14" s="13"/>
      <c r="P14" s="152"/>
      <c r="Q14" s="149"/>
      <c r="R14" s="152"/>
      <c r="S14" s="152"/>
      <c r="T14" s="62" t="str">
        <f aca="false">IF(OR($C14="",R14=""),"",IF(R14/IF($R$2="",100,$R$2)&gt;=設定!$I$28,設定!$G$8,IF(R14/IF($R$2="",100,$R$2)&lt;設定!$I$29,設定!$G$10,設定!$G$9)))</f>
        <v/>
      </c>
      <c r="U14" s="62" t="str">
        <f aca="false">IF(OR($C14="",S14=""),"",IF(S14/IF($S$2="",100,$S$2)&gt;=設定!$I$28,設定!$G$8,IF(S14/IF($S$2="",100,$S$2)&lt;設定!$I$29,設定!$G$10,設定!$G$9)))</f>
        <v/>
      </c>
    </row>
    <row r="15" customFormat="false" ht="21" hidden="false" customHeight="true" outlineLevel="0" collapsed="false">
      <c r="A15" s="91" t="str">
        <f aca="false">IF(名簿!$D15="","",名簿!$B15&amp;"")</f>
        <v/>
      </c>
      <c r="B15" s="91" t="str">
        <f aca="false">IF(名簿!$D15="","",名簿!$C15)</f>
        <v/>
      </c>
      <c r="C15" s="59" t="str">
        <f aca="false">IF(名簿!$D15="","",名簿!$D15&amp;IF(名簿!$F15="転出","（転出）",""))</f>
        <v/>
      </c>
      <c r="D15" s="149"/>
      <c r="E15" s="61" t="str">
        <f aca="false">IF(OR($C15="",名簿!$F15="転出"),"",IF($C$2="学級ごと",$A15,IF($C$2="前の単元と同じ",単元02!$E15&amp;"",$D15&amp;"")))</f>
        <v/>
      </c>
      <c r="F15" s="150"/>
      <c r="G15" s="150"/>
      <c r="H15" s="150"/>
      <c r="I15" s="151"/>
      <c r="J15" s="41" t="str">
        <f aca="false">IF($E15="","",$E15&amp;"|"&amp;COUNTIF($E$5:$E15,$E15))</f>
        <v/>
      </c>
      <c r="K15" s="40" t="str">
        <f aca="false">IF($I15="","",LEN($I15))</f>
        <v/>
      </c>
      <c r="L15" s="13"/>
      <c r="M15" s="13"/>
      <c r="N15" s="13"/>
      <c r="O15" s="13"/>
      <c r="P15" s="152"/>
      <c r="Q15" s="149"/>
      <c r="R15" s="152"/>
      <c r="S15" s="152"/>
      <c r="T15" s="62" t="str">
        <f aca="false">IF(OR($C15="",R15=""),"",IF(R15/IF($R$2="",100,$R$2)&gt;=設定!$I$28,設定!$G$8,IF(R15/IF($R$2="",100,$R$2)&lt;設定!$I$29,設定!$G$10,設定!$G$9)))</f>
        <v/>
      </c>
      <c r="U15" s="62" t="str">
        <f aca="false">IF(OR($C15="",S15=""),"",IF(S15/IF($S$2="",100,$S$2)&gt;=設定!$I$28,設定!$G$8,IF(S15/IF($S$2="",100,$S$2)&lt;設定!$I$29,設定!$G$10,設定!$G$9)))</f>
        <v/>
      </c>
    </row>
    <row r="16" customFormat="false" ht="21" hidden="false" customHeight="true" outlineLevel="0" collapsed="false">
      <c r="A16" s="91" t="str">
        <f aca="false">IF(名簿!$D16="","",名簿!$B16&amp;"")</f>
        <v/>
      </c>
      <c r="B16" s="91" t="str">
        <f aca="false">IF(名簿!$D16="","",名簿!$C16)</f>
        <v/>
      </c>
      <c r="C16" s="59" t="str">
        <f aca="false">IF(名簿!$D16="","",名簿!$D16&amp;IF(名簿!$F16="転出","（転出）",""))</f>
        <v/>
      </c>
      <c r="D16" s="149"/>
      <c r="E16" s="61" t="str">
        <f aca="false">IF(OR($C16="",名簿!$F16="転出"),"",IF($C$2="学級ごと",$A16,IF($C$2="前の単元と同じ",単元02!$E16&amp;"",$D16&amp;"")))</f>
        <v/>
      </c>
      <c r="F16" s="150"/>
      <c r="G16" s="150"/>
      <c r="H16" s="150"/>
      <c r="I16" s="151"/>
      <c r="J16" s="41" t="str">
        <f aca="false">IF($E16="","",$E16&amp;"|"&amp;COUNTIF($E$5:$E16,$E16))</f>
        <v/>
      </c>
      <c r="K16" s="40" t="str">
        <f aca="false">IF($I16="","",LEN($I16))</f>
        <v/>
      </c>
      <c r="L16" s="13"/>
      <c r="M16" s="13"/>
      <c r="N16" s="13"/>
      <c r="O16" s="13"/>
      <c r="P16" s="152"/>
      <c r="Q16" s="149"/>
      <c r="R16" s="152"/>
      <c r="S16" s="152"/>
      <c r="T16" s="62" t="str">
        <f aca="false">IF(OR($C16="",R16=""),"",IF(R16/IF($R$2="",100,$R$2)&gt;=設定!$I$28,設定!$G$8,IF(R16/IF($R$2="",100,$R$2)&lt;設定!$I$29,設定!$G$10,設定!$G$9)))</f>
        <v/>
      </c>
      <c r="U16" s="62" t="str">
        <f aca="false">IF(OR($C16="",S16=""),"",IF(S16/IF($S$2="",100,$S$2)&gt;=設定!$I$28,設定!$G$8,IF(S16/IF($S$2="",100,$S$2)&lt;設定!$I$29,設定!$G$10,設定!$G$9)))</f>
        <v/>
      </c>
    </row>
    <row r="17" customFormat="false" ht="21" hidden="false" customHeight="true" outlineLevel="0" collapsed="false">
      <c r="A17" s="91" t="str">
        <f aca="false">IF(名簿!$D17="","",名簿!$B17&amp;"")</f>
        <v/>
      </c>
      <c r="B17" s="91" t="str">
        <f aca="false">IF(名簿!$D17="","",名簿!$C17)</f>
        <v/>
      </c>
      <c r="C17" s="59" t="str">
        <f aca="false">IF(名簿!$D17="","",名簿!$D17&amp;IF(名簿!$F17="転出","（転出）",""))</f>
        <v/>
      </c>
      <c r="D17" s="149"/>
      <c r="E17" s="61" t="str">
        <f aca="false">IF(OR($C17="",名簿!$F17="転出"),"",IF($C$2="学級ごと",$A17,IF($C$2="前の単元と同じ",単元02!$E17&amp;"",$D17&amp;"")))</f>
        <v/>
      </c>
      <c r="F17" s="150"/>
      <c r="G17" s="150"/>
      <c r="H17" s="150"/>
      <c r="I17" s="151"/>
      <c r="J17" s="41" t="str">
        <f aca="false">IF($E17="","",$E17&amp;"|"&amp;COUNTIF($E$5:$E17,$E17))</f>
        <v/>
      </c>
      <c r="K17" s="40" t="str">
        <f aca="false">IF($I17="","",LEN($I17))</f>
        <v/>
      </c>
      <c r="L17" s="13"/>
      <c r="M17" s="13"/>
      <c r="N17" s="13"/>
      <c r="O17" s="13"/>
      <c r="P17" s="152"/>
      <c r="Q17" s="149"/>
      <c r="R17" s="152"/>
      <c r="S17" s="152"/>
      <c r="T17" s="62" t="str">
        <f aca="false">IF(OR($C17="",R17=""),"",IF(R17/IF($R$2="",100,$R$2)&gt;=設定!$I$28,設定!$G$8,IF(R17/IF($R$2="",100,$R$2)&lt;設定!$I$29,設定!$G$10,設定!$G$9)))</f>
        <v/>
      </c>
      <c r="U17" s="62" t="str">
        <f aca="false">IF(OR($C17="",S17=""),"",IF(S17/IF($S$2="",100,$S$2)&gt;=設定!$I$28,設定!$G$8,IF(S17/IF($S$2="",100,$S$2)&lt;設定!$I$29,設定!$G$10,設定!$G$9)))</f>
        <v/>
      </c>
    </row>
    <row r="18" customFormat="false" ht="21" hidden="false" customHeight="true" outlineLevel="0" collapsed="false">
      <c r="A18" s="91" t="str">
        <f aca="false">IF(名簿!$D18="","",名簿!$B18&amp;"")</f>
        <v/>
      </c>
      <c r="B18" s="91" t="str">
        <f aca="false">IF(名簿!$D18="","",名簿!$C18)</f>
        <v/>
      </c>
      <c r="C18" s="59" t="str">
        <f aca="false">IF(名簿!$D18="","",名簿!$D18&amp;IF(名簿!$F18="転出","（転出）",""))</f>
        <v/>
      </c>
      <c r="D18" s="149"/>
      <c r="E18" s="61" t="str">
        <f aca="false">IF(OR($C18="",名簿!$F18="転出"),"",IF($C$2="学級ごと",$A18,IF($C$2="前の単元と同じ",単元02!$E18&amp;"",$D18&amp;"")))</f>
        <v/>
      </c>
      <c r="F18" s="150"/>
      <c r="G18" s="150"/>
      <c r="H18" s="150"/>
      <c r="I18" s="151"/>
      <c r="J18" s="41" t="str">
        <f aca="false">IF($E18="","",$E18&amp;"|"&amp;COUNTIF($E$5:$E18,$E18))</f>
        <v/>
      </c>
      <c r="K18" s="40" t="str">
        <f aca="false">IF($I18="","",LEN($I18))</f>
        <v/>
      </c>
      <c r="L18" s="13"/>
      <c r="M18" s="13"/>
      <c r="N18" s="13"/>
      <c r="O18" s="13"/>
      <c r="P18" s="152"/>
      <c r="Q18" s="149"/>
      <c r="R18" s="152"/>
      <c r="S18" s="152"/>
      <c r="T18" s="62" t="str">
        <f aca="false">IF(OR($C18="",R18=""),"",IF(R18/IF($R$2="",100,$R$2)&gt;=設定!$I$28,設定!$G$8,IF(R18/IF($R$2="",100,$R$2)&lt;設定!$I$29,設定!$G$10,設定!$G$9)))</f>
        <v/>
      </c>
      <c r="U18" s="62" t="str">
        <f aca="false">IF(OR($C18="",S18=""),"",IF(S18/IF($S$2="",100,$S$2)&gt;=設定!$I$28,設定!$G$8,IF(S18/IF($S$2="",100,$S$2)&lt;設定!$I$29,設定!$G$10,設定!$G$9)))</f>
        <v/>
      </c>
    </row>
    <row r="19" customFormat="false" ht="21" hidden="false" customHeight="true" outlineLevel="0" collapsed="false">
      <c r="A19" s="91" t="str">
        <f aca="false">IF(名簿!$D19="","",名簿!$B19&amp;"")</f>
        <v/>
      </c>
      <c r="B19" s="91" t="str">
        <f aca="false">IF(名簿!$D19="","",名簿!$C19)</f>
        <v/>
      </c>
      <c r="C19" s="59" t="str">
        <f aca="false">IF(名簿!$D19="","",名簿!$D19&amp;IF(名簿!$F19="転出","（転出）",""))</f>
        <v/>
      </c>
      <c r="D19" s="149"/>
      <c r="E19" s="61" t="str">
        <f aca="false">IF(OR($C19="",名簿!$F19="転出"),"",IF($C$2="学級ごと",$A19,IF($C$2="前の単元と同じ",単元02!$E19&amp;"",$D19&amp;"")))</f>
        <v/>
      </c>
      <c r="F19" s="150"/>
      <c r="G19" s="150"/>
      <c r="H19" s="150"/>
      <c r="I19" s="151"/>
      <c r="J19" s="41" t="str">
        <f aca="false">IF($E19="","",$E19&amp;"|"&amp;COUNTIF($E$5:$E19,$E19))</f>
        <v/>
      </c>
      <c r="K19" s="40" t="str">
        <f aca="false">IF($I19="","",LEN($I19))</f>
        <v/>
      </c>
      <c r="L19" s="13"/>
      <c r="M19" s="13"/>
      <c r="N19" s="13"/>
      <c r="O19" s="13"/>
      <c r="P19" s="152"/>
      <c r="Q19" s="149"/>
      <c r="R19" s="152"/>
      <c r="S19" s="152"/>
      <c r="T19" s="62" t="str">
        <f aca="false">IF(OR($C19="",R19=""),"",IF(R19/IF($R$2="",100,$R$2)&gt;=設定!$I$28,設定!$G$8,IF(R19/IF($R$2="",100,$R$2)&lt;設定!$I$29,設定!$G$10,設定!$G$9)))</f>
        <v/>
      </c>
      <c r="U19" s="62" t="str">
        <f aca="false">IF(OR($C19="",S19=""),"",IF(S19/IF($S$2="",100,$S$2)&gt;=設定!$I$28,設定!$G$8,IF(S19/IF($S$2="",100,$S$2)&lt;設定!$I$29,設定!$G$10,設定!$G$9)))</f>
        <v/>
      </c>
    </row>
    <row r="20" customFormat="false" ht="21" hidden="false" customHeight="true" outlineLevel="0" collapsed="false">
      <c r="A20" s="91" t="str">
        <f aca="false">IF(名簿!$D20="","",名簿!$B20&amp;"")</f>
        <v/>
      </c>
      <c r="B20" s="91" t="str">
        <f aca="false">IF(名簿!$D20="","",名簿!$C20)</f>
        <v/>
      </c>
      <c r="C20" s="59" t="str">
        <f aca="false">IF(名簿!$D20="","",名簿!$D20&amp;IF(名簿!$F20="転出","（転出）",""))</f>
        <v/>
      </c>
      <c r="D20" s="149"/>
      <c r="E20" s="61" t="str">
        <f aca="false">IF(OR($C20="",名簿!$F20="転出"),"",IF($C$2="学級ごと",$A20,IF($C$2="前の単元と同じ",単元02!$E20&amp;"",$D20&amp;"")))</f>
        <v/>
      </c>
      <c r="F20" s="150"/>
      <c r="G20" s="150"/>
      <c r="H20" s="150"/>
      <c r="I20" s="151"/>
      <c r="J20" s="41" t="str">
        <f aca="false">IF($E20="","",$E20&amp;"|"&amp;COUNTIF($E$5:$E20,$E20))</f>
        <v/>
      </c>
      <c r="K20" s="40" t="str">
        <f aca="false">IF($I20="","",LEN($I20))</f>
        <v/>
      </c>
      <c r="L20" s="13"/>
      <c r="M20" s="13"/>
      <c r="N20" s="13"/>
      <c r="O20" s="13"/>
      <c r="P20" s="152"/>
      <c r="Q20" s="149"/>
      <c r="R20" s="152"/>
      <c r="S20" s="152"/>
      <c r="T20" s="62" t="str">
        <f aca="false">IF(OR($C20="",R20=""),"",IF(R20/IF($R$2="",100,$R$2)&gt;=設定!$I$28,設定!$G$8,IF(R20/IF($R$2="",100,$R$2)&lt;設定!$I$29,設定!$G$10,設定!$G$9)))</f>
        <v/>
      </c>
      <c r="U20" s="62" t="str">
        <f aca="false">IF(OR($C20="",S20=""),"",IF(S20/IF($S$2="",100,$S$2)&gt;=設定!$I$28,設定!$G$8,IF(S20/IF($S$2="",100,$S$2)&lt;設定!$I$29,設定!$G$10,設定!$G$9)))</f>
        <v/>
      </c>
    </row>
    <row r="21" customFormat="false" ht="21" hidden="false" customHeight="true" outlineLevel="0" collapsed="false">
      <c r="A21" s="91" t="str">
        <f aca="false">IF(名簿!$D21="","",名簿!$B21&amp;"")</f>
        <v/>
      </c>
      <c r="B21" s="91" t="str">
        <f aca="false">IF(名簿!$D21="","",名簿!$C21)</f>
        <v/>
      </c>
      <c r="C21" s="59" t="str">
        <f aca="false">IF(名簿!$D21="","",名簿!$D21&amp;IF(名簿!$F21="転出","（転出）",""))</f>
        <v/>
      </c>
      <c r="D21" s="149"/>
      <c r="E21" s="61" t="str">
        <f aca="false">IF(OR($C21="",名簿!$F21="転出"),"",IF($C$2="学級ごと",$A21,IF($C$2="前の単元と同じ",単元02!$E21&amp;"",$D21&amp;"")))</f>
        <v/>
      </c>
      <c r="F21" s="150"/>
      <c r="G21" s="150"/>
      <c r="H21" s="150"/>
      <c r="I21" s="151"/>
      <c r="J21" s="41" t="str">
        <f aca="false">IF($E21="","",$E21&amp;"|"&amp;COUNTIF($E$5:$E21,$E21))</f>
        <v/>
      </c>
      <c r="K21" s="40" t="str">
        <f aca="false">IF($I21="","",LEN($I21))</f>
        <v/>
      </c>
      <c r="L21" s="13"/>
      <c r="M21" s="13"/>
      <c r="N21" s="13"/>
      <c r="O21" s="13"/>
      <c r="P21" s="152"/>
      <c r="Q21" s="149"/>
      <c r="R21" s="152"/>
      <c r="S21" s="152"/>
      <c r="T21" s="62" t="str">
        <f aca="false">IF(OR($C21="",R21=""),"",IF(R21/IF($R$2="",100,$R$2)&gt;=設定!$I$28,設定!$G$8,IF(R21/IF($R$2="",100,$R$2)&lt;設定!$I$29,設定!$G$10,設定!$G$9)))</f>
        <v/>
      </c>
      <c r="U21" s="62" t="str">
        <f aca="false">IF(OR($C21="",S21=""),"",IF(S21/IF($S$2="",100,$S$2)&gt;=設定!$I$28,設定!$G$8,IF(S21/IF($S$2="",100,$S$2)&lt;設定!$I$29,設定!$G$10,設定!$G$9)))</f>
        <v/>
      </c>
    </row>
    <row r="22" customFormat="false" ht="21" hidden="false" customHeight="true" outlineLevel="0" collapsed="false">
      <c r="A22" s="91" t="str">
        <f aca="false">IF(名簿!$D22="","",名簿!$B22&amp;"")</f>
        <v/>
      </c>
      <c r="B22" s="91" t="str">
        <f aca="false">IF(名簿!$D22="","",名簿!$C22)</f>
        <v/>
      </c>
      <c r="C22" s="59" t="str">
        <f aca="false">IF(名簿!$D22="","",名簿!$D22&amp;IF(名簿!$F22="転出","（転出）",""))</f>
        <v/>
      </c>
      <c r="D22" s="149"/>
      <c r="E22" s="61" t="str">
        <f aca="false">IF(OR($C22="",名簿!$F22="転出"),"",IF($C$2="学級ごと",$A22,IF($C$2="前の単元と同じ",単元02!$E22&amp;"",$D22&amp;"")))</f>
        <v/>
      </c>
      <c r="F22" s="150"/>
      <c r="G22" s="150"/>
      <c r="H22" s="150"/>
      <c r="I22" s="151"/>
      <c r="J22" s="41" t="str">
        <f aca="false">IF($E22="","",$E22&amp;"|"&amp;COUNTIF($E$5:$E22,$E22))</f>
        <v/>
      </c>
      <c r="K22" s="40" t="str">
        <f aca="false">IF($I22="","",LEN($I22))</f>
        <v/>
      </c>
      <c r="L22" s="13"/>
      <c r="M22" s="13"/>
      <c r="N22" s="13"/>
      <c r="O22" s="13"/>
      <c r="P22" s="152"/>
      <c r="Q22" s="149"/>
      <c r="R22" s="152"/>
      <c r="S22" s="152"/>
      <c r="T22" s="62" t="str">
        <f aca="false">IF(OR($C22="",R22=""),"",IF(R22/IF($R$2="",100,$R$2)&gt;=設定!$I$28,設定!$G$8,IF(R22/IF($R$2="",100,$R$2)&lt;設定!$I$29,設定!$G$10,設定!$G$9)))</f>
        <v/>
      </c>
      <c r="U22" s="62" t="str">
        <f aca="false">IF(OR($C22="",S22=""),"",IF(S22/IF($S$2="",100,$S$2)&gt;=設定!$I$28,設定!$G$8,IF(S22/IF($S$2="",100,$S$2)&lt;設定!$I$29,設定!$G$10,設定!$G$9)))</f>
        <v/>
      </c>
    </row>
    <row r="23" customFormat="false" ht="21" hidden="false" customHeight="true" outlineLevel="0" collapsed="false">
      <c r="A23" s="91" t="str">
        <f aca="false">IF(名簿!$D23="","",名簿!$B23&amp;"")</f>
        <v/>
      </c>
      <c r="B23" s="91" t="str">
        <f aca="false">IF(名簿!$D23="","",名簿!$C23)</f>
        <v/>
      </c>
      <c r="C23" s="59" t="str">
        <f aca="false">IF(名簿!$D23="","",名簿!$D23&amp;IF(名簿!$F23="転出","（転出）",""))</f>
        <v/>
      </c>
      <c r="D23" s="149"/>
      <c r="E23" s="61" t="str">
        <f aca="false">IF(OR($C23="",名簿!$F23="転出"),"",IF($C$2="学級ごと",$A23,IF($C$2="前の単元と同じ",単元02!$E23&amp;"",$D23&amp;"")))</f>
        <v/>
      </c>
      <c r="F23" s="150"/>
      <c r="G23" s="150"/>
      <c r="H23" s="150"/>
      <c r="I23" s="151"/>
      <c r="J23" s="41" t="str">
        <f aca="false">IF($E23="","",$E23&amp;"|"&amp;COUNTIF($E$5:$E23,$E23))</f>
        <v/>
      </c>
      <c r="K23" s="40" t="str">
        <f aca="false">IF($I23="","",LEN($I23))</f>
        <v/>
      </c>
      <c r="L23" s="13"/>
      <c r="M23" s="13"/>
      <c r="N23" s="13"/>
      <c r="O23" s="13"/>
      <c r="P23" s="152"/>
      <c r="Q23" s="149"/>
      <c r="R23" s="152"/>
      <c r="S23" s="152"/>
      <c r="T23" s="62" t="str">
        <f aca="false">IF(OR($C23="",R23=""),"",IF(R23/IF($R$2="",100,$R$2)&gt;=設定!$I$28,設定!$G$8,IF(R23/IF($R$2="",100,$R$2)&lt;設定!$I$29,設定!$G$10,設定!$G$9)))</f>
        <v/>
      </c>
      <c r="U23" s="62" t="str">
        <f aca="false">IF(OR($C23="",S23=""),"",IF(S23/IF($S$2="",100,$S$2)&gt;=設定!$I$28,設定!$G$8,IF(S23/IF($S$2="",100,$S$2)&lt;設定!$I$29,設定!$G$10,設定!$G$9)))</f>
        <v/>
      </c>
    </row>
    <row r="24" customFormat="false" ht="21" hidden="false" customHeight="true" outlineLevel="0" collapsed="false">
      <c r="A24" s="91" t="str">
        <f aca="false">IF(名簿!$D24="","",名簿!$B24&amp;"")</f>
        <v/>
      </c>
      <c r="B24" s="91" t="str">
        <f aca="false">IF(名簿!$D24="","",名簿!$C24)</f>
        <v/>
      </c>
      <c r="C24" s="59" t="str">
        <f aca="false">IF(名簿!$D24="","",名簿!$D24&amp;IF(名簿!$F24="転出","（転出）",""))</f>
        <v/>
      </c>
      <c r="D24" s="149"/>
      <c r="E24" s="61" t="str">
        <f aca="false">IF(OR($C24="",名簿!$F24="転出"),"",IF($C$2="学級ごと",$A24,IF($C$2="前の単元と同じ",単元02!$E24&amp;"",$D24&amp;"")))</f>
        <v/>
      </c>
      <c r="F24" s="150"/>
      <c r="G24" s="150"/>
      <c r="H24" s="150"/>
      <c r="I24" s="151"/>
      <c r="J24" s="41" t="str">
        <f aca="false">IF($E24="","",$E24&amp;"|"&amp;COUNTIF($E$5:$E24,$E24))</f>
        <v/>
      </c>
      <c r="K24" s="40" t="str">
        <f aca="false">IF($I24="","",LEN($I24))</f>
        <v/>
      </c>
      <c r="L24" s="13"/>
      <c r="M24" s="13"/>
      <c r="N24" s="13"/>
      <c r="O24" s="13"/>
      <c r="P24" s="152"/>
      <c r="Q24" s="149"/>
      <c r="R24" s="152"/>
      <c r="S24" s="152"/>
      <c r="T24" s="62" t="str">
        <f aca="false">IF(OR($C24="",R24=""),"",IF(R24/IF($R$2="",100,$R$2)&gt;=設定!$I$28,設定!$G$8,IF(R24/IF($R$2="",100,$R$2)&lt;設定!$I$29,設定!$G$10,設定!$G$9)))</f>
        <v/>
      </c>
      <c r="U24" s="62" t="str">
        <f aca="false">IF(OR($C24="",S24=""),"",IF(S24/IF($S$2="",100,$S$2)&gt;=設定!$I$28,設定!$G$8,IF(S24/IF($S$2="",100,$S$2)&lt;設定!$I$29,設定!$G$10,設定!$G$9)))</f>
        <v/>
      </c>
    </row>
    <row r="25" customFormat="false" ht="21" hidden="false" customHeight="true" outlineLevel="0" collapsed="false">
      <c r="A25" s="91" t="str">
        <f aca="false">IF(名簿!$D25="","",名簿!$B25&amp;"")</f>
        <v/>
      </c>
      <c r="B25" s="91" t="str">
        <f aca="false">IF(名簿!$D25="","",名簿!$C25)</f>
        <v/>
      </c>
      <c r="C25" s="59" t="str">
        <f aca="false">IF(名簿!$D25="","",名簿!$D25&amp;IF(名簿!$F25="転出","（転出）",""))</f>
        <v/>
      </c>
      <c r="D25" s="149"/>
      <c r="E25" s="61" t="str">
        <f aca="false">IF(OR($C25="",名簿!$F25="転出"),"",IF($C$2="学級ごと",$A25,IF($C$2="前の単元と同じ",単元02!$E25&amp;"",$D25&amp;"")))</f>
        <v/>
      </c>
      <c r="F25" s="150"/>
      <c r="G25" s="150"/>
      <c r="H25" s="150"/>
      <c r="I25" s="151"/>
      <c r="J25" s="41" t="str">
        <f aca="false">IF($E25="","",$E25&amp;"|"&amp;COUNTIF($E$5:$E25,$E25))</f>
        <v/>
      </c>
      <c r="K25" s="40" t="str">
        <f aca="false">IF($I25="","",LEN($I25))</f>
        <v/>
      </c>
      <c r="L25" s="13"/>
      <c r="M25" s="13"/>
      <c r="N25" s="13"/>
      <c r="O25" s="13"/>
      <c r="P25" s="152"/>
      <c r="Q25" s="149"/>
      <c r="R25" s="152"/>
      <c r="S25" s="152"/>
      <c r="T25" s="62" t="str">
        <f aca="false">IF(OR($C25="",R25=""),"",IF(R25/IF($R$2="",100,$R$2)&gt;=設定!$I$28,設定!$G$8,IF(R25/IF($R$2="",100,$R$2)&lt;設定!$I$29,設定!$G$10,設定!$G$9)))</f>
        <v/>
      </c>
      <c r="U25" s="62" t="str">
        <f aca="false">IF(OR($C25="",S25=""),"",IF(S25/IF($S$2="",100,$S$2)&gt;=設定!$I$28,設定!$G$8,IF(S25/IF($S$2="",100,$S$2)&lt;設定!$I$29,設定!$G$10,設定!$G$9)))</f>
        <v/>
      </c>
    </row>
    <row r="26" customFormat="false" ht="21" hidden="false" customHeight="true" outlineLevel="0" collapsed="false">
      <c r="A26" s="91" t="str">
        <f aca="false">IF(名簿!$D26="","",名簿!$B26&amp;"")</f>
        <v/>
      </c>
      <c r="B26" s="91" t="str">
        <f aca="false">IF(名簿!$D26="","",名簿!$C26)</f>
        <v/>
      </c>
      <c r="C26" s="59" t="str">
        <f aca="false">IF(名簿!$D26="","",名簿!$D26&amp;IF(名簿!$F26="転出","（転出）",""))</f>
        <v/>
      </c>
      <c r="D26" s="149"/>
      <c r="E26" s="61" t="str">
        <f aca="false">IF(OR($C26="",名簿!$F26="転出"),"",IF($C$2="学級ごと",$A26,IF($C$2="前の単元と同じ",単元02!$E26&amp;"",$D26&amp;"")))</f>
        <v/>
      </c>
      <c r="F26" s="150"/>
      <c r="G26" s="150"/>
      <c r="H26" s="150"/>
      <c r="I26" s="151"/>
      <c r="J26" s="41" t="str">
        <f aca="false">IF($E26="","",$E26&amp;"|"&amp;COUNTIF($E$5:$E26,$E26))</f>
        <v/>
      </c>
      <c r="K26" s="40" t="str">
        <f aca="false">IF($I26="","",LEN($I26))</f>
        <v/>
      </c>
      <c r="L26" s="13"/>
      <c r="M26" s="13"/>
      <c r="N26" s="13"/>
      <c r="O26" s="13"/>
      <c r="P26" s="152"/>
      <c r="Q26" s="149"/>
      <c r="R26" s="152"/>
      <c r="S26" s="152"/>
      <c r="T26" s="62" t="str">
        <f aca="false">IF(OR($C26="",R26=""),"",IF(R26/IF($R$2="",100,$R$2)&gt;=設定!$I$28,設定!$G$8,IF(R26/IF($R$2="",100,$R$2)&lt;設定!$I$29,設定!$G$10,設定!$G$9)))</f>
        <v/>
      </c>
      <c r="U26" s="62" t="str">
        <f aca="false">IF(OR($C26="",S26=""),"",IF(S26/IF($S$2="",100,$S$2)&gt;=設定!$I$28,設定!$G$8,IF(S26/IF($S$2="",100,$S$2)&lt;設定!$I$29,設定!$G$10,設定!$G$9)))</f>
        <v/>
      </c>
    </row>
    <row r="27" customFormat="false" ht="21" hidden="false" customHeight="true" outlineLevel="0" collapsed="false">
      <c r="A27" s="91" t="str">
        <f aca="false">IF(名簿!$D27="","",名簿!$B27&amp;"")</f>
        <v/>
      </c>
      <c r="B27" s="91" t="str">
        <f aca="false">IF(名簿!$D27="","",名簿!$C27)</f>
        <v/>
      </c>
      <c r="C27" s="59" t="str">
        <f aca="false">IF(名簿!$D27="","",名簿!$D27&amp;IF(名簿!$F27="転出","（転出）",""))</f>
        <v/>
      </c>
      <c r="D27" s="149"/>
      <c r="E27" s="61" t="str">
        <f aca="false">IF(OR($C27="",名簿!$F27="転出"),"",IF($C$2="学級ごと",$A27,IF($C$2="前の単元と同じ",単元02!$E27&amp;"",$D27&amp;"")))</f>
        <v/>
      </c>
      <c r="F27" s="150"/>
      <c r="G27" s="150"/>
      <c r="H27" s="150"/>
      <c r="I27" s="151"/>
      <c r="J27" s="41" t="str">
        <f aca="false">IF($E27="","",$E27&amp;"|"&amp;COUNTIF($E$5:$E27,$E27))</f>
        <v/>
      </c>
      <c r="K27" s="40" t="str">
        <f aca="false">IF($I27="","",LEN($I27))</f>
        <v/>
      </c>
      <c r="L27" s="13"/>
      <c r="M27" s="13"/>
      <c r="N27" s="13"/>
      <c r="O27" s="13"/>
      <c r="P27" s="152"/>
      <c r="Q27" s="149"/>
      <c r="R27" s="152"/>
      <c r="S27" s="152"/>
      <c r="T27" s="62" t="str">
        <f aca="false">IF(OR($C27="",R27=""),"",IF(R27/IF($R$2="",100,$R$2)&gt;=設定!$I$28,設定!$G$8,IF(R27/IF($R$2="",100,$R$2)&lt;設定!$I$29,設定!$G$10,設定!$G$9)))</f>
        <v/>
      </c>
      <c r="U27" s="62" t="str">
        <f aca="false">IF(OR($C27="",S27=""),"",IF(S27/IF($S$2="",100,$S$2)&gt;=設定!$I$28,設定!$G$8,IF(S27/IF($S$2="",100,$S$2)&lt;設定!$I$29,設定!$G$10,設定!$G$9)))</f>
        <v/>
      </c>
    </row>
    <row r="28" customFormat="false" ht="21" hidden="false" customHeight="true" outlineLevel="0" collapsed="false">
      <c r="A28" s="91" t="str">
        <f aca="false">IF(名簿!$D28="","",名簿!$B28&amp;"")</f>
        <v/>
      </c>
      <c r="B28" s="91" t="str">
        <f aca="false">IF(名簿!$D28="","",名簿!$C28)</f>
        <v/>
      </c>
      <c r="C28" s="59" t="str">
        <f aca="false">IF(名簿!$D28="","",名簿!$D28&amp;IF(名簿!$F28="転出","（転出）",""))</f>
        <v/>
      </c>
      <c r="D28" s="149"/>
      <c r="E28" s="61" t="str">
        <f aca="false">IF(OR($C28="",名簿!$F28="転出"),"",IF($C$2="学級ごと",$A28,IF($C$2="前の単元と同じ",単元02!$E28&amp;"",$D28&amp;"")))</f>
        <v/>
      </c>
      <c r="F28" s="150"/>
      <c r="G28" s="150"/>
      <c r="H28" s="150"/>
      <c r="I28" s="151"/>
      <c r="J28" s="41" t="str">
        <f aca="false">IF($E28="","",$E28&amp;"|"&amp;COUNTIF($E$5:$E28,$E28))</f>
        <v/>
      </c>
      <c r="K28" s="40" t="str">
        <f aca="false">IF($I28="","",LEN($I28))</f>
        <v/>
      </c>
      <c r="L28" s="13"/>
      <c r="M28" s="13"/>
      <c r="N28" s="13"/>
      <c r="O28" s="13"/>
      <c r="P28" s="152"/>
      <c r="Q28" s="149"/>
      <c r="R28" s="152"/>
      <c r="S28" s="152"/>
      <c r="T28" s="62" t="str">
        <f aca="false">IF(OR($C28="",R28=""),"",IF(R28/IF($R$2="",100,$R$2)&gt;=設定!$I$28,設定!$G$8,IF(R28/IF($R$2="",100,$R$2)&lt;設定!$I$29,設定!$G$10,設定!$G$9)))</f>
        <v/>
      </c>
      <c r="U28" s="62" t="str">
        <f aca="false">IF(OR($C28="",S28=""),"",IF(S28/IF($S$2="",100,$S$2)&gt;=設定!$I$28,設定!$G$8,IF(S28/IF($S$2="",100,$S$2)&lt;設定!$I$29,設定!$G$10,設定!$G$9)))</f>
        <v/>
      </c>
    </row>
    <row r="29" customFormat="false" ht="21" hidden="false" customHeight="true" outlineLevel="0" collapsed="false">
      <c r="A29" s="91" t="str">
        <f aca="false">IF(名簿!$D29="","",名簿!$B29&amp;"")</f>
        <v/>
      </c>
      <c r="B29" s="91" t="str">
        <f aca="false">IF(名簿!$D29="","",名簿!$C29)</f>
        <v/>
      </c>
      <c r="C29" s="59" t="str">
        <f aca="false">IF(名簿!$D29="","",名簿!$D29&amp;IF(名簿!$F29="転出","（転出）",""))</f>
        <v/>
      </c>
      <c r="D29" s="149"/>
      <c r="E29" s="61" t="str">
        <f aca="false">IF(OR($C29="",名簿!$F29="転出"),"",IF($C$2="学級ごと",$A29,IF($C$2="前の単元と同じ",単元02!$E29&amp;"",$D29&amp;"")))</f>
        <v/>
      </c>
      <c r="F29" s="150"/>
      <c r="G29" s="150"/>
      <c r="H29" s="150"/>
      <c r="I29" s="151"/>
      <c r="J29" s="41" t="str">
        <f aca="false">IF($E29="","",$E29&amp;"|"&amp;COUNTIF($E$5:$E29,$E29))</f>
        <v/>
      </c>
      <c r="K29" s="40" t="str">
        <f aca="false">IF($I29="","",LEN($I29))</f>
        <v/>
      </c>
      <c r="L29" s="13"/>
      <c r="M29" s="13"/>
      <c r="N29" s="13"/>
      <c r="O29" s="13"/>
      <c r="P29" s="152"/>
      <c r="Q29" s="149"/>
      <c r="R29" s="152"/>
      <c r="S29" s="152"/>
      <c r="T29" s="62" t="str">
        <f aca="false">IF(OR($C29="",R29=""),"",IF(R29/IF($R$2="",100,$R$2)&gt;=設定!$I$28,設定!$G$8,IF(R29/IF($R$2="",100,$R$2)&lt;設定!$I$29,設定!$G$10,設定!$G$9)))</f>
        <v/>
      </c>
      <c r="U29" s="62" t="str">
        <f aca="false">IF(OR($C29="",S29=""),"",IF(S29/IF($S$2="",100,$S$2)&gt;=設定!$I$28,設定!$G$8,IF(S29/IF($S$2="",100,$S$2)&lt;設定!$I$29,設定!$G$10,設定!$G$9)))</f>
        <v/>
      </c>
    </row>
    <row r="30" customFormat="false" ht="21" hidden="false" customHeight="true" outlineLevel="0" collapsed="false">
      <c r="A30" s="91" t="str">
        <f aca="false">IF(名簿!$D30="","",名簿!$B30&amp;"")</f>
        <v/>
      </c>
      <c r="B30" s="91" t="str">
        <f aca="false">IF(名簿!$D30="","",名簿!$C30)</f>
        <v/>
      </c>
      <c r="C30" s="59" t="str">
        <f aca="false">IF(名簿!$D30="","",名簿!$D30&amp;IF(名簿!$F30="転出","（転出）",""))</f>
        <v/>
      </c>
      <c r="D30" s="149"/>
      <c r="E30" s="61" t="str">
        <f aca="false">IF(OR($C30="",名簿!$F30="転出"),"",IF($C$2="学級ごと",$A30,IF($C$2="前の単元と同じ",単元02!$E30&amp;"",$D30&amp;"")))</f>
        <v/>
      </c>
      <c r="F30" s="150"/>
      <c r="G30" s="150"/>
      <c r="H30" s="150"/>
      <c r="I30" s="151"/>
      <c r="J30" s="41" t="str">
        <f aca="false">IF($E30="","",$E30&amp;"|"&amp;COUNTIF($E$5:$E30,$E30))</f>
        <v/>
      </c>
      <c r="K30" s="40" t="str">
        <f aca="false">IF($I30="","",LEN($I30))</f>
        <v/>
      </c>
      <c r="L30" s="13"/>
      <c r="M30" s="13"/>
      <c r="N30" s="13"/>
      <c r="O30" s="13"/>
      <c r="P30" s="152"/>
      <c r="Q30" s="149"/>
      <c r="R30" s="152"/>
      <c r="S30" s="152"/>
      <c r="T30" s="62" t="str">
        <f aca="false">IF(OR($C30="",R30=""),"",IF(R30/IF($R$2="",100,$R$2)&gt;=設定!$I$28,設定!$G$8,IF(R30/IF($R$2="",100,$R$2)&lt;設定!$I$29,設定!$G$10,設定!$G$9)))</f>
        <v/>
      </c>
      <c r="U30" s="62" t="str">
        <f aca="false">IF(OR($C30="",S30=""),"",IF(S30/IF($S$2="",100,$S$2)&gt;=設定!$I$28,設定!$G$8,IF(S30/IF($S$2="",100,$S$2)&lt;設定!$I$29,設定!$G$10,設定!$G$9)))</f>
        <v/>
      </c>
    </row>
    <row r="31" customFormat="false" ht="21" hidden="false" customHeight="true" outlineLevel="0" collapsed="false">
      <c r="A31" s="91" t="str">
        <f aca="false">IF(名簿!$D31="","",名簿!$B31&amp;"")</f>
        <v/>
      </c>
      <c r="B31" s="91" t="str">
        <f aca="false">IF(名簿!$D31="","",名簿!$C31)</f>
        <v/>
      </c>
      <c r="C31" s="59" t="str">
        <f aca="false">IF(名簿!$D31="","",名簿!$D31&amp;IF(名簿!$F31="転出","（転出）",""))</f>
        <v/>
      </c>
      <c r="D31" s="149"/>
      <c r="E31" s="61" t="str">
        <f aca="false">IF(OR($C31="",名簿!$F31="転出"),"",IF($C$2="学級ごと",$A31,IF($C$2="前の単元と同じ",単元02!$E31&amp;"",$D31&amp;"")))</f>
        <v/>
      </c>
      <c r="F31" s="150"/>
      <c r="G31" s="150"/>
      <c r="H31" s="150"/>
      <c r="I31" s="151"/>
      <c r="J31" s="41" t="str">
        <f aca="false">IF($E31="","",$E31&amp;"|"&amp;COUNTIF($E$5:$E31,$E31))</f>
        <v/>
      </c>
      <c r="K31" s="40" t="str">
        <f aca="false">IF($I31="","",LEN($I31))</f>
        <v/>
      </c>
      <c r="L31" s="13"/>
      <c r="M31" s="13"/>
      <c r="N31" s="13"/>
      <c r="O31" s="13"/>
      <c r="P31" s="152"/>
      <c r="Q31" s="149"/>
      <c r="R31" s="152"/>
      <c r="S31" s="152"/>
      <c r="T31" s="62" t="str">
        <f aca="false">IF(OR($C31="",R31=""),"",IF(R31/IF($R$2="",100,$R$2)&gt;=設定!$I$28,設定!$G$8,IF(R31/IF($R$2="",100,$R$2)&lt;設定!$I$29,設定!$G$10,設定!$G$9)))</f>
        <v/>
      </c>
      <c r="U31" s="62" t="str">
        <f aca="false">IF(OR($C31="",S31=""),"",IF(S31/IF($S$2="",100,$S$2)&gt;=設定!$I$28,設定!$G$8,IF(S31/IF($S$2="",100,$S$2)&lt;設定!$I$29,設定!$G$10,設定!$G$9)))</f>
        <v/>
      </c>
    </row>
    <row r="32" customFormat="false" ht="21" hidden="false" customHeight="true" outlineLevel="0" collapsed="false">
      <c r="A32" s="91" t="str">
        <f aca="false">IF(名簿!$D32="","",名簿!$B32&amp;"")</f>
        <v/>
      </c>
      <c r="B32" s="91" t="str">
        <f aca="false">IF(名簿!$D32="","",名簿!$C32)</f>
        <v/>
      </c>
      <c r="C32" s="59" t="str">
        <f aca="false">IF(名簿!$D32="","",名簿!$D32&amp;IF(名簿!$F32="転出","（転出）",""))</f>
        <v/>
      </c>
      <c r="D32" s="149"/>
      <c r="E32" s="61" t="str">
        <f aca="false">IF(OR($C32="",名簿!$F32="転出"),"",IF($C$2="学級ごと",$A32,IF($C$2="前の単元と同じ",単元02!$E32&amp;"",$D32&amp;"")))</f>
        <v/>
      </c>
      <c r="F32" s="150"/>
      <c r="G32" s="150"/>
      <c r="H32" s="150"/>
      <c r="I32" s="151"/>
      <c r="J32" s="41" t="str">
        <f aca="false">IF($E32="","",$E32&amp;"|"&amp;COUNTIF($E$5:$E32,$E32))</f>
        <v/>
      </c>
      <c r="K32" s="40" t="str">
        <f aca="false">IF($I32="","",LEN($I32))</f>
        <v/>
      </c>
      <c r="L32" s="13"/>
      <c r="M32" s="13"/>
      <c r="N32" s="13"/>
      <c r="O32" s="13"/>
      <c r="P32" s="152"/>
      <c r="Q32" s="149"/>
      <c r="R32" s="152"/>
      <c r="S32" s="152"/>
      <c r="T32" s="62" t="str">
        <f aca="false">IF(OR($C32="",R32=""),"",IF(R32/IF($R$2="",100,$R$2)&gt;=設定!$I$28,設定!$G$8,IF(R32/IF($R$2="",100,$R$2)&lt;設定!$I$29,設定!$G$10,設定!$G$9)))</f>
        <v/>
      </c>
      <c r="U32" s="62" t="str">
        <f aca="false">IF(OR($C32="",S32=""),"",IF(S32/IF($S$2="",100,$S$2)&gt;=設定!$I$28,設定!$G$8,IF(S32/IF($S$2="",100,$S$2)&lt;設定!$I$29,設定!$G$10,設定!$G$9)))</f>
        <v/>
      </c>
    </row>
    <row r="33" customFormat="false" ht="21" hidden="false" customHeight="true" outlineLevel="0" collapsed="false">
      <c r="A33" s="91" t="str">
        <f aca="false">IF(名簿!$D33="","",名簿!$B33&amp;"")</f>
        <v/>
      </c>
      <c r="B33" s="91" t="str">
        <f aca="false">IF(名簿!$D33="","",名簿!$C33)</f>
        <v/>
      </c>
      <c r="C33" s="59" t="str">
        <f aca="false">IF(名簿!$D33="","",名簿!$D33&amp;IF(名簿!$F33="転出","（転出）",""))</f>
        <v/>
      </c>
      <c r="D33" s="149"/>
      <c r="E33" s="61" t="str">
        <f aca="false">IF(OR($C33="",名簿!$F33="転出"),"",IF($C$2="学級ごと",$A33,IF($C$2="前の単元と同じ",単元02!$E33&amp;"",$D33&amp;"")))</f>
        <v/>
      </c>
      <c r="F33" s="150"/>
      <c r="G33" s="150"/>
      <c r="H33" s="150"/>
      <c r="I33" s="151"/>
      <c r="J33" s="41" t="str">
        <f aca="false">IF($E33="","",$E33&amp;"|"&amp;COUNTIF($E$5:$E33,$E33))</f>
        <v/>
      </c>
      <c r="K33" s="40" t="str">
        <f aca="false">IF($I33="","",LEN($I33))</f>
        <v/>
      </c>
      <c r="L33" s="13"/>
      <c r="M33" s="13"/>
      <c r="N33" s="13"/>
      <c r="O33" s="13"/>
      <c r="P33" s="152"/>
      <c r="Q33" s="149"/>
      <c r="R33" s="152"/>
      <c r="S33" s="152"/>
      <c r="T33" s="62" t="str">
        <f aca="false">IF(OR($C33="",R33=""),"",IF(R33/IF($R$2="",100,$R$2)&gt;=設定!$I$28,設定!$G$8,IF(R33/IF($R$2="",100,$R$2)&lt;設定!$I$29,設定!$G$10,設定!$G$9)))</f>
        <v/>
      </c>
      <c r="U33" s="62" t="str">
        <f aca="false">IF(OR($C33="",S33=""),"",IF(S33/IF($S$2="",100,$S$2)&gt;=設定!$I$28,設定!$G$8,IF(S33/IF($S$2="",100,$S$2)&lt;設定!$I$29,設定!$G$10,設定!$G$9)))</f>
        <v/>
      </c>
    </row>
    <row r="34" customFormat="false" ht="21" hidden="false" customHeight="true" outlineLevel="0" collapsed="false">
      <c r="A34" s="91" t="str">
        <f aca="false">IF(名簿!$D34="","",名簿!$B34&amp;"")</f>
        <v/>
      </c>
      <c r="B34" s="91" t="str">
        <f aca="false">IF(名簿!$D34="","",名簿!$C34)</f>
        <v/>
      </c>
      <c r="C34" s="59" t="str">
        <f aca="false">IF(名簿!$D34="","",名簿!$D34&amp;IF(名簿!$F34="転出","（転出）",""))</f>
        <v/>
      </c>
      <c r="D34" s="149"/>
      <c r="E34" s="61" t="str">
        <f aca="false">IF(OR($C34="",名簿!$F34="転出"),"",IF($C$2="学級ごと",$A34,IF($C$2="前の単元と同じ",単元02!$E34&amp;"",$D34&amp;"")))</f>
        <v/>
      </c>
      <c r="F34" s="150"/>
      <c r="G34" s="150"/>
      <c r="H34" s="150"/>
      <c r="I34" s="151"/>
      <c r="J34" s="41" t="str">
        <f aca="false">IF($E34="","",$E34&amp;"|"&amp;COUNTIF($E$5:$E34,$E34))</f>
        <v/>
      </c>
      <c r="K34" s="40" t="str">
        <f aca="false">IF($I34="","",LEN($I34))</f>
        <v/>
      </c>
      <c r="L34" s="13"/>
      <c r="M34" s="13"/>
      <c r="N34" s="13"/>
      <c r="O34" s="13"/>
      <c r="P34" s="152"/>
      <c r="Q34" s="149"/>
      <c r="R34" s="152"/>
      <c r="S34" s="152"/>
      <c r="T34" s="62" t="str">
        <f aca="false">IF(OR($C34="",R34=""),"",IF(R34/IF($R$2="",100,$R$2)&gt;=設定!$I$28,設定!$G$8,IF(R34/IF($R$2="",100,$R$2)&lt;設定!$I$29,設定!$G$10,設定!$G$9)))</f>
        <v/>
      </c>
      <c r="U34" s="62" t="str">
        <f aca="false">IF(OR($C34="",S34=""),"",IF(S34/IF($S$2="",100,$S$2)&gt;=設定!$I$28,設定!$G$8,IF(S34/IF($S$2="",100,$S$2)&lt;設定!$I$29,設定!$G$10,設定!$G$9)))</f>
        <v/>
      </c>
    </row>
    <row r="35" customFormat="false" ht="21" hidden="false" customHeight="true" outlineLevel="0" collapsed="false">
      <c r="A35" s="91" t="str">
        <f aca="false">IF(名簿!$D35="","",名簿!$B35&amp;"")</f>
        <v/>
      </c>
      <c r="B35" s="91" t="str">
        <f aca="false">IF(名簿!$D35="","",名簿!$C35)</f>
        <v/>
      </c>
      <c r="C35" s="59" t="str">
        <f aca="false">IF(名簿!$D35="","",名簿!$D35&amp;IF(名簿!$F35="転出","（転出）",""))</f>
        <v/>
      </c>
      <c r="D35" s="149"/>
      <c r="E35" s="61" t="str">
        <f aca="false">IF(OR($C35="",名簿!$F35="転出"),"",IF($C$2="学級ごと",$A35,IF($C$2="前の単元と同じ",単元02!$E35&amp;"",$D35&amp;"")))</f>
        <v/>
      </c>
      <c r="F35" s="150"/>
      <c r="G35" s="150"/>
      <c r="H35" s="150"/>
      <c r="I35" s="151"/>
      <c r="J35" s="41" t="str">
        <f aca="false">IF($E35="","",$E35&amp;"|"&amp;COUNTIF($E$5:$E35,$E35))</f>
        <v/>
      </c>
      <c r="K35" s="40" t="str">
        <f aca="false">IF($I35="","",LEN($I35))</f>
        <v/>
      </c>
      <c r="L35" s="13"/>
      <c r="M35" s="13"/>
      <c r="N35" s="13"/>
      <c r="O35" s="13"/>
      <c r="P35" s="152"/>
      <c r="Q35" s="149"/>
      <c r="R35" s="152"/>
      <c r="S35" s="152"/>
      <c r="T35" s="62" t="str">
        <f aca="false">IF(OR($C35="",R35=""),"",IF(R35/IF($R$2="",100,$R$2)&gt;=設定!$I$28,設定!$G$8,IF(R35/IF($R$2="",100,$R$2)&lt;設定!$I$29,設定!$G$10,設定!$G$9)))</f>
        <v/>
      </c>
      <c r="U35" s="62" t="str">
        <f aca="false">IF(OR($C35="",S35=""),"",IF(S35/IF($S$2="",100,$S$2)&gt;=設定!$I$28,設定!$G$8,IF(S35/IF($S$2="",100,$S$2)&lt;設定!$I$29,設定!$G$10,設定!$G$9)))</f>
        <v/>
      </c>
    </row>
    <row r="36" customFormat="false" ht="21" hidden="false" customHeight="true" outlineLevel="0" collapsed="false">
      <c r="A36" s="91" t="str">
        <f aca="false">IF(名簿!$D36="","",名簿!$B36&amp;"")</f>
        <v/>
      </c>
      <c r="B36" s="91" t="str">
        <f aca="false">IF(名簿!$D36="","",名簿!$C36)</f>
        <v/>
      </c>
      <c r="C36" s="59" t="str">
        <f aca="false">IF(名簿!$D36="","",名簿!$D36&amp;IF(名簿!$F36="転出","（転出）",""))</f>
        <v/>
      </c>
      <c r="D36" s="149"/>
      <c r="E36" s="61" t="str">
        <f aca="false">IF(OR($C36="",名簿!$F36="転出"),"",IF($C$2="学級ごと",$A36,IF($C$2="前の単元と同じ",単元02!$E36&amp;"",$D36&amp;"")))</f>
        <v/>
      </c>
      <c r="F36" s="150"/>
      <c r="G36" s="150"/>
      <c r="H36" s="150"/>
      <c r="I36" s="151"/>
      <c r="J36" s="41" t="str">
        <f aca="false">IF($E36="","",$E36&amp;"|"&amp;COUNTIF($E$5:$E36,$E36))</f>
        <v/>
      </c>
      <c r="K36" s="40" t="str">
        <f aca="false">IF($I36="","",LEN($I36))</f>
        <v/>
      </c>
      <c r="L36" s="13"/>
      <c r="M36" s="13"/>
      <c r="N36" s="13"/>
      <c r="O36" s="13"/>
      <c r="P36" s="152"/>
      <c r="Q36" s="149"/>
      <c r="R36" s="152"/>
      <c r="S36" s="152"/>
      <c r="T36" s="62" t="str">
        <f aca="false">IF(OR($C36="",R36=""),"",IF(R36/IF($R$2="",100,$R$2)&gt;=設定!$I$28,設定!$G$8,IF(R36/IF($R$2="",100,$R$2)&lt;設定!$I$29,設定!$G$10,設定!$G$9)))</f>
        <v/>
      </c>
      <c r="U36" s="62" t="str">
        <f aca="false">IF(OR($C36="",S36=""),"",IF(S36/IF($S$2="",100,$S$2)&gt;=設定!$I$28,設定!$G$8,IF(S36/IF($S$2="",100,$S$2)&lt;設定!$I$29,設定!$G$10,設定!$G$9)))</f>
        <v/>
      </c>
    </row>
    <row r="37" customFormat="false" ht="21" hidden="false" customHeight="true" outlineLevel="0" collapsed="false">
      <c r="A37" s="91" t="str">
        <f aca="false">IF(名簿!$D37="","",名簿!$B37&amp;"")</f>
        <v/>
      </c>
      <c r="B37" s="91" t="str">
        <f aca="false">IF(名簿!$D37="","",名簿!$C37)</f>
        <v/>
      </c>
      <c r="C37" s="59" t="str">
        <f aca="false">IF(名簿!$D37="","",名簿!$D37&amp;IF(名簿!$F37="転出","（転出）",""))</f>
        <v/>
      </c>
      <c r="D37" s="149"/>
      <c r="E37" s="61" t="str">
        <f aca="false">IF(OR($C37="",名簿!$F37="転出"),"",IF($C$2="学級ごと",$A37,IF($C$2="前の単元と同じ",単元02!$E37&amp;"",$D37&amp;"")))</f>
        <v/>
      </c>
      <c r="F37" s="150"/>
      <c r="G37" s="150"/>
      <c r="H37" s="150"/>
      <c r="I37" s="151"/>
      <c r="J37" s="41" t="str">
        <f aca="false">IF($E37="","",$E37&amp;"|"&amp;COUNTIF($E$5:$E37,$E37))</f>
        <v/>
      </c>
      <c r="K37" s="40" t="str">
        <f aca="false">IF($I37="","",LEN($I37))</f>
        <v/>
      </c>
      <c r="L37" s="13"/>
      <c r="M37" s="13"/>
      <c r="N37" s="13"/>
      <c r="O37" s="13"/>
      <c r="P37" s="152"/>
      <c r="Q37" s="149"/>
      <c r="R37" s="152"/>
      <c r="S37" s="152"/>
      <c r="T37" s="62" t="str">
        <f aca="false">IF(OR($C37="",R37=""),"",IF(R37/IF($R$2="",100,$R$2)&gt;=設定!$I$28,設定!$G$8,IF(R37/IF($R$2="",100,$R$2)&lt;設定!$I$29,設定!$G$10,設定!$G$9)))</f>
        <v/>
      </c>
      <c r="U37" s="62" t="str">
        <f aca="false">IF(OR($C37="",S37=""),"",IF(S37/IF($S$2="",100,$S$2)&gt;=設定!$I$28,設定!$G$8,IF(S37/IF($S$2="",100,$S$2)&lt;設定!$I$29,設定!$G$10,設定!$G$9)))</f>
        <v/>
      </c>
    </row>
    <row r="38" customFormat="false" ht="21" hidden="false" customHeight="true" outlineLevel="0" collapsed="false">
      <c r="A38" s="91" t="str">
        <f aca="false">IF(名簿!$D38="","",名簿!$B38&amp;"")</f>
        <v/>
      </c>
      <c r="B38" s="91" t="str">
        <f aca="false">IF(名簿!$D38="","",名簿!$C38)</f>
        <v/>
      </c>
      <c r="C38" s="59" t="str">
        <f aca="false">IF(名簿!$D38="","",名簿!$D38&amp;IF(名簿!$F38="転出","（転出）",""))</f>
        <v/>
      </c>
      <c r="D38" s="149"/>
      <c r="E38" s="61" t="str">
        <f aca="false">IF(OR($C38="",名簿!$F38="転出"),"",IF($C$2="学級ごと",$A38,IF($C$2="前の単元と同じ",単元02!$E38&amp;"",$D38&amp;"")))</f>
        <v/>
      </c>
      <c r="F38" s="150"/>
      <c r="G38" s="150"/>
      <c r="H38" s="150"/>
      <c r="I38" s="151"/>
      <c r="J38" s="41" t="str">
        <f aca="false">IF($E38="","",$E38&amp;"|"&amp;COUNTIF($E$5:$E38,$E38))</f>
        <v/>
      </c>
      <c r="K38" s="40" t="str">
        <f aca="false">IF($I38="","",LEN($I38))</f>
        <v/>
      </c>
      <c r="L38" s="13"/>
      <c r="M38" s="13"/>
      <c r="N38" s="13"/>
      <c r="O38" s="13"/>
      <c r="P38" s="152"/>
      <c r="Q38" s="149"/>
      <c r="R38" s="152"/>
      <c r="S38" s="152"/>
      <c r="T38" s="62" t="str">
        <f aca="false">IF(OR($C38="",R38=""),"",IF(R38/IF($R$2="",100,$R$2)&gt;=設定!$I$28,設定!$G$8,IF(R38/IF($R$2="",100,$R$2)&lt;設定!$I$29,設定!$G$10,設定!$G$9)))</f>
        <v/>
      </c>
      <c r="U38" s="62" t="str">
        <f aca="false">IF(OR($C38="",S38=""),"",IF(S38/IF($S$2="",100,$S$2)&gt;=設定!$I$28,設定!$G$8,IF(S38/IF($S$2="",100,$S$2)&lt;設定!$I$29,設定!$G$10,設定!$G$9)))</f>
        <v/>
      </c>
    </row>
    <row r="39" customFormat="false" ht="21" hidden="false" customHeight="true" outlineLevel="0" collapsed="false">
      <c r="A39" s="91" t="str">
        <f aca="false">IF(名簿!$D39="","",名簿!$B39&amp;"")</f>
        <v/>
      </c>
      <c r="B39" s="91" t="str">
        <f aca="false">IF(名簿!$D39="","",名簿!$C39)</f>
        <v/>
      </c>
      <c r="C39" s="59" t="str">
        <f aca="false">IF(名簿!$D39="","",名簿!$D39&amp;IF(名簿!$F39="転出","（転出）",""))</f>
        <v/>
      </c>
      <c r="D39" s="149"/>
      <c r="E39" s="61" t="str">
        <f aca="false">IF(OR($C39="",名簿!$F39="転出"),"",IF($C$2="学級ごと",$A39,IF($C$2="前の単元と同じ",単元02!$E39&amp;"",$D39&amp;"")))</f>
        <v/>
      </c>
      <c r="F39" s="150"/>
      <c r="G39" s="150"/>
      <c r="H39" s="150"/>
      <c r="I39" s="151"/>
      <c r="J39" s="41" t="str">
        <f aca="false">IF($E39="","",$E39&amp;"|"&amp;COUNTIF($E$5:$E39,$E39))</f>
        <v/>
      </c>
      <c r="K39" s="40" t="str">
        <f aca="false">IF($I39="","",LEN($I39))</f>
        <v/>
      </c>
      <c r="L39" s="13"/>
      <c r="M39" s="13"/>
      <c r="N39" s="13"/>
      <c r="O39" s="13"/>
      <c r="P39" s="152"/>
      <c r="Q39" s="149"/>
      <c r="R39" s="152"/>
      <c r="S39" s="152"/>
      <c r="T39" s="62" t="str">
        <f aca="false">IF(OR($C39="",R39=""),"",IF(R39/IF($R$2="",100,$R$2)&gt;=設定!$I$28,設定!$G$8,IF(R39/IF($R$2="",100,$R$2)&lt;設定!$I$29,設定!$G$10,設定!$G$9)))</f>
        <v/>
      </c>
      <c r="U39" s="62" t="str">
        <f aca="false">IF(OR($C39="",S39=""),"",IF(S39/IF($S$2="",100,$S$2)&gt;=設定!$I$28,設定!$G$8,IF(S39/IF($S$2="",100,$S$2)&lt;設定!$I$29,設定!$G$10,設定!$G$9)))</f>
        <v/>
      </c>
    </row>
    <row r="40" customFormat="false" ht="21" hidden="false" customHeight="true" outlineLevel="0" collapsed="false">
      <c r="A40" s="91" t="str">
        <f aca="false">IF(名簿!$D40="","",名簿!$B40&amp;"")</f>
        <v/>
      </c>
      <c r="B40" s="91" t="str">
        <f aca="false">IF(名簿!$D40="","",名簿!$C40)</f>
        <v/>
      </c>
      <c r="C40" s="59" t="str">
        <f aca="false">IF(名簿!$D40="","",名簿!$D40&amp;IF(名簿!$F40="転出","（転出）",""))</f>
        <v/>
      </c>
      <c r="D40" s="149"/>
      <c r="E40" s="61" t="str">
        <f aca="false">IF(OR($C40="",名簿!$F40="転出"),"",IF($C$2="学級ごと",$A40,IF($C$2="前の単元と同じ",単元02!$E40&amp;"",$D40&amp;"")))</f>
        <v/>
      </c>
      <c r="F40" s="150"/>
      <c r="G40" s="150"/>
      <c r="H40" s="150"/>
      <c r="I40" s="151"/>
      <c r="J40" s="41" t="str">
        <f aca="false">IF($E40="","",$E40&amp;"|"&amp;COUNTIF($E$5:$E40,$E40))</f>
        <v/>
      </c>
      <c r="K40" s="40" t="str">
        <f aca="false">IF($I40="","",LEN($I40))</f>
        <v/>
      </c>
      <c r="L40" s="13"/>
      <c r="M40" s="13"/>
      <c r="N40" s="13"/>
      <c r="O40" s="13"/>
      <c r="P40" s="152"/>
      <c r="Q40" s="149"/>
      <c r="R40" s="152"/>
      <c r="S40" s="152"/>
      <c r="T40" s="62" t="str">
        <f aca="false">IF(OR($C40="",R40=""),"",IF(R40/IF($R$2="",100,$R$2)&gt;=設定!$I$28,設定!$G$8,IF(R40/IF($R$2="",100,$R$2)&lt;設定!$I$29,設定!$G$10,設定!$G$9)))</f>
        <v/>
      </c>
      <c r="U40" s="62" t="str">
        <f aca="false">IF(OR($C40="",S40=""),"",IF(S40/IF($S$2="",100,$S$2)&gt;=設定!$I$28,設定!$G$8,IF(S40/IF($S$2="",100,$S$2)&lt;設定!$I$29,設定!$G$10,設定!$G$9)))</f>
        <v/>
      </c>
    </row>
    <row r="41" customFormat="false" ht="21" hidden="false" customHeight="true" outlineLevel="0" collapsed="false">
      <c r="A41" s="91" t="str">
        <f aca="false">IF(名簿!$D41="","",名簿!$B41&amp;"")</f>
        <v/>
      </c>
      <c r="B41" s="91" t="str">
        <f aca="false">IF(名簿!$D41="","",名簿!$C41)</f>
        <v/>
      </c>
      <c r="C41" s="59" t="str">
        <f aca="false">IF(名簿!$D41="","",名簿!$D41&amp;IF(名簿!$F41="転出","（転出）",""))</f>
        <v/>
      </c>
      <c r="D41" s="149"/>
      <c r="E41" s="61" t="str">
        <f aca="false">IF(OR($C41="",名簿!$F41="転出"),"",IF($C$2="学級ごと",$A41,IF($C$2="前の単元と同じ",単元02!$E41&amp;"",$D41&amp;"")))</f>
        <v/>
      </c>
      <c r="F41" s="150"/>
      <c r="G41" s="150"/>
      <c r="H41" s="150"/>
      <c r="I41" s="151"/>
      <c r="J41" s="41" t="str">
        <f aca="false">IF($E41="","",$E41&amp;"|"&amp;COUNTIF($E$5:$E41,$E41))</f>
        <v/>
      </c>
      <c r="K41" s="40" t="str">
        <f aca="false">IF($I41="","",LEN($I41))</f>
        <v/>
      </c>
      <c r="L41" s="13"/>
      <c r="M41" s="13"/>
      <c r="N41" s="13"/>
      <c r="O41" s="13"/>
      <c r="P41" s="152"/>
      <c r="Q41" s="149"/>
      <c r="R41" s="152"/>
      <c r="S41" s="152"/>
      <c r="T41" s="62" t="str">
        <f aca="false">IF(OR($C41="",R41=""),"",IF(R41/IF($R$2="",100,$R$2)&gt;=設定!$I$28,設定!$G$8,IF(R41/IF($R$2="",100,$R$2)&lt;設定!$I$29,設定!$G$10,設定!$G$9)))</f>
        <v/>
      </c>
      <c r="U41" s="62" t="str">
        <f aca="false">IF(OR($C41="",S41=""),"",IF(S41/IF($S$2="",100,$S$2)&gt;=設定!$I$28,設定!$G$8,IF(S41/IF($S$2="",100,$S$2)&lt;設定!$I$29,設定!$G$10,設定!$G$9)))</f>
        <v/>
      </c>
    </row>
    <row r="42" customFormat="false" ht="21" hidden="false" customHeight="true" outlineLevel="0" collapsed="false">
      <c r="A42" s="91" t="str">
        <f aca="false">IF(名簿!$D42="","",名簿!$B42&amp;"")</f>
        <v/>
      </c>
      <c r="B42" s="91" t="str">
        <f aca="false">IF(名簿!$D42="","",名簿!$C42)</f>
        <v/>
      </c>
      <c r="C42" s="59" t="str">
        <f aca="false">IF(名簿!$D42="","",名簿!$D42&amp;IF(名簿!$F42="転出","（転出）",""))</f>
        <v/>
      </c>
      <c r="D42" s="149"/>
      <c r="E42" s="61" t="str">
        <f aca="false">IF(OR($C42="",名簿!$F42="転出"),"",IF($C$2="学級ごと",$A42,IF($C$2="前の単元と同じ",単元02!$E42&amp;"",$D42&amp;"")))</f>
        <v/>
      </c>
      <c r="F42" s="150"/>
      <c r="G42" s="150"/>
      <c r="H42" s="150"/>
      <c r="I42" s="151"/>
      <c r="J42" s="41" t="str">
        <f aca="false">IF($E42="","",$E42&amp;"|"&amp;COUNTIF($E$5:$E42,$E42))</f>
        <v/>
      </c>
      <c r="K42" s="40" t="str">
        <f aca="false">IF($I42="","",LEN($I42))</f>
        <v/>
      </c>
      <c r="L42" s="13"/>
      <c r="M42" s="13"/>
      <c r="N42" s="13"/>
      <c r="O42" s="13"/>
      <c r="P42" s="152"/>
      <c r="Q42" s="149"/>
      <c r="R42" s="152"/>
      <c r="S42" s="152"/>
      <c r="T42" s="62" t="str">
        <f aca="false">IF(OR($C42="",R42=""),"",IF(R42/IF($R$2="",100,$R$2)&gt;=設定!$I$28,設定!$G$8,IF(R42/IF($R$2="",100,$R$2)&lt;設定!$I$29,設定!$G$10,設定!$G$9)))</f>
        <v/>
      </c>
      <c r="U42" s="62" t="str">
        <f aca="false">IF(OR($C42="",S42=""),"",IF(S42/IF($S$2="",100,$S$2)&gt;=設定!$I$28,設定!$G$8,IF(S42/IF($S$2="",100,$S$2)&lt;設定!$I$29,設定!$G$10,設定!$G$9)))</f>
        <v/>
      </c>
    </row>
    <row r="43" customFormat="false" ht="21" hidden="false" customHeight="true" outlineLevel="0" collapsed="false">
      <c r="A43" s="91" t="str">
        <f aca="false">IF(名簿!$D43="","",名簿!$B43&amp;"")</f>
        <v/>
      </c>
      <c r="B43" s="91" t="str">
        <f aca="false">IF(名簿!$D43="","",名簿!$C43)</f>
        <v/>
      </c>
      <c r="C43" s="59" t="str">
        <f aca="false">IF(名簿!$D43="","",名簿!$D43&amp;IF(名簿!$F43="転出","（転出）",""))</f>
        <v/>
      </c>
      <c r="D43" s="149"/>
      <c r="E43" s="61" t="str">
        <f aca="false">IF(OR($C43="",名簿!$F43="転出"),"",IF($C$2="学級ごと",$A43,IF($C$2="前の単元と同じ",単元02!$E43&amp;"",$D43&amp;"")))</f>
        <v/>
      </c>
      <c r="F43" s="150"/>
      <c r="G43" s="150"/>
      <c r="H43" s="150"/>
      <c r="I43" s="151"/>
      <c r="J43" s="41" t="str">
        <f aca="false">IF($E43="","",$E43&amp;"|"&amp;COUNTIF($E$5:$E43,$E43))</f>
        <v/>
      </c>
      <c r="K43" s="40" t="str">
        <f aca="false">IF($I43="","",LEN($I43))</f>
        <v/>
      </c>
      <c r="L43" s="13"/>
      <c r="M43" s="13"/>
      <c r="N43" s="13"/>
      <c r="O43" s="13"/>
      <c r="P43" s="152"/>
      <c r="Q43" s="149"/>
      <c r="R43" s="152"/>
      <c r="S43" s="152"/>
      <c r="T43" s="62" t="str">
        <f aca="false">IF(OR($C43="",R43=""),"",IF(R43/IF($R$2="",100,$R$2)&gt;=設定!$I$28,設定!$G$8,IF(R43/IF($R$2="",100,$R$2)&lt;設定!$I$29,設定!$G$10,設定!$G$9)))</f>
        <v/>
      </c>
      <c r="U43" s="62" t="str">
        <f aca="false">IF(OR($C43="",S43=""),"",IF(S43/IF($S$2="",100,$S$2)&gt;=設定!$I$28,設定!$G$8,IF(S43/IF($S$2="",100,$S$2)&lt;設定!$I$29,設定!$G$10,設定!$G$9)))</f>
        <v/>
      </c>
    </row>
    <row r="44" customFormat="false" ht="21" hidden="false" customHeight="true" outlineLevel="0" collapsed="false">
      <c r="A44" s="91" t="str">
        <f aca="false">IF(名簿!$D44="","",名簿!$B44&amp;"")</f>
        <v/>
      </c>
      <c r="B44" s="91" t="str">
        <f aca="false">IF(名簿!$D44="","",名簿!$C44)</f>
        <v/>
      </c>
      <c r="C44" s="59" t="str">
        <f aca="false">IF(名簿!$D44="","",名簿!$D44&amp;IF(名簿!$F44="転出","（転出）",""))</f>
        <v/>
      </c>
      <c r="D44" s="149"/>
      <c r="E44" s="61" t="str">
        <f aca="false">IF(OR($C44="",名簿!$F44="転出"),"",IF($C$2="学級ごと",$A44,IF($C$2="前の単元と同じ",単元02!$E44&amp;"",$D44&amp;"")))</f>
        <v/>
      </c>
      <c r="F44" s="150"/>
      <c r="G44" s="150"/>
      <c r="H44" s="150"/>
      <c r="I44" s="151"/>
      <c r="J44" s="41" t="str">
        <f aca="false">IF($E44="","",$E44&amp;"|"&amp;COUNTIF($E$5:$E44,$E44))</f>
        <v/>
      </c>
      <c r="K44" s="40" t="str">
        <f aca="false">IF($I44="","",LEN($I44))</f>
        <v/>
      </c>
      <c r="L44" s="13"/>
      <c r="M44" s="13"/>
      <c r="N44" s="13"/>
      <c r="O44" s="13"/>
      <c r="P44" s="152"/>
      <c r="Q44" s="149"/>
      <c r="R44" s="152"/>
      <c r="S44" s="152"/>
      <c r="T44" s="62" t="str">
        <f aca="false">IF(OR($C44="",R44=""),"",IF(R44/IF($R$2="",100,$R$2)&gt;=設定!$I$28,設定!$G$8,IF(R44/IF($R$2="",100,$R$2)&lt;設定!$I$29,設定!$G$10,設定!$G$9)))</f>
        <v/>
      </c>
      <c r="U44" s="62" t="str">
        <f aca="false">IF(OR($C44="",S44=""),"",IF(S44/IF($S$2="",100,$S$2)&gt;=設定!$I$28,設定!$G$8,IF(S44/IF($S$2="",100,$S$2)&lt;設定!$I$29,設定!$G$10,設定!$G$9)))</f>
        <v/>
      </c>
    </row>
    <row r="45" customFormat="false" ht="21" hidden="false" customHeight="true" outlineLevel="0" collapsed="false">
      <c r="A45" s="91" t="str">
        <f aca="false">IF(名簿!$D45="","",名簿!$B45&amp;"")</f>
        <v/>
      </c>
      <c r="B45" s="91" t="str">
        <f aca="false">IF(名簿!$D45="","",名簿!$C45)</f>
        <v/>
      </c>
      <c r="C45" s="59" t="str">
        <f aca="false">IF(名簿!$D45="","",名簿!$D45&amp;IF(名簿!$F45="転出","（転出）",""))</f>
        <v/>
      </c>
      <c r="D45" s="149"/>
      <c r="E45" s="61" t="str">
        <f aca="false">IF(OR($C45="",名簿!$F45="転出"),"",IF($C$2="学級ごと",$A45,IF($C$2="前の単元と同じ",単元02!$E45&amp;"",$D45&amp;"")))</f>
        <v/>
      </c>
      <c r="F45" s="150"/>
      <c r="G45" s="150"/>
      <c r="H45" s="150"/>
      <c r="I45" s="151"/>
      <c r="J45" s="41" t="str">
        <f aca="false">IF($E45="","",$E45&amp;"|"&amp;COUNTIF($E$5:$E45,$E45))</f>
        <v/>
      </c>
      <c r="K45" s="40" t="str">
        <f aca="false">IF($I45="","",LEN($I45))</f>
        <v/>
      </c>
      <c r="L45" s="13"/>
      <c r="M45" s="13"/>
      <c r="N45" s="13"/>
      <c r="O45" s="13"/>
      <c r="P45" s="152"/>
      <c r="Q45" s="149"/>
      <c r="R45" s="152"/>
      <c r="S45" s="152"/>
      <c r="T45" s="62" t="str">
        <f aca="false">IF(OR($C45="",R45=""),"",IF(R45/IF($R$2="",100,$R$2)&gt;=設定!$I$28,設定!$G$8,IF(R45/IF($R$2="",100,$R$2)&lt;設定!$I$29,設定!$G$10,設定!$G$9)))</f>
        <v/>
      </c>
      <c r="U45" s="62" t="str">
        <f aca="false">IF(OR($C45="",S45=""),"",IF(S45/IF($S$2="",100,$S$2)&gt;=設定!$I$28,設定!$G$8,IF(S45/IF($S$2="",100,$S$2)&lt;設定!$I$29,設定!$G$10,設定!$G$9)))</f>
        <v/>
      </c>
    </row>
    <row r="46" customFormat="false" ht="21" hidden="false" customHeight="true" outlineLevel="0" collapsed="false">
      <c r="A46" s="91" t="str">
        <f aca="false">IF(名簿!$D46="","",名簿!$B46&amp;"")</f>
        <v/>
      </c>
      <c r="B46" s="91" t="str">
        <f aca="false">IF(名簿!$D46="","",名簿!$C46)</f>
        <v/>
      </c>
      <c r="C46" s="59" t="str">
        <f aca="false">IF(名簿!$D46="","",名簿!$D46&amp;IF(名簿!$F46="転出","（転出）",""))</f>
        <v/>
      </c>
      <c r="D46" s="149"/>
      <c r="E46" s="61" t="str">
        <f aca="false">IF(OR($C46="",名簿!$F46="転出"),"",IF($C$2="学級ごと",$A46,IF($C$2="前の単元と同じ",単元02!$E46&amp;"",$D46&amp;"")))</f>
        <v/>
      </c>
      <c r="F46" s="150"/>
      <c r="G46" s="150"/>
      <c r="H46" s="150"/>
      <c r="I46" s="151"/>
      <c r="J46" s="41" t="str">
        <f aca="false">IF($E46="","",$E46&amp;"|"&amp;COUNTIF($E$5:$E46,$E46))</f>
        <v/>
      </c>
      <c r="K46" s="40" t="str">
        <f aca="false">IF($I46="","",LEN($I46))</f>
        <v/>
      </c>
      <c r="L46" s="13"/>
      <c r="M46" s="13"/>
      <c r="N46" s="13"/>
      <c r="O46" s="13"/>
      <c r="P46" s="152"/>
      <c r="Q46" s="149"/>
      <c r="R46" s="152"/>
      <c r="S46" s="152"/>
      <c r="T46" s="62" t="str">
        <f aca="false">IF(OR($C46="",R46=""),"",IF(R46/IF($R$2="",100,$R$2)&gt;=設定!$I$28,設定!$G$8,IF(R46/IF($R$2="",100,$R$2)&lt;設定!$I$29,設定!$G$10,設定!$G$9)))</f>
        <v/>
      </c>
      <c r="U46" s="62" t="str">
        <f aca="false">IF(OR($C46="",S46=""),"",IF(S46/IF($S$2="",100,$S$2)&gt;=設定!$I$28,設定!$G$8,IF(S46/IF($S$2="",100,$S$2)&lt;設定!$I$29,設定!$G$10,設定!$G$9)))</f>
        <v/>
      </c>
    </row>
    <row r="47" customFormat="false" ht="21" hidden="false" customHeight="true" outlineLevel="0" collapsed="false">
      <c r="A47" s="91" t="str">
        <f aca="false">IF(名簿!$D47="","",名簿!$B47&amp;"")</f>
        <v/>
      </c>
      <c r="B47" s="91" t="str">
        <f aca="false">IF(名簿!$D47="","",名簿!$C47)</f>
        <v/>
      </c>
      <c r="C47" s="59" t="str">
        <f aca="false">IF(名簿!$D47="","",名簿!$D47&amp;IF(名簿!$F47="転出","（転出）",""))</f>
        <v/>
      </c>
      <c r="D47" s="149"/>
      <c r="E47" s="61" t="str">
        <f aca="false">IF(OR($C47="",名簿!$F47="転出"),"",IF($C$2="学級ごと",$A47,IF($C$2="前の単元と同じ",単元02!$E47&amp;"",$D47&amp;"")))</f>
        <v/>
      </c>
      <c r="F47" s="150"/>
      <c r="G47" s="150"/>
      <c r="H47" s="150"/>
      <c r="I47" s="151"/>
      <c r="J47" s="41" t="str">
        <f aca="false">IF($E47="","",$E47&amp;"|"&amp;COUNTIF($E$5:$E47,$E47))</f>
        <v/>
      </c>
      <c r="K47" s="40" t="str">
        <f aca="false">IF($I47="","",LEN($I47))</f>
        <v/>
      </c>
      <c r="L47" s="13"/>
      <c r="M47" s="13"/>
      <c r="N47" s="13"/>
      <c r="O47" s="13"/>
      <c r="P47" s="152"/>
      <c r="Q47" s="149"/>
      <c r="R47" s="152"/>
      <c r="S47" s="152"/>
      <c r="T47" s="62" t="str">
        <f aca="false">IF(OR($C47="",R47=""),"",IF(R47/IF($R$2="",100,$R$2)&gt;=設定!$I$28,設定!$G$8,IF(R47/IF($R$2="",100,$R$2)&lt;設定!$I$29,設定!$G$10,設定!$G$9)))</f>
        <v/>
      </c>
      <c r="U47" s="62" t="str">
        <f aca="false">IF(OR($C47="",S47=""),"",IF(S47/IF($S$2="",100,$S$2)&gt;=設定!$I$28,設定!$G$8,IF(S47/IF($S$2="",100,$S$2)&lt;設定!$I$29,設定!$G$10,設定!$G$9)))</f>
        <v/>
      </c>
    </row>
    <row r="48" customFormat="false" ht="21" hidden="false" customHeight="true" outlineLevel="0" collapsed="false">
      <c r="A48" s="91" t="str">
        <f aca="false">IF(名簿!$D48="","",名簿!$B48&amp;"")</f>
        <v/>
      </c>
      <c r="B48" s="91" t="str">
        <f aca="false">IF(名簿!$D48="","",名簿!$C48)</f>
        <v/>
      </c>
      <c r="C48" s="59" t="str">
        <f aca="false">IF(名簿!$D48="","",名簿!$D48&amp;IF(名簿!$F48="転出","（転出）",""))</f>
        <v/>
      </c>
      <c r="D48" s="149"/>
      <c r="E48" s="61" t="str">
        <f aca="false">IF(OR($C48="",名簿!$F48="転出"),"",IF($C$2="学級ごと",$A48,IF($C$2="前の単元と同じ",単元02!$E48&amp;"",$D48&amp;"")))</f>
        <v/>
      </c>
      <c r="F48" s="150"/>
      <c r="G48" s="150"/>
      <c r="H48" s="150"/>
      <c r="I48" s="151"/>
      <c r="J48" s="41" t="str">
        <f aca="false">IF($E48="","",$E48&amp;"|"&amp;COUNTIF($E$5:$E48,$E48))</f>
        <v/>
      </c>
      <c r="K48" s="40" t="str">
        <f aca="false">IF($I48="","",LEN($I48))</f>
        <v/>
      </c>
      <c r="L48" s="13"/>
      <c r="M48" s="13"/>
      <c r="N48" s="13"/>
      <c r="O48" s="13"/>
      <c r="P48" s="152"/>
      <c r="Q48" s="149"/>
      <c r="R48" s="152"/>
      <c r="S48" s="152"/>
      <c r="T48" s="62" t="str">
        <f aca="false">IF(OR($C48="",R48=""),"",IF(R48/IF($R$2="",100,$R$2)&gt;=設定!$I$28,設定!$G$8,IF(R48/IF($R$2="",100,$R$2)&lt;設定!$I$29,設定!$G$10,設定!$G$9)))</f>
        <v/>
      </c>
      <c r="U48" s="62" t="str">
        <f aca="false">IF(OR($C48="",S48=""),"",IF(S48/IF($S$2="",100,$S$2)&gt;=設定!$I$28,設定!$G$8,IF(S48/IF($S$2="",100,$S$2)&lt;設定!$I$29,設定!$G$10,設定!$G$9)))</f>
        <v/>
      </c>
    </row>
    <row r="49" customFormat="false" ht="21" hidden="false" customHeight="true" outlineLevel="0" collapsed="false">
      <c r="A49" s="91" t="str">
        <f aca="false">IF(名簿!$D49="","",名簿!$B49&amp;"")</f>
        <v/>
      </c>
      <c r="B49" s="91" t="str">
        <f aca="false">IF(名簿!$D49="","",名簿!$C49)</f>
        <v/>
      </c>
      <c r="C49" s="59" t="str">
        <f aca="false">IF(名簿!$D49="","",名簿!$D49&amp;IF(名簿!$F49="転出","（転出）",""))</f>
        <v/>
      </c>
      <c r="D49" s="149"/>
      <c r="E49" s="61" t="str">
        <f aca="false">IF(OR($C49="",名簿!$F49="転出"),"",IF($C$2="学級ごと",$A49,IF($C$2="前の単元と同じ",単元02!$E49&amp;"",$D49&amp;"")))</f>
        <v/>
      </c>
      <c r="F49" s="150"/>
      <c r="G49" s="150"/>
      <c r="H49" s="150"/>
      <c r="I49" s="151"/>
      <c r="J49" s="41" t="str">
        <f aca="false">IF($E49="","",$E49&amp;"|"&amp;COUNTIF($E$5:$E49,$E49))</f>
        <v/>
      </c>
      <c r="K49" s="40" t="str">
        <f aca="false">IF($I49="","",LEN($I49))</f>
        <v/>
      </c>
      <c r="L49" s="13"/>
      <c r="M49" s="13"/>
      <c r="N49" s="13"/>
      <c r="O49" s="13"/>
      <c r="P49" s="152"/>
      <c r="Q49" s="149"/>
      <c r="R49" s="152"/>
      <c r="S49" s="152"/>
      <c r="T49" s="62" t="str">
        <f aca="false">IF(OR($C49="",R49=""),"",IF(R49/IF($R$2="",100,$R$2)&gt;=設定!$I$28,設定!$G$8,IF(R49/IF($R$2="",100,$R$2)&lt;設定!$I$29,設定!$G$10,設定!$G$9)))</f>
        <v/>
      </c>
      <c r="U49" s="62" t="str">
        <f aca="false">IF(OR($C49="",S49=""),"",IF(S49/IF($S$2="",100,$S$2)&gt;=設定!$I$28,設定!$G$8,IF(S49/IF($S$2="",100,$S$2)&lt;設定!$I$29,設定!$G$10,設定!$G$9)))</f>
        <v/>
      </c>
    </row>
    <row r="50" customFormat="false" ht="21" hidden="false" customHeight="true" outlineLevel="0" collapsed="false">
      <c r="A50" s="91" t="str">
        <f aca="false">IF(名簿!$D50="","",名簿!$B50&amp;"")</f>
        <v/>
      </c>
      <c r="B50" s="91" t="str">
        <f aca="false">IF(名簿!$D50="","",名簿!$C50)</f>
        <v/>
      </c>
      <c r="C50" s="59" t="str">
        <f aca="false">IF(名簿!$D50="","",名簿!$D50&amp;IF(名簿!$F50="転出","（転出）",""))</f>
        <v/>
      </c>
      <c r="D50" s="149"/>
      <c r="E50" s="61" t="str">
        <f aca="false">IF(OR($C50="",名簿!$F50="転出"),"",IF($C$2="学級ごと",$A50,IF($C$2="前の単元と同じ",単元02!$E50&amp;"",$D50&amp;"")))</f>
        <v/>
      </c>
      <c r="F50" s="150"/>
      <c r="G50" s="150"/>
      <c r="H50" s="150"/>
      <c r="I50" s="151"/>
      <c r="J50" s="41" t="str">
        <f aca="false">IF($E50="","",$E50&amp;"|"&amp;COUNTIF($E$5:$E50,$E50))</f>
        <v/>
      </c>
      <c r="K50" s="40" t="str">
        <f aca="false">IF($I50="","",LEN($I50))</f>
        <v/>
      </c>
      <c r="L50" s="13"/>
      <c r="M50" s="13"/>
      <c r="N50" s="13"/>
      <c r="O50" s="13"/>
      <c r="P50" s="152"/>
      <c r="Q50" s="149"/>
      <c r="R50" s="152"/>
      <c r="S50" s="152"/>
      <c r="T50" s="62" t="str">
        <f aca="false">IF(OR($C50="",R50=""),"",IF(R50/IF($R$2="",100,$R$2)&gt;=設定!$I$28,設定!$G$8,IF(R50/IF($R$2="",100,$R$2)&lt;設定!$I$29,設定!$G$10,設定!$G$9)))</f>
        <v/>
      </c>
      <c r="U50" s="62" t="str">
        <f aca="false">IF(OR($C50="",S50=""),"",IF(S50/IF($S$2="",100,$S$2)&gt;=設定!$I$28,設定!$G$8,IF(S50/IF($S$2="",100,$S$2)&lt;設定!$I$29,設定!$G$10,設定!$G$9)))</f>
        <v/>
      </c>
    </row>
    <row r="51" customFormat="false" ht="21" hidden="false" customHeight="true" outlineLevel="0" collapsed="false">
      <c r="A51" s="91" t="str">
        <f aca="false">IF(名簿!$D51="","",名簿!$B51&amp;"")</f>
        <v/>
      </c>
      <c r="B51" s="91" t="str">
        <f aca="false">IF(名簿!$D51="","",名簿!$C51)</f>
        <v/>
      </c>
      <c r="C51" s="59" t="str">
        <f aca="false">IF(名簿!$D51="","",名簿!$D51&amp;IF(名簿!$F51="転出","（転出）",""))</f>
        <v/>
      </c>
      <c r="D51" s="149"/>
      <c r="E51" s="61" t="str">
        <f aca="false">IF(OR($C51="",名簿!$F51="転出"),"",IF($C$2="学級ごと",$A51,IF($C$2="前の単元と同じ",単元02!$E51&amp;"",$D51&amp;"")))</f>
        <v/>
      </c>
      <c r="F51" s="150"/>
      <c r="G51" s="150"/>
      <c r="H51" s="150"/>
      <c r="I51" s="151"/>
      <c r="J51" s="41" t="str">
        <f aca="false">IF($E51="","",$E51&amp;"|"&amp;COUNTIF($E$5:$E51,$E51))</f>
        <v/>
      </c>
      <c r="K51" s="40" t="str">
        <f aca="false">IF($I51="","",LEN($I51))</f>
        <v/>
      </c>
      <c r="L51" s="13"/>
      <c r="M51" s="13"/>
      <c r="N51" s="13"/>
      <c r="O51" s="13"/>
      <c r="P51" s="152"/>
      <c r="Q51" s="149"/>
      <c r="R51" s="152"/>
      <c r="S51" s="152"/>
      <c r="T51" s="62" t="str">
        <f aca="false">IF(OR($C51="",R51=""),"",IF(R51/IF($R$2="",100,$R$2)&gt;=設定!$I$28,設定!$G$8,IF(R51/IF($R$2="",100,$R$2)&lt;設定!$I$29,設定!$G$10,設定!$G$9)))</f>
        <v/>
      </c>
      <c r="U51" s="62" t="str">
        <f aca="false">IF(OR($C51="",S51=""),"",IF(S51/IF($S$2="",100,$S$2)&gt;=設定!$I$28,設定!$G$8,IF(S51/IF($S$2="",100,$S$2)&lt;設定!$I$29,設定!$G$10,設定!$G$9)))</f>
        <v/>
      </c>
    </row>
    <row r="52" customFormat="false" ht="21" hidden="false" customHeight="true" outlineLevel="0" collapsed="false">
      <c r="A52" s="91" t="str">
        <f aca="false">IF(名簿!$D52="","",名簿!$B52&amp;"")</f>
        <v/>
      </c>
      <c r="B52" s="91" t="str">
        <f aca="false">IF(名簿!$D52="","",名簿!$C52)</f>
        <v/>
      </c>
      <c r="C52" s="59" t="str">
        <f aca="false">IF(名簿!$D52="","",名簿!$D52&amp;IF(名簿!$F52="転出","（転出）",""))</f>
        <v/>
      </c>
      <c r="D52" s="149"/>
      <c r="E52" s="61" t="str">
        <f aca="false">IF(OR($C52="",名簿!$F52="転出"),"",IF($C$2="学級ごと",$A52,IF($C$2="前の単元と同じ",単元02!$E52&amp;"",$D52&amp;"")))</f>
        <v/>
      </c>
      <c r="F52" s="150"/>
      <c r="G52" s="150"/>
      <c r="H52" s="150"/>
      <c r="I52" s="151"/>
      <c r="J52" s="41" t="str">
        <f aca="false">IF($E52="","",$E52&amp;"|"&amp;COUNTIF($E$5:$E52,$E52))</f>
        <v/>
      </c>
      <c r="K52" s="40" t="str">
        <f aca="false">IF($I52="","",LEN($I52))</f>
        <v/>
      </c>
      <c r="L52" s="13"/>
      <c r="M52" s="13"/>
      <c r="N52" s="13"/>
      <c r="O52" s="13"/>
      <c r="P52" s="152"/>
      <c r="Q52" s="149"/>
      <c r="R52" s="152"/>
      <c r="S52" s="152"/>
      <c r="T52" s="62" t="str">
        <f aca="false">IF(OR($C52="",R52=""),"",IF(R52/IF($R$2="",100,$R$2)&gt;=設定!$I$28,設定!$G$8,IF(R52/IF($R$2="",100,$R$2)&lt;設定!$I$29,設定!$G$10,設定!$G$9)))</f>
        <v/>
      </c>
      <c r="U52" s="62" t="str">
        <f aca="false">IF(OR($C52="",S52=""),"",IF(S52/IF($S$2="",100,$S$2)&gt;=設定!$I$28,設定!$G$8,IF(S52/IF($S$2="",100,$S$2)&lt;設定!$I$29,設定!$G$10,設定!$G$9)))</f>
        <v/>
      </c>
    </row>
    <row r="53" customFormat="false" ht="21" hidden="false" customHeight="true" outlineLevel="0" collapsed="false">
      <c r="A53" s="91" t="str">
        <f aca="false">IF(名簿!$D53="","",名簿!$B53&amp;"")</f>
        <v/>
      </c>
      <c r="B53" s="91" t="str">
        <f aca="false">IF(名簿!$D53="","",名簿!$C53)</f>
        <v/>
      </c>
      <c r="C53" s="59" t="str">
        <f aca="false">IF(名簿!$D53="","",名簿!$D53&amp;IF(名簿!$F53="転出","（転出）",""))</f>
        <v/>
      </c>
      <c r="D53" s="149"/>
      <c r="E53" s="61" t="str">
        <f aca="false">IF(OR($C53="",名簿!$F53="転出"),"",IF($C$2="学級ごと",$A53,IF($C$2="前の単元と同じ",単元02!$E53&amp;"",$D53&amp;"")))</f>
        <v/>
      </c>
      <c r="F53" s="150"/>
      <c r="G53" s="150"/>
      <c r="H53" s="150"/>
      <c r="I53" s="151"/>
      <c r="J53" s="41" t="str">
        <f aca="false">IF($E53="","",$E53&amp;"|"&amp;COUNTIF($E$5:$E53,$E53))</f>
        <v/>
      </c>
      <c r="K53" s="40" t="str">
        <f aca="false">IF($I53="","",LEN($I53))</f>
        <v/>
      </c>
      <c r="L53" s="13"/>
      <c r="M53" s="13"/>
      <c r="N53" s="13"/>
      <c r="O53" s="13"/>
      <c r="P53" s="152"/>
      <c r="Q53" s="149"/>
      <c r="R53" s="152"/>
      <c r="S53" s="152"/>
      <c r="T53" s="62" t="str">
        <f aca="false">IF(OR($C53="",R53=""),"",IF(R53/IF($R$2="",100,$R$2)&gt;=設定!$I$28,設定!$G$8,IF(R53/IF($R$2="",100,$R$2)&lt;設定!$I$29,設定!$G$10,設定!$G$9)))</f>
        <v/>
      </c>
      <c r="U53" s="62" t="str">
        <f aca="false">IF(OR($C53="",S53=""),"",IF(S53/IF($S$2="",100,$S$2)&gt;=設定!$I$28,設定!$G$8,IF(S53/IF($S$2="",100,$S$2)&lt;設定!$I$29,設定!$G$10,設定!$G$9)))</f>
        <v/>
      </c>
    </row>
    <row r="54" customFormat="false" ht="21" hidden="false" customHeight="true" outlineLevel="0" collapsed="false">
      <c r="A54" s="91" t="str">
        <f aca="false">IF(名簿!$D54="","",名簿!$B54&amp;"")</f>
        <v/>
      </c>
      <c r="B54" s="91" t="str">
        <f aca="false">IF(名簿!$D54="","",名簿!$C54)</f>
        <v/>
      </c>
      <c r="C54" s="59" t="str">
        <f aca="false">IF(名簿!$D54="","",名簿!$D54&amp;IF(名簿!$F54="転出","（転出）",""))</f>
        <v/>
      </c>
      <c r="D54" s="149"/>
      <c r="E54" s="61" t="str">
        <f aca="false">IF(OR($C54="",名簿!$F54="転出"),"",IF($C$2="学級ごと",$A54,IF($C$2="前の単元と同じ",単元02!$E54&amp;"",$D54&amp;"")))</f>
        <v/>
      </c>
      <c r="F54" s="150"/>
      <c r="G54" s="150"/>
      <c r="H54" s="150"/>
      <c r="I54" s="151"/>
      <c r="J54" s="41" t="str">
        <f aca="false">IF($E54="","",$E54&amp;"|"&amp;COUNTIF($E$5:$E54,$E54))</f>
        <v/>
      </c>
      <c r="K54" s="40" t="str">
        <f aca="false">IF($I54="","",LEN($I54))</f>
        <v/>
      </c>
      <c r="L54" s="13"/>
      <c r="M54" s="13"/>
      <c r="N54" s="13"/>
      <c r="O54" s="13"/>
      <c r="P54" s="152"/>
      <c r="Q54" s="149"/>
      <c r="R54" s="152"/>
      <c r="S54" s="152"/>
      <c r="T54" s="62" t="str">
        <f aca="false">IF(OR($C54="",R54=""),"",IF(R54/IF($R$2="",100,$R$2)&gt;=設定!$I$28,設定!$G$8,IF(R54/IF($R$2="",100,$R$2)&lt;設定!$I$29,設定!$G$10,設定!$G$9)))</f>
        <v/>
      </c>
      <c r="U54" s="62" t="str">
        <f aca="false">IF(OR($C54="",S54=""),"",IF(S54/IF($S$2="",100,$S$2)&gt;=設定!$I$28,設定!$G$8,IF(S54/IF($S$2="",100,$S$2)&lt;設定!$I$29,設定!$G$10,設定!$G$9)))</f>
        <v/>
      </c>
    </row>
    <row r="55" customFormat="false" ht="21" hidden="false" customHeight="true" outlineLevel="0" collapsed="false">
      <c r="A55" s="91" t="str">
        <f aca="false">IF(名簿!$D55="","",名簿!$B55&amp;"")</f>
        <v/>
      </c>
      <c r="B55" s="91" t="str">
        <f aca="false">IF(名簿!$D55="","",名簿!$C55)</f>
        <v/>
      </c>
      <c r="C55" s="59" t="str">
        <f aca="false">IF(名簿!$D55="","",名簿!$D55&amp;IF(名簿!$F55="転出","（転出）",""))</f>
        <v/>
      </c>
      <c r="D55" s="149"/>
      <c r="E55" s="61" t="str">
        <f aca="false">IF(OR($C55="",名簿!$F55="転出"),"",IF($C$2="学級ごと",$A55,IF($C$2="前の単元と同じ",単元02!$E55&amp;"",$D55&amp;"")))</f>
        <v/>
      </c>
      <c r="F55" s="150"/>
      <c r="G55" s="150"/>
      <c r="H55" s="150"/>
      <c r="I55" s="151"/>
      <c r="J55" s="41" t="str">
        <f aca="false">IF($E55="","",$E55&amp;"|"&amp;COUNTIF($E$5:$E55,$E55))</f>
        <v/>
      </c>
      <c r="K55" s="40" t="str">
        <f aca="false">IF($I55="","",LEN($I55))</f>
        <v/>
      </c>
      <c r="L55" s="13"/>
      <c r="M55" s="13"/>
      <c r="N55" s="13"/>
      <c r="O55" s="13"/>
      <c r="P55" s="152"/>
      <c r="Q55" s="149"/>
      <c r="R55" s="152"/>
      <c r="S55" s="152"/>
      <c r="T55" s="62" t="str">
        <f aca="false">IF(OR($C55="",R55=""),"",IF(R55/IF($R$2="",100,$R$2)&gt;=設定!$I$28,設定!$G$8,IF(R55/IF($R$2="",100,$R$2)&lt;設定!$I$29,設定!$G$10,設定!$G$9)))</f>
        <v/>
      </c>
      <c r="U55" s="62" t="str">
        <f aca="false">IF(OR($C55="",S55=""),"",IF(S55/IF($S$2="",100,$S$2)&gt;=設定!$I$28,設定!$G$8,IF(S55/IF($S$2="",100,$S$2)&lt;設定!$I$29,設定!$G$10,設定!$G$9)))</f>
        <v/>
      </c>
    </row>
    <row r="56" customFormat="false" ht="21" hidden="false" customHeight="true" outlineLevel="0" collapsed="false">
      <c r="A56" s="91" t="str">
        <f aca="false">IF(名簿!$D56="","",名簿!$B56&amp;"")</f>
        <v/>
      </c>
      <c r="B56" s="91" t="str">
        <f aca="false">IF(名簿!$D56="","",名簿!$C56)</f>
        <v/>
      </c>
      <c r="C56" s="59" t="str">
        <f aca="false">IF(名簿!$D56="","",名簿!$D56&amp;IF(名簿!$F56="転出","（転出）",""))</f>
        <v/>
      </c>
      <c r="D56" s="149"/>
      <c r="E56" s="61" t="str">
        <f aca="false">IF(OR($C56="",名簿!$F56="転出"),"",IF($C$2="学級ごと",$A56,IF($C$2="前の単元と同じ",単元02!$E56&amp;"",$D56&amp;"")))</f>
        <v/>
      </c>
      <c r="F56" s="150"/>
      <c r="G56" s="150"/>
      <c r="H56" s="150"/>
      <c r="I56" s="151"/>
      <c r="J56" s="41" t="str">
        <f aca="false">IF($E56="","",$E56&amp;"|"&amp;COUNTIF($E$5:$E56,$E56))</f>
        <v/>
      </c>
      <c r="K56" s="40" t="str">
        <f aca="false">IF($I56="","",LEN($I56))</f>
        <v/>
      </c>
      <c r="L56" s="13"/>
      <c r="M56" s="13"/>
      <c r="N56" s="13"/>
      <c r="O56" s="13"/>
      <c r="P56" s="152"/>
      <c r="Q56" s="149"/>
      <c r="R56" s="152"/>
      <c r="S56" s="152"/>
      <c r="T56" s="62" t="str">
        <f aca="false">IF(OR($C56="",R56=""),"",IF(R56/IF($R$2="",100,$R$2)&gt;=設定!$I$28,設定!$G$8,IF(R56/IF($R$2="",100,$R$2)&lt;設定!$I$29,設定!$G$10,設定!$G$9)))</f>
        <v/>
      </c>
      <c r="U56" s="62" t="str">
        <f aca="false">IF(OR($C56="",S56=""),"",IF(S56/IF($S$2="",100,$S$2)&gt;=設定!$I$28,設定!$G$8,IF(S56/IF($S$2="",100,$S$2)&lt;設定!$I$29,設定!$G$10,設定!$G$9)))</f>
        <v/>
      </c>
    </row>
    <row r="57" customFormat="false" ht="21" hidden="false" customHeight="true" outlineLevel="0" collapsed="false">
      <c r="A57" s="91" t="str">
        <f aca="false">IF(名簿!$D57="","",名簿!$B57&amp;"")</f>
        <v/>
      </c>
      <c r="B57" s="91" t="str">
        <f aca="false">IF(名簿!$D57="","",名簿!$C57)</f>
        <v/>
      </c>
      <c r="C57" s="59" t="str">
        <f aca="false">IF(名簿!$D57="","",名簿!$D57&amp;IF(名簿!$F57="転出","（転出）",""))</f>
        <v/>
      </c>
      <c r="D57" s="149"/>
      <c r="E57" s="61" t="str">
        <f aca="false">IF(OR($C57="",名簿!$F57="転出"),"",IF($C$2="学級ごと",$A57,IF($C$2="前の単元と同じ",単元02!$E57&amp;"",$D57&amp;"")))</f>
        <v/>
      </c>
      <c r="F57" s="150"/>
      <c r="G57" s="150"/>
      <c r="H57" s="150"/>
      <c r="I57" s="151"/>
      <c r="J57" s="41" t="str">
        <f aca="false">IF($E57="","",$E57&amp;"|"&amp;COUNTIF($E$5:$E57,$E57))</f>
        <v/>
      </c>
      <c r="K57" s="40" t="str">
        <f aca="false">IF($I57="","",LEN($I57))</f>
        <v/>
      </c>
      <c r="L57" s="13"/>
      <c r="M57" s="13"/>
      <c r="N57" s="13"/>
      <c r="O57" s="13"/>
      <c r="P57" s="152"/>
      <c r="Q57" s="149"/>
      <c r="R57" s="152"/>
      <c r="S57" s="152"/>
      <c r="T57" s="62" t="str">
        <f aca="false">IF(OR($C57="",R57=""),"",IF(R57/IF($R$2="",100,$R$2)&gt;=設定!$I$28,設定!$G$8,IF(R57/IF($R$2="",100,$R$2)&lt;設定!$I$29,設定!$G$10,設定!$G$9)))</f>
        <v/>
      </c>
      <c r="U57" s="62" t="str">
        <f aca="false">IF(OR($C57="",S57=""),"",IF(S57/IF($S$2="",100,$S$2)&gt;=設定!$I$28,設定!$G$8,IF(S57/IF($S$2="",100,$S$2)&lt;設定!$I$29,設定!$G$10,設定!$G$9)))</f>
        <v/>
      </c>
    </row>
    <row r="58" customFormat="false" ht="21" hidden="false" customHeight="true" outlineLevel="0" collapsed="false">
      <c r="A58" s="91" t="str">
        <f aca="false">IF(名簿!$D58="","",名簿!$B58&amp;"")</f>
        <v/>
      </c>
      <c r="B58" s="91" t="str">
        <f aca="false">IF(名簿!$D58="","",名簿!$C58)</f>
        <v/>
      </c>
      <c r="C58" s="59" t="str">
        <f aca="false">IF(名簿!$D58="","",名簿!$D58&amp;IF(名簿!$F58="転出","（転出）",""))</f>
        <v/>
      </c>
      <c r="D58" s="149"/>
      <c r="E58" s="61" t="str">
        <f aca="false">IF(OR($C58="",名簿!$F58="転出"),"",IF($C$2="学級ごと",$A58,IF($C$2="前の単元と同じ",単元02!$E58&amp;"",$D58&amp;"")))</f>
        <v/>
      </c>
      <c r="F58" s="150"/>
      <c r="G58" s="150"/>
      <c r="H58" s="150"/>
      <c r="I58" s="151"/>
      <c r="J58" s="41" t="str">
        <f aca="false">IF($E58="","",$E58&amp;"|"&amp;COUNTIF($E$5:$E58,$E58))</f>
        <v/>
      </c>
      <c r="K58" s="40" t="str">
        <f aca="false">IF($I58="","",LEN($I58))</f>
        <v/>
      </c>
      <c r="L58" s="13"/>
      <c r="M58" s="13"/>
      <c r="N58" s="13"/>
      <c r="O58" s="13"/>
      <c r="P58" s="152"/>
      <c r="Q58" s="149"/>
      <c r="R58" s="152"/>
      <c r="S58" s="152"/>
      <c r="T58" s="62" t="str">
        <f aca="false">IF(OR($C58="",R58=""),"",IF(R58/IF($R$2="",100,$R$2)&gt;=設定!$I$28,設定!$G$8,IF(R58/IF($R$2="",100,$R$2)&lt;設定!$I$29,設定!$G$10,設定!$G$9)))</f>
        <v/>
      </c>
      <c r="U58" s="62" t="str">
        <f aca="false">IF(OR($C58="",S58=""),"",IF(S58/IF($S$2="",100,$S$2)&gt;=設定!$I$28,設定!$G$8,IF(S58/IF($S$2="",100,$S$2)&lt;設定!$I$29,設定!$G$10,設定!$G$9)))</f>
        <v/>
      </c>
    </row>
    <row r="59" customFormat="false" ht="21" hidden="false" customHeight="true" outlineLevel="0" collapsed="false">
      <c r="A59" s="91" t="str">
        <f aca="false">IF(名簿!$D59="","",名簿!$B59&amp;"")</f>
        <v/>
      </c>
      <c r="B59" s="91" t="str">
        <f aca="false">IF(名簿!$D59="","",名簿!$C59)</f>
        <v/>
      </c>
      <c r="C59" s="59" t="str">
        <f aca="false">IF(名簿!$D59="","",名簿!$D59&amp;IF(名簿!$F59="転出","（転出）",""))</f>
        <v/>
      </c>
      <c r="D59" s="149"/>
      <c r="E59" s="61" t="str">
        <f aca="false">IF(OR($C59="",名簿!$F59="転出"),"",IF($C$2="学級ごと",$A59,IF($C$2="前の単元と同じ",単元02!$E59&amp;"",$D59&amp;"")))</f>
        <v/>
      </c>
      <c r="F59" s="150"/>
      <c r="G59" s="150"/>
      <c r="H59" s="150"/>
      <c r="I59" s="151"/>
      <c r="J59" s="41" t="str">
        <f aca="false">IF($E59="","",$E59&amp;"|"&amp;COUNTIF($E$5:$E59,$E59))</f>
        <v/>
      </c>
      <c r="K59" s="40" t="str">
        <f aca="false">IF($I59="","",LEN($I59))</f>
        <v/>
      </c>
      <c r="L59" s="13"/>
      <c r="M59" s="13"/>
      <c r="N59" s="13"/>
      <c r="O59" s="13"/>
      <c r="P59" s="152"/>
      <c r="Q59" s="149"/>
      <c r="R59" s="152"/>
      <c r="S59" s="152"/>
      <c r="T59" s="62" t="str">
        <f aca="false">IF(OR($C59="",R59=""),"",IF(R59/IF($R$2="",100,$R$2)&gt;=設定!$I$28,設定!$G$8,IF(R59/IF($R$2="",100,$R$2)&lt;設定!$I$29,設定!$G$10,設定!$G$9)))</f>
        <v/>
      </c>
      <c r="U59" s="62" t="str">
        <f aca="false">IF(OR($C59="",S59=""),"",IF(S59/IF($S$2="",100,$S$2)&gt;=設定!$I$28,設定!$G$8,IF(S59/IF($S$2="",100,$S$2)&lt;設定!$I$29,設定!$G$10,設定!$G$9)))</f>
        <v/>
      </c>
    </row>
    <row r="60" customFormat="false" ht="21" hidden="false" customHeight="true" outlineLevel="0" collapsed="false">
      <c r="A60" s="91" t="str">
        <f aca="false">IF(名簿!$D60="","",名簿!$B60&amp;"")</f>
        <v/>
      </c>
      <c r="B60" s="91" t="str">
        <f aca="false">IF(名簿!$D60="","",名簿!$C60)</f>
        <v/>
      </c>
      <c r="C60" s="59" t="str">
        <f aca="false">IF(名簿!$D60="","",名簿!$D60&amp;IF(名簿!$F60="転出","（転出）",""))</f>
        <v/>
      </c>
      <c r="D60" s="149"/>
      <c r="E60" s="61" t="str">
        <f aca="false">IF(OR($C60="",名簿!$F60="転出"),"",IF($C$2="学級ごと",$A60,IF($C$2="前の単元と同じ",単元02!$E60&amp;"",$D60&amp;"")))</f>
        <v/>
      </c>
      <c r="F60" s="150"/>
      <c r="G60" s="150"/>
      <c r="H60" s="150"/>
      <c r="I60" s="151"/>
      <c r="J60" s="41" t="str">
        <f aca="false">IF($E60="","",$E60&amp;"|"&amp;COUNTIF($E$5:$E60,$E60))</f>
        <v/>
      </c>
      <c r="K60" s="40" t="str">
        <f aca="false">IF($I60="","",LEN($I60))</f>
        <v/>
      </c>
      <c r="L60" s="13"/>
      <c r="M60" s="13"/>
      <c r="N60" s="13"/>
      <c r="O60" s="13"/>
      <c r="P60" s="152"/>
      <c r="Q60" s="149"/>
      <c r="R60" s="152"/>
      <c r="S60" s="152"/>
      <c r="T60" s="62" t="str">
        <f aca="false">IF(OR($C60="",R60=""),"",IF(R60/IF($R$2="",100,$R$2)&gt;=設定!$I$28,設定!$G$8,IF(R60/IF($R$2="",100,$R$2)&lt;設定!$I$29,設定!$G$10,設定!$G$9)))</f>
        <v/>
      </c>
      <c r="U60" s="62" t="str">
        <f aca="false">IF(OR($C60="",S60=""),"",IF(S60/IF($S$2="",100,$S$2)&gt;=設定!$I$28,設定!$G$8,IF(S60/IF($S$2="",100,$S$2)&lt;設定!$I$29,設定!$G$10,設定!$G$9)))</f>
        <v/>
      </c>
    </row>
    <row r="61" customFormat="false" ht="21" hidden="false" customHeight="true" outlineLevel="0" collapsed="false">
      <c r="A61" s="91" t="str">
        <f aca="false">IF(名簿!$D61="","",名簿!$B61&amp;"")</f>
        <v/>
      </c>
      <c r="B61" s="91" t="str">
        <f aca="false">IF(名簿!$D61="","",名簿!$C61)</f>
        <v/>
      </c>
      <c r="C61" s="59" t="str">
        <f aca="false">IF(名簿!$D61="","",名簿!$D61&amp;IF(名簿!$F61="転出","（転出）",""))</f>
        <v/>
      </c>
      <c r="D61" s="149"/>
      <c r="E61" s="61" t="str">
        <f aca="false">IF(OR($C61="",名簿!$F61="転出"),"",IF($C$2="学級ごと",$A61,IF($C$2="前の単元と同じ",単元02!$E61&amp;"",$D61&amp;"")))</f>
        <v/>
      </c>
      <c r="F61" s="150"/>
      <c r="G61" s="150"/>
      <c r="H61" s="150"/>
      <c r="I61" s="151"/>
      <c r="J61" s="41" t="str">
        <f aca="false">IF($E61="","",$E61&amp;"|"&amp;COUNTIF($E$5:$E61,$E61))</f>
        <v/>
      </c>
      <c r="K61" s="40" t="str">
        <f aca="false">IF($I61="","",LEN($I61))</f>
        <v/>
      </c>
      <c r="L61" s="13"/>
      <c r="M61" s="13"/>
      <c r="N61" s="13"/>
      <c r="O61" s="13"/>
      <c r="P61" s="152"/>
      <c r="Q61" s="149"/>
      <c r="R61" s="152"/>
      <c r="S61" s="152"/>
      <c r="T61" s="62" t="str">
        <f aca="false">IF(OR($C61="",R61=""),"",IF(R61/IF($R$2="",100,$R$2)&gt;=設定!$I$28,設定!$G$8,IF(R61/IF($R$2="",100,$R$2)&lt;設定!$I$29,設定!$G$10,設定!$G$9)))</f>
        <v/>
      </c>
      <c r="U61" s="62" t="str">
        <f aca="false">IF(OR($C61="",S61=""),"",IF(S61/IF($S$2="",100,$S$2)&gt;=設定!$I$28,設定!$G$8,IF(S61/IF($S$2="",100,$S$2)&lt;設定!$I$29,設定!$G$10,設定!$G$9)))</f>
        <v/>
      </c>
    </row>
    <row r="62" customFormat="false" ht="21" hidden="false" customHeight="true" outlineLevel="0" collapsed="false">
      <c r="A62" s="91" t="str">
        <f aca="false">IF(名簿!$D62="","",名簿!$B62&amp;"")</f>
        <v/>
      </c>
      <c r="B62" s="91" t="str">
        <f aca="false">IF(名簿!$D62="","",名簿!$C62)</f>
        <v/>
      </c>
      <c r="C62" s="59" t="str">
        <f aca="false">IF(名簿!$D62="","",名簿!$D62&amp;IF(名簿!$F62="転出","（転出）",""))</f>
        <v/>
      </c>
      <c r="D62" s="149"/>
      <c r="E62" s="61" t="str">
        <f aca="false">IF(OR($C62="",名簿!$F62="転出"),"",IF($C$2="学級ごと",$A62,IF($C$2="前の単元と同じ",単元02!$E62&amp;"",$D62&amp;"")))</f>
        <v/>
      </c>
      <c r="F62" s="150"/>
      <c r="G62" s="150"/>
      <c r="H62" s="150"/>
      <c r="I62" s="151"/>
      <c r="J62" s="41" t="str">
        <f aca="false">IF($E62="","",$E62&amp;"|"&amp;COUNTIF($E$5:$E62,$E62))</f>
        <v/>
      </c>
      <c r="K62" s="40" t="str">
        <f aca="false">IF($I62="","",LEN($I62))</f>
        <v/>
      </c>
      <c r="L62" s="13"/>
      <c r="M62" s="13"/>
      <c r="N62" s="13"/>
      <c r="O62" s="13"/>
      <c r="P62" s="152"/>
      <c r="Q62" s="149"/>
      <c r="R62" s="152"/>
      <c r="S62" s="152"/>
      <c r="T62" s="62" t="str">
        <f aca="false">IF(OR($C62="",R62=""),"",IF(R62/IF($R$2="",100,$R$2)&gt;=設定!$I$28,設定!$G$8,IF(R62/IF($R$2="",100,$R$2)&lt;設定!$I$29,設定!$G$10,設定!$G$9)))</f>
        <v/>
      </c>
      <c r="U62" s="62" t="str">
        <f aca="false">IF(OR($C62="",S62=""),"",IF(S62/IF($S$2="",100,$S$2)&gt;=設定!$I$28,設定!$G$8,IF(S62/IF($S$2="",100,$S$2)&lt;設定!$I$29,設定!$G$10,設定!$G$9)))</f>
        <v/>
      </c>
    </row>
    <row r="63" customFormat="false" ht="21" hidden="false" customHeight="true" outlineLevel="0" collapsed="false">
      <c r="A63" s="91" t="str">
        <f aca="false">IF(名簿!$D63="","",名簿!$B63&amp;"")</f>
        <v/>
      </c>
      <c r="B63" s="91" t="str">
        <f aca="false">IF(名簿!$D63="","",名簿!$C63)</f>
        <v/>
      </c>
      <c r="C63" s="59" t="str">
        <f aca="false">IF(名簿!$D63="","",名簿!$D63&amp;IF(名簿!$F63="転出","（転出）",""))</f>
        <v/>
      </c>
      <c r="D63" s="149"/>
      <c r="E63" s="61" t="str">
        <f aca="false">IF(OR($C63="",名簿!$F63="転出"),"",IF($C$2="学級ごと",$A63,IF($C$2="前の単元と同じ",単元02!$E63&amp;"",$D63&amp;"")))</f>
        <v/>
      </c>
      <c r="F63" s="150"/>
      <c r="G63" s="150"/>
      <c r="H63" s="150"/>
      <c r="I63" s="151"/>
      <c r="J63" s="41" t="str">
        <f aca="false">IF($E63="","",$E63&amp;"|"&amp;COUNTIF($E$5:$E63,$E63))</f>
        <v/>
      </c>
      <c r="K63" s="40" t="str">
        <f aca="false">IF($I63="","",LEN($I63))</f>
        <v/>
      </c>
      <c r="L63" s="13"/>
      <c r="M63" s="13"/>
      <c r="N63" s="13"/>
      <c r="O63" s="13"/>
      <c r="P63" s="152"/>
      <c r="Q63" s="149"/>
      <c r="R63" s="152"/>
      <c r="S63" s="152"/>
      <c r="T63" s="62" t="str">
        <f aca="false">IF(OR($C63="",R63=""),"",IF(R63/IF($R$2="",100,$R$2)&gt;=設定!$I$28,設定!$G$8,IF(R63/IF($R$2="",100,$R$2)&lt;設定!$I$29,設定!$G$10,設定!$G$9)))</f>
        <v/>
      </c>
      <c r="U63" s="62" t="str">
        <f aca="false">IF(OR($C63="",S63=""),"",IF(S63/IF($S$2="",100,$S$2)&gt;=設定!$I$28,設定!$G$8,IF(S63/IF($S$2="",100,$S$2)&lt;設定!$I$29,設定!$G$10,設定!$G$9)))</f>
        <v/>
      </c>
    </row>
    <row r="64" customFormat="false" ht="21" hidden="false" customHeight="true" outlineLevel="0" collapsed="false">
      <c r="A64" s="91" t="str">
        <f aca="false">IF(名簿!$D64="","",名簿!$B64&amp;"")</f>
        <v/>
      </c>
      <c r="B64" s="91" t="str">
        <f aca="false">IF(名簿!$D64="","",名簿!$C64)</f>
        <v/>
      </c>
      <c r="C64" s="59" t="str">
        <f aca="false">IF(名簿!$D64="","",名簿!$D64&amp;IF(名簿!$F64="転出","（転出）",""))</f>
        <v/>
      </c>
      <c r="D64" s="149"/>
      <c r="E64" s="61" t="str">
        <f aca="false">IF(OR($C64="",名簿!$F64="転出"),"",IF($C$2="学級ごと",$A64,IF($C$2="前の単元と同じ",単元02!$E64&amp;"",$D64&amp;"")))</f>
        <v/>
      </c>
      <c r="F64" s="150"/>
      <c r="G64" s="150"/>
      <c r="H64" s="150"/>
      <c r="I64" s="151"/>
      <c r="J64" s="41" t="str">
        <f aca="false">IF($E64="","",$E64&amp;"|"&amp;COUNTIF($E$5:$E64,$E64))</f>
        <v/>
      </c>
      <c r="K64" s="40" t="str">
        <f aca="false">IF($I64="","",LEN($I64))</f>
        <v/>
      </c>
      <c r="L64" s="13"/>
      <c r="M64" s="13"/>
      <c r="N64" s="13"/>
      <c r="O64" s="13"/>
      <c r="P64" s="152"/>
      <c r="Q64" s="149"/>
      <c r="R64" s="152"/>
      <c r="S64" s="152"/>
      <c r="T64" s="62" t="str">
        <f aca="false">IF(OR($C64="",R64=""),"",IF(R64/IF($R$2="",100,$R$2)&gt;=設定!$I$28,設定!$G$8,IF(R64/IF($R$2="",100,$R$2)&lt;設定!$I$29,設定!$G$10,設定!$G$9)))</f>
        <v/>
      </c>
      <c r="U64" s="62" t="str">
        <f aca="false">IF(OR($C64="",S64=""),"",IF(S64/IF($S$2="",100,$S$2)&gt;=設定!$I$28,設定!$G$8,IF(S64/IF($S$2="",100,$S$2)&lt;設定!$I$29,設定!$G$10,設定!$G$9)))</f>
        <v/>
      </c>
    </row>
    <row r="65" customFormat="false" ht="21" hidden="false" customHeight="true" outlineLevel="0" collapsed="false">
      <c r="A65" s="91" t="str">
        <f aca="false">IF(名簿!$D65="","",名簿!$B65&amp;"")</f>
        <v/>
      </c>
      <c r="B65" s="91" t="str">
        <f aca="false">IF(名簿!$D65="","",名簿!$C65)</f>
        <v/>
      </c>
      <c r="C65" s="59" t="str">
        <f aca="false">IF(名簿!$D65="","",名簿!$D65&amp;IF(名簿!$F65="転出","（転出）",""))</f>
        <v/>
      </c>
      <c r="D65" s="149"/>
      <c r="E65" s="61" t="str">
        <f aca="false">IF(OR($C65="",名簿!$F65="転出"),"",IF($C$2="学級ごと",$A65,IF($C$2="前の単元と同じ",単元02!$E65&amp;"",$D65&amp;"")))</f>
        <v/>
      </c>
      <c r="F65" s="150"/>
      <c r="G65" s="150"/>
      <c r="H65" s="150"/>
      <c r="I65" s="151"/>
      <c r="J65" s="41" t="str">
        <f aca="false">IF($E65="","",$E65&amp;"|"&amp;COUNTIF($E$5:$E65,$E65))</f>
        <v/>
      </c>
      <c r="K65" s="40" t="str">
        <f aca="false">IF($I65="","",LEN($I65))</f>
        <v/>
      </c>
      <c r="L65" s="13"/>
      <c r="M65" s="13"/>
      <c r="N65" s="13"/>
      <c r="O65" s="13"/>
      <c r="P65" s="152"/>
      <c r="Q65" s="149"/>
      <c r="R65" s="152"/>
      <c r="S65" s="152"/>
      <c r="T65" s="62" t="str">
        <f aca="false">IF(OR($C65="",R65=""),"",IF(R65/IF($R$2="",100,$R$2)&gt;=設定!$I$28,設定!$G$8,IF(R65/IF($R$2="",100,$R$2)&lt;設定!$I$29,設定!$G$10,設定!$G$9)))</f>
        <v/>
      </c>
      <c r="U65" s="62" t="str">
        <f aca="false">IF(OR($C65="",S65=""),"",IF(S65/IF($S$2="",100,$S$2)&gt;=設定!$I$28,設定!$G$8,IF(S65/IF($S$2="",100,$S$2)&lt;設定!$I$29,設定!$G$10,設定!$G$9)))</f>
        <v/>
      </c>
    </row>
    <row r="66" customFormat="false" ht="21" hidden="false" customHeight="true" outlineLevel="0" collapsed="false">
      <c r="A66" s="91" t="str">
        <f aca="false">IF(名簿!$D66="","",名簿!$B66&amp;"")</f>
        <v/>
      </c>
      <c r="B66" s="91" t="str">
        <f aca="false">IF(名簿!$D66="","",名簿!$C66)</f>
        <v/>
      </c>
      <c r="C66" s="59" t="str">
        <f aca="false">IF(名簿!$D66="","",名簿!$D66&amp;IF(名簿!$F66="転出","（転出）",""))</f>
        <v/>
      </c>
      <c r="D66" s="149"/>
      <c r="E66" s="61" t="str">
        <f aca="false">IF(OR($C66="",名簿!$F66="転出"),"",IF($C$2="学級ごと",$A66,IF($C$2="前の単元と同じ",単元02!$E66&amp;"",$D66&amp;"")))</f>
        <v/>
      </c>
      <c r="F66" s="150"/>
      <c r="G66" s="150"/>
      <c r="H66" s="150"/>
      <c r="I66" s="151"/>
      <c r="J66" s="41" t="str">
        <f aca="false">IF($E66="","",$E66&amp;"|"&amp;COUNTIF($E$5:$E66,$E66))</f>
        <v/>
      </c>
      <c r="K66" s="40" t="str">
        <f aca="false">IF($I66="","",LEN($I66))</f>
        <v/>
      </c>
      <c r="L66" s="13"/>
      <c r="M66" s="13"/>
      <c r="N66" s="13"/>
      <c r="O66" s="13"/>
      <c r="P66" s="152"/>
      <c r="Q66" s="149"/>
      <c r="R66" s="152"/>
      <c r="S66" s="152"/>
      <c r="T66" s="62" t="str">
        <f aca="false">IF(OR($C66="",R66=""),"",IF(R66/IF($R$2="",100,$R$2)&gt;=設定!$I$28,設定!$G$8,IF(R66/IF($R$2="",100,$R$2)&lt;設定!$I$29,設定!$G$10,設定!$G$9)))</f>
        <v/>
      </c>
      <c r="U66" s="62" t="str">
        <f aca="false">IF(OR($C66="",S66=""),"",IF(S66/IF($S$2="",100,$S$2)&gt;=設定!$I$28,設定!$G$8,IF(S66/IF($S$2="",100,$S$2)&lt;設定!$I$29,設定!$G$10,設定!$G$9)))</f>
        <v/>
      </c>
    </row>
    <row r="67" customFormat="false" ht="21" hidden="false" customHeight="true" outlineLevel="0" collapsed="false">
      <c r="A67" s="91" t="str">
        <f aca="false">IF(名簿!$D67="","",名簿!$B67&amp;"")</f>
        <v/>
      </c>
      <c r="B67" s="91" t="str">
        <f aca="false">IF(名簿!$D67="","",名簿!$C67)</f>
        <v/>
      </c>
      <c r="C67" s="59" t="str">
        <f aca="false">IF(名簿!$D67="","",名簿!$D67&amp;IF(名簿!$F67="転出","（転出）",""))</f>
        <v/>
      </c>
      <c r="D67" s="149"/>
      <c r="E67" s="61" t="str">
        <f aca="false">IF(OR($C67="",名簿!$F67="転出"),"",IF($C$2="学級ごと",$A67,IF($C$2="前の単元と同じ",単元02!$E67&amp;"",$D67&amp;"")))</f>
        <v/>
      </c>
      <c r="F67" s="150"/>
      <c r="G67" s="150"/>
      <c r="H67" s="150"/>
      <c r="I67" s="151"/>
      <c r="J67" s="41" t="str">
        <f aca="false">IF($E67="","",$E67&amp;"|"&amp;COUNTIF($E$5:$E67,$E67))</f>
        <v/>
      </c>
      <c r="K67" s="40" t="str">
        <f aca="false">IF($I67="","",LEN($I67))</f>
        <v/>
      </c>
      <c r="L67" s="13"/>
      <c r="M67" s="13"/>
      <c r="N67" s="13"/>
      <c r="O67" s="13"/>
      <c r="P67" s="152"/>
      <c r="Q67" s="149"/>
      <c r="R67" s="152"/>
      <c r="S67" s="152"/>
      <c r="T67" s="62" t="str">
        <f aca="false">IF(OR($C67="",R67=""),"",IF(R67/IF($R$2="",100,$R$2)&gt;=設定!$I$28,設定!$G$8,IF(R67/IF($R$2="",100,$R$2)&lt;設定!$I$29,設定!$G$10,設定!$G$9)))</f>
        <v/>
      </c>
      <c r="U67" s="62" t="str">
        <f aca="false">IF(OR($C67="",S67=""),"",IF(S67/IF($S$2="",100,$S$2)&gt;=設定!$I$28,設定!$G$8,IF(S67/IF($S$2="",100,$S$2)&lt;設定!$I$29,設定!$G$10,設定!$G$9)))</f>
        <v/>
      </c>
    </row>
    <row r="68" customFormat="false" ht="21" hidden="false" customHeight="true" outlineLevel="0" collapsed="false">
      <c r="A68" s="91" t="str">
        <f aca="false">IF(名簿!$D68="","",名簿!$B68&amp;"")</f>
        <v/>
      </c>
      <c r="B68" s="91" t="str">
        <f aca="false">IF(名簿!$D68="","",名簿!$C68)</f>
        <v/>
      </c>
      <c r="C68" s="59" t="str">
        <f aca="false">IF(名簿!$D68="","",名簿!$D68&amp;IF(名簿!$F68="転出","（転出）",""))</f>
        <v/>
      </c>
      <c r="D68" s="149"/>
      <c r="E68" s="61" t="str">
        <f aca="false">IF(OR($C68="",名簿!$F68="転出"),"",IF($C$2="学級ごと",$A68,IF($C$2="前の単元と同じ",単元02!$E68&amp;"",$D68&amp;"")))</f>
        <v/>
      </c>
      <c r="F68" s="150"/>
      <c r="G68" s="150"/>
      <c r="H68" s="150"/>
      <c r="I68" s="151"/>
      <c r="J68" s="41" t="str">
        <f aca="false">IF($E68="","",$E68&amp;"|"&amp;COUNTIF($E$5:$E68,$E68))</f>
        <v/>
      </c>
      <c r="K68" s="40" t="str">
        <f aca="false">IF($I68="","",LEN($I68))</f>
        <v/>
      </c>
      <c r="L68" s="13"/>
      <c r="M68" s="13"/>
      <c r="N68" s="13"/>
      <c r="O68" s="13"/>
      <c r="P68" s="152"/>
      <c r="Q68" s="149"/>
      <c r="R68" s="152"/>
      <c r="S68" s="152"/>
      <c r="T68" s="62" t="str">
        <f aca="false">IF(OR($C68="",R68=""),"",IF(R68/IF($R$2="",100,$R$2)&gt;=設定!$I$28,設定!$G$8,IF(R68/IF($R$2="",100,$R$2)&lt;設定!$I$29,設定!$G$10,設定!$G$9)))</f>
        <v/>
      </c>
      <c r="U68" s="62" t="str">
        <f aca="false">IF(OR($C68="",S68=""),"",IF(S68/IF($S$2="",100,$S$2)&gt;=設定!$I$28,設定!$G$8,IF(S68/IF($S$2="",100,$S$2)&lt;設定!$I$29,設定!$G$10,設定!$G$9)))</f>
        <v/>
      </c>
    </row>
    <row r="69" customFormat="false" ht="21" hidden="false" customHeight="true" outlineLevel="0" collapsed="false">
      <c r="A69" s="91" t="str">
        <f aca="false">IF(名簿!$D69="","",名簿!$B69&amp;"")</f>
        <v/>
      </c>
      <c r="B69" s="91" t="str">
        <f aca="false">IF(名簿!$D69="","",名簿!$C69)</f>
        <v/>
      </c>
      <c r="C69" s="59" t="str">
        <f aca="false">IF(名簿!$D69="","",名簿!$D69&amp;IF(名簿!$F69="転出","（転出）",""))</f>
        <v/>
      </c>
      <c r="D69" s="149"/>
      <c r="E69" s="61" t="str">
        <f aca="false">IF(OR($C69="",名簿!$F69="転出"),"",IF($C$2="学級ごと",$A69,IF($C$2="前の単元と同じ",単元02!$E69&amp;"",$D69&amp;"")))</f>
        <v/>
      </c>
      <c r="F69" s="150"/>
      <c r="G69" s="150"/>
      <c r="H69" s="150"/>
      <c r="I69" s="151"/>
      <c r="J69" s="41" t="str">
        <f aca="false">IF($E69="","",$E69&amp;"|"&amp;COUNTIF($E$5:$E69,$E69))</f>
        <v/>
      </c>
      <c r="K69" s="40" t="str">
        <f aca="false">IF($I69="","",LEN($I69))</f>
        <v/>
      </c>
      <c r="L69" s="13"/>
      <c r="M69" s="13"/>
      <c r="N69" s="13"/>
      <c r="O69" s="13"/>
      <c r="P69" s="152"/>
      <c r="Q69" s="149"/>
      <c r="R69" s="152"/>
      <c r="S69" s="152"/>
      <c r="T69" s="62" t="str">
        <f aca="false">IF(OR($C69="",R69=""),"",IF(R69/IF($R$2="",100,$R$2)&gt;=設定!$I$28,設定!$G$8,IF(R69/IF($R$2="",100,$R$2)&lt;設定!$I$29,設定!$G$10,設定!$G$9)))</f>
        <v/>
      </c>
      <c r="U69" s="62" t="str">
        <f aca="false">IF(OR($C69="",S69=""),"",IF(S69/IF($S$2="",100,$S$2)&gt;=設定!$I$28,設定!$G$8,IF(S69/IF($S$2="",100,$S$2)&lt;設定!$I$29,設定!$G$10,設定!$G$9)))</f>
        <v/>
      </c>
    </row>
    <row r="70" customFormat="false" ht="21" hidden="false" customHeight="true" outlineLevel="0" collapsed="false">
      <c r="A70" s="91" t="str">
        <f aca="false">IF(名簿!$D70="","",名簿!$B70&amp;"")</f>
        <v/>
      </c>
      <c r="B70" s="91" t="str">
        <f aca="false">IF(名簿!$D70="","",名簿!$C70)</f>
        <v/>
      </c>
      <c r="C70" s="59" t="str">
        <f aca="false">IF(名簿!$D70="","",名簿!$D70&amp;IF(名簿!$F70="転出","（転出）",""))</f>
        <v/>
      </c>
      <c r="D70" s="149"/>
      <c r="E70" s="61" t="str">
        <f aca="false">IF(OR($C70="",名簿!$F70="転出"),"",IF($C$2="学級ごと",$A70,IF($C$2="前の単元と同じ",単元02!$E70&amp;"",$D70&amp;"")))</f>
        <v/>
      </c>
      <c r="F70" s="150"/>
      <c r="G70" s="150"/>
      <c r="H70" s="150"/>
      <c r="I70" s="151"/>
      <c r="J70" s="41" t="str">
        <f aca="false">IF($E70="","",$E70&amp;"|"&amp;COUNTIF($E$5:$E70,$E70))</f>
        <v/>
      </c>
      <c r="K70" s="40" t="str">
        <f aca="false">IF($I70="","",LEN($I70))</f>
        <v/>
      </c>
      <c r="L70" s="13"/>
      <c r="M70" s="13"/>
      <c r="N70" s="13"/>
      <c r="O70" s="13"/>
      <c r="P70" s="152"/>
      <c r="Q70" s="149"/>
      <c r="R70" s="152"/>
      <c r="S70" s="152"/>
      <c r="T70" s="62" t="str">
        <f aca="false">IF(OR($C70="",R70=""),"",IF(R70/IF($R$2="",100,$R$2)&gt;=設定!$I$28,設定!$G$8,IF(R70/IF($R$2="",100,$R$2)&lt;設定!$I$29,設定!$G$10,設定!$G$9)))</f>
        <v/>
      </c>
      <c r="U70" s="62" t="str">
        <f aca="false">IF(OR($C70="",S70=""),"",IF(S70/IF($S$2="",100,$S$2)&gt;=設定!$I$28,設定!$G$8,IF(S70/IF($S$2="",100,$S$2)&lt;設定!$I$29,設定!$G$10,設定!$G$9)))</f>
        <v/>
      </c>
    </row>
    <row r="71" customFormat="false" ht="21" hidden="false" customHeight="true" outlineLevel="0" collapsed="false">
      <c r="A71" s="91" t="str">
        <f aca="false">IF(名簿!$D71="","",名簿!$B71&amp;"")</f>
        <v/>
      </c>
      <c r="B71" s="91" t="str">
        <f aca="false">IF(名簿!$D71="","",名簿!$C71)</f>
        <v/>
      </c>
      <c r="C71" s="59" t="str">
        <f aca="false">IF(名簿!$D71="","",名簿!$D71&amp;IF(名簿!$F71="転出","（転出）",""))</f>
        <v/>
      </c>
      <c r="D71" s="149"/>
      <c r="E71" s="61" t="str">
        <f aca="false">IF(OR($C71="",名簿!$F71="転出"),"",IF($C$2="学級ごと",$A71,IF($C$2="前の単元と同じ",単元02!$E71&amp;"",$D71&amp;"")))</f>
        <v/>
      </c>
      <c r="F71" s="150"/>
      <c r="G71" s="150"/>
      <c r="H71" s="150"/>
      <c r="I71" s="151"/>
      <c r="J71" s="41" t="str">
        <f aca="false">IF($E71="","",$E71&amp;"|"&amp;COUNTIF($E$5:$E71,$E71))</f>
        <v/>
      </c>
      <c r="K71" s="40" t="str">
        <f aca="false">IF($I71="","",LEN($I71))</f>
        <v/>
      </c>
      <c r="L71" s="13"/>
      <c r="M71" s="13"/>
      <c r="N71" s="13"/>
      <c r="O71" s="13"/>
      <c r="P71" s="152"/>
      <c r="Q71" s="149"/>
      <c r="R71" s="152"/>
      <c r="S71" s="152"/>
      <c r="T71" s="62" t="str">
        <f aca="false">IF(OR($C71="",R71=""),"",IF(R71/IF($R$2="",100,$R$2)&gt;=設定!$I$28,設定!$G$8,IF(R71/IF($R$2="",100,$R$2)&lt;設定!$I$29,設定!$G$10,設定!$G$9)))</f>
        <v/>
      </c>
      <c r="U71" s="62" t="str">
        <f aca="false">IF(OR($C71="",S71=""),"",IF(S71/IF($S$2="",100,$S$2)&gt;=設定!$I$28,設定!$G$8,IF(S71/IF($S$2="",100,$S$2)&lt;設定!$I$29,設定!$G$10,設定!$G$9)))</f>
        <v/>
      </c>
    </row>
    <row r="72" customFormat="false" ht="21" hidden="false" customHeight="true" outlineLevel="0" collapsed="false">
      <c r="A72" s="91" t="str">
        <f aca="false">IF(名簿!$D72="","",名簿!$B72&amp;"")</f>
        <v/>
      </c>
      <c r="B72" s="91" t="str">
        <f aca="false">IF(名簿!$D72="","",名簿!$C72)</f>
        <v/>
      </c>
      <c r="C72" s="59" t="str">
        <f aca="false">IF(名簿!$D72="","",名簿!$D72&amp;IF(名簿!$F72="転出","（転出）",""))</f>
        <v/>
      </c>
      <c r="D72" s="149"/>
      <c r="E72" s="61" t="str">
        <f aca="false">IF(OR($C72="",名簿!$F72="転出"),"",IF($C$2="学級ごと",$A72,IF($C$2="前の単元と同じ",単元02!$E72&amp;"",$D72&amp;"")))</f>
        <v/>
      </c>
      <c r="F72" s="150"/>
      <c r="G72" s="150"/>
      <c r="H72" s="150"/>
      <c r="I72" s="151"/>
      <c r="J72" s="41" t="str">
        <f aca="false">IF($E72="","",$E72&amp;"|"&amp;COUNTIF($E$5:$E72,$E72))</f>
        <v/>
      </c>
      <c r="K72" s="40" t="str">
        <f aca="false">IF($I72="","",LEN($I72))</f>
        <v/>
      </c>
      <c r="L72" s="13"/>
      <c r="M72" s="13"/>
      <c r="N72" s="13"/>
      <c r="O72" s="13"/>
      <c r="P72" s="152"/>
      <c r="Q72" s="149"/>
      <c r="R72" s="152"/>
      <c r="S72" s="152"/>
      <c r="T72" s="62" t="str">
        <f aca="false">IF(OR($C72="",R72=""),"",IF(R72/IF($R$2="",100,$R$2)&gt;=設定!$I$28,設定!$G$8,IF(R72/IF($R$2="",100,$R$2)&lt;設定!$I$29,設定!$G$10,設定!$G$9)))</f>
        <v/>
      </c>
      <c r="U72" s="62" t="str">
        <f aca="false">IF(OR($C72="",S72=""),"",IF(S72/IF($S$2="",100,$S$2)&gt;=設定!$I$28,設定!$G$8,IF(S72/IF($S$2="",100,$S$2)&lt;設定!$I$29,設定!$G$10,設定!$G$9)))</f>
        <v/>
      </c>
    </row>
    <row r="73" customFormat="false" ht="21" hidden="false" customHeight="true" outlineLevel="0" collapsed="false">
      <c r="A73" s="91" t="str">
        <f aca="false">IF(名簿!$D73="","",名簿!$B73&amp;"")</f>
        <v/>
      </c>
      <c r="B73" s="91" t="str">
        <f aca="false">IF(名簿!$D73="","",名簿!$C73)</f>
        <v/>
      </c>
      <c r="C73" s="59" t="str">
        <f aca="false">IF(名簿!$D73="","",名簿!$D73&amp;IF(名簿!$F73="転出","（転出）",""))</f>
        <v/>
      </c>
      <c r="D73" s="149"/>
      <c r="E73" s="61" t="str">
        <f aca="false">IF(OR($C73="",名簿!$F73="転出"),"",IF($C$2="学級ごと",$A73,IF($C$2="前の単元と同じ",単元02!$E73&amp;"",$D73&amp;"")))</f>
        <v/>
      </c>
      <c r="F73" s="150"/>
      <c r="G73" s="150"/>
      <c r="H73" s="150"/>
      <c r="I73" s="151"/>
      <c r="J73" s="41" t="str">
        <f aca="false">IF($E73="","",$E73&amp;"|"&amp;COUNTIF($E$5:$E73,$E73))</f>
        <v/>
      </c>
      <c r="K73" s="40" t="str">
        <f aca="false">IF($I73="","",LEN($I73))</f>
        <v/>
      </c>
      <c r="L73" s="13"/>
      <c r="M73" s="13"/>
      <c r="N73" s="13"/>
      <c r="O73" s="13"/>
      <c r="P73" s="152"/>
      <c r="Q73" s="149"/>
      <c r="R73" s="152"/>
      <c r="S73" s="152"/>
      <c r="T73" s="62" t="str">
        <f aca="false">IF(OR($C73="",R73=""),"",IF(R73/IF($R$2="",100,$R$2)&gt;=設定!$I$28,設定!$G$8,IF(R73/IF($R$2="",100,$R$2)&lt;設定!$I$29,設定!$G$10,設定!$G$9)))</f>
        <v/>
      </c>
      <c r="U73" s="62" t="str">
        <f aca="false">IF(OR($C73="",S73=""),"",IF(S73/IF($S$2="",100,$S$2)&gt;=設定!$I$28,設定!$G$8,IF(S73/IF($S$2="",100,$S$2)&lt;設定!$I$29,設定!$G$10,設定!$G$9)))</f>
        <v/>
      </c>
    </row>
    <row r="74" customFormat="false" ht="21" hidden="false" customHeight="true" outlineLevel="0" collapsed="false">
      <c r="A74" s="91" t="str">
        <f aca="false">IF(名簿!$D74="","",名簿!$B74&amp;"")</f>
        <v/>
      </c>
      <c r="B74" s="91" t="str">
        <f aca="false">IF(名簿!$D74="","",名簿!$C74)</f>
        <v/>
      </c>
      <c r="C74" s="59" t="str">
        <f aca="false">IF(名簿!$D74="","",名簿!$D74&amp;IF(名簿!$F74="転出","（転出）",""))</f>
        <v/>
      </c>
      <c r="D74" s="149"/>
      <c r="E74" s="61" t="str">
        <f aca="false">IF(OR($C74="",名簿!$F74="転出"),"",IF($C$2="学級ごと",$A74,IF($C$2="前の単元と同じ",単元02!$E74&amp;"",$D74&amp;"")))</f>
        <v/>
      </c>
      <c r="F74" s="150"/>
      <c r="G74" s="150"/>
      <c r="H74" s="150"/>
      <c r="I74" s="151"/>
      <c r="J74" s="41" t="str">
        <f aca="false">IF($E74="","",$E74&amp;"|"&amp;COUNTIF($E$5:$E74,$E74))</f>
        <v/>
      </c>
      <c r="K74" s="40" t="str">
        <f aca="false">IF($I74="","",LEN($I74))</f>
        <v/>
      </c>
      <c r="L74" s="13"/>
      <c r="M74" s="13"/>
      <c r="N74" s="13"/>
      <c r="O74" s="13"/>
      <c r="P74" s="152"/>
      <c r="Q74" s="149"/>
      <c r="R74" s="152"/>
      <c r="S74" s="152"/>
      <c r="T74" s="62" t="str">
        <f aca="false">IF(OR($C74="",R74=""),"",IF(R74/IF($R$2="",100,$R$2)&gt;=設定!$I$28,設定!$G$8,IF(R74/IF($R$2="",100,$R$2)&lt;設定!$I$29,設定!$G$10,設定!$G$9)))</f>
        <v/>
      </c>
      <c r="U74" s="62" t="str">
        <f aca="false">IF(OR($C74="",S74=""),"",IF(S74/IF($S$2="",100,$S$2)&gt;=設定!$I$28,設定!$G$8,IF(S74/IF($S$2="",100,$S$2)&lt;設定!$I$29,設定!$G$10,設定!$G$9)))</f>
        <v/>
      </c>
    </row>
    <row r="75" customFormat="false" ht="21" hidden="false" customHeight="true" outlineLevel="0" collapsed="false">
      <c r="A75" s="91" t="str">
        <f aca="false">IF(名簿!$D75="","",名簿!$B75&amp;"")</f>
        <v/>
      </c>
      <c r="B75" s="91" t="str">
        <f aca="false">IF(名簿!$D75="","",名簿!$C75)</f>
        <v/>
      </c>
      <c r="C75" s="59" t="str">
        <f aca="false">IF(名簿!$D75="","",名簿!$D75&amp;IF(名簿!$F75="転出","（転出）",""))</f>
        <v/>
      </c>
      <c r="D75" s="149"/>
      <c r="E75" s="61" t="str">
        <f aca="false">IF(OR($C75="",名簿!$F75="転出"),"",IF($C$2="学級ごと",$A75,IF($C$2="前の単元と同じ",単元02!$E75&amp;"",$D75&amp;"")))</f>
        <v/>
      </c>
      <c r="F75" s="150"/>
      <c r="G75" s="150"/>
      <c r="H75" s="150"/>
      <c r="I75" s="151"/>
      <c r="J75" s="41" t="str">
        <f aca="false">IF($E75="","",$E75&amp;"|"&amp;COUNTIF($E$5:$E75,$E75))</f>
        <v/>
      </c>
      <c r="K75" s="40" t="str">
        <f aca="false">IF($I75="","",LEN($I75))</f>
        <v/>
      </c>
      <c r="L75" s="13"/>
      <c r="M75" s="13"/>
      <c r="N75" s="13"/>
      <c r="O75" s="13"/>
      <c r="P75" s="152"/>
      <c r="Q75" s="149"/>
      <c r="R75" s="152"/>
      <c r="S75" s="152"/>
      <c r="T75" s="62" t="str">
        <f aca="false">IF(OR($C75="",R75=""),"",IF(R75/IF($R$2="",100,$R$2)&gt;=設定!$I$28,設定!$G$8,IF(R75/IF($R$2="",100,$R$2)&lt;設定!$I$29,設定!$G$10,設定!$G$9)))</f>
        <v/>
      </c>
      <c r="U75" s="62" t="str">
        <f aca="false">IF(OR($C75="",S75=""),"",IF(S75/IF($S$2="",100,$S$2)&gt;=設定!$I$28,設定!$G$8,IF(S75/IF($S$2="",100,$S$2)&lt;設定!$I$29,設定!$G$10,設定!$G$9)))</f>
        <v/>
      </c>
    </row>
    <row r="76" customFormat="false" ht="21" hidden="false" customHeight="true" outlineLevel="0" collapsed="false">
      <c r="A76" s="91" t="str">
        <f aca="false">IF(名簿!$D76="","",名簿!$B76&amp;"")</f>
        <v/>
      </c>
      <c r="B76" s="91" t="str">
        <f aca="false">IF(名簿!$D76="","",名簿!$C76)</f>
        <v/>
      </c>
      <c r="C76" s="59" t="str">
        <f aca="false">IF(名簿!$D76="","",名簿!$D76&amp;IF(名簿!$F76="転出","（転出）",""))</f>
        <v/>
      </c>
      <c r="D76" s="149"/>
      <c r="E76" s="61" t="str">
        <f aca="false">IF(OR($C76="",名簿!$F76="転出"),"",IF($C$2="学級ごと",$A76,IF($C$2="前の単元と同じ",単元02!$E76&amp;"",$D76&amp;"")))</f>
        <v/>
      </c>
      <c r="F76" s="150"/>
      <c r="G76" s="150"/>
      <c r="H76" s="150"/>
      <c r="I76" s="151"/>
      <c r="J76" s="41" t="str">
        <f aca="false">IF($E76="","",$E76&amp;"|"&amp;COUNTIF($E$5:$E76,$E76))</f>
        <v/>
      </c>
      <c r="K76" s="40" t="str">
        <f aca="false">IF($I76="","",LEN($I76))</f>
        <v/>
      </c>
      <c r="L76" s="13"/>
      <c r="M76" s="13"/>
      <c r="N76" s="13"/>
      <c r="O76" s="13"/>
      <c r="P76" s="152"/>
      <c r="Q76" s="149"/>
      <c r="R76" s="152"/>
      <c r="S76" s="152"/>
      <c r="T76" s="62" t="str">
        <f aca="false">IF(OR($C76="",R76=""),"",IF(R76/IF($R$2="",100,$R$2)&gt;=設定!$I$28,設定!$G$8,IF(R76/IF($R$2="",100,$R$2)&lt;設定!$I$29,設定!$G$10,設定!$G$9)))</f>
        <v/>
      </c>
      <c r="U76" s="62" t="str">
        <f aca="false">IF(OR($C76="",S76=""),"",IF(S76/IF($S$2="",100,$S$2)&gt;=設定!$I$28,設定!$G$8,IF(S76/IF($S$2="",100,$S$2)&lt;設定!$I$29,設定!$G$10,設定!$G$9)))</f>
        <v/>
      </c>
    </row>
    <row r="77" customFormat="false" ht="21" hidden="false" customHeight="true" outlineLevel="0" collapsed="false">
      <c r="A77" s="91" t="str">
        <f aca="false">IF(名簿!$D77="","",名簿!$B77&amp;"")</f>
        <v/>
      </c>
      <c r="B77" s="91" t="str">
        <f aca="false">IF(名簿!$D77="","",名簿!$C77)</f>
        <v/>
      </c>
      <c r="C77" s="59" t="str">
        <f aca="false">IF(名簿!$D77="","",名簿!$D77&amp;IF(名簿!$F77="転出","（転出）",""))</f>
        <v/>
      </c>
      <c r="D77" s="149"/>
      <c r="E77" s="61" t="str">
        <f aca="false">IF(OR($C77="",名簿!$F77="転出"),"",IF($C$2="学級ごと",$A77,IF($C$2="前の単元と同じ",単元02!$E77&amp;"",$D77&amp;"")))</f>
        <v/>
      </c>
      <c r="F77" s="150"/>
      <c r="G77" s="150"/>
      <c r="H77" s="150"/>
      <c r="I77" s="151"/>
      <c r="J77" s="41" t="str">
        <f aca="false">IF($E77="","",$E77&amp;"|"&amp;COUNTIF($E$5:$E77,$E77))</f>
        <v/>
      </c>
      <c r="K77" s="40" t="str">
        <f aca="false">IF($I77="","",LEN($I77))</f>
        <v/>
      </c>
      <c r="L77" s="13"/>
      <c r="M77" s="13"/>
      <c r="N77" s="13"/>
      <c r="O77" s="13"/>
      <c r="P77" s="152"/>
      <c r="Q77" s="149"/>
      <c r="R77" s="152"/>
      <c r="S77" s="152"/>
      <c r="T77" s="62" t="str">
        <f aca="false">IF(OR($C77="",R77=""),"",IF(R77/IF($R$2="",100,$R$2)&gt;=設定!$I$28,設定!$G$8,IF(R77/IF($R$2="",100,$R$2)&lt;設定!$I$29,設定!$G$10,設定!$G$9)))</f>
        <v/>
      </c>
      <c r="U77" s="62" t="str">
        <f aca="false">IF(OR($C77="",S77=""),"",IF(S77/IF($S$2="",100,$S$2)&gt;=設定!$I$28,設定!$G$8,IF(S77/IF($S$2="",100,$S$2)&lt;設定!$I$29,設定!$G$10,設定!$G$9)))</f>
        <v/>
      </c>
    </row>
    <row r="78" customFormat="false" ht="21" hidden="false" customHeight="true" outlineLevel="0" collapsed="false">
      <c r="A78" s="91" t="str">
        <f aca="false">IF(名簿!$D78="","",名簿!$B78&amp;"")</f>
        <v/>
      </c>
      <c r="B78" s="91" t="str">
        <f aca="false">IF(名簿!$D78="","",名簿!$C78)</f>
        <v/>
      </c>
      <c r="C78" s="59" t="str">
        <f aca="false">IF(名簿!$D78="","",名簿!$D78&amp;IF(名簿!$F78="転出","（転出）",""))</f>
        <v/>
      </c>
      <c r="D78" s="149"/>
      <c r="E78" s="61" t="str">
        <f aca="false">IF(OR($C78="",名簿!$F78="転出"),"",IF($C$2="学級ごと",$A78,IF($C$2="前の単元と同じ",単元02!$E78&amp;"",$D78&amp;"")))</f>
        <v/>
      </c>
      <c r="F78" s="150"/>
      <c r="G78" s="150"/>
      <c r="H78" s="150"/>
      <c r="I78" s="151"/>
      <c r="J78" s="41" t="str">
        <f aca="false">IF($E78="","",$E78&amp;"|"&amp;COUNTIF($E$5:$E78,$E78))</f>
        <v/>
      </c>
      <c r="K78" s="40" t="str">
        <f aca="false">IF($I78="","",LEN($I78))</f>
        <v/>
      </c>
      <c r="L78" s="13"/>
      <c r="M78" s="13"/>
      <c r="N78" s="13"/>
      <c r="O78" s="13"/>
      <c r="P78" s="152"/>
      <c r="Q78" s="149"/>
      <c r="R78" s="152"/>
      <c r="S78" s="152"/>
      <c r="T78" s="62" t="str">
        <f aca="false">IF(OR($C78="",R78=""),"",IF(R78/IF($R$2="",100,$R$2)&gt;=設定!$I$28,設定!$G$8,IF(R78/IF($R$2="",100,$R$2)&lt;設定!$I$29,設定!$G$10,設定!$G$9)))</f>
        <v/>
      </c>
      <c r="U78" s="62" t="str">
        <f aca="false">IF(OR($C78="",S78=""),"",IF(S78/IF($S$2="",100,$S$2)&gt;=設定!$I$28,設定!$G$8,IF(S78/IF($S$2="",100,$S$2)&lt;設定!$I$29,設定!$G$10,設定!$G$9)))</f>
        <v/>
      </c>
    </row>
    <row r="79" customFormat="false" ht="21" hidden="false" customHeight="true" outlineLevel="0" collapsed="false">
      <c r="A79" s="91" t="str">
        <f aca="false">IF(名簿!$D79="","",名簿!$B79&amp;"")</f>
        <v/>
      </c>
      <c r="B79" s="91" t="str">
        <f aca="false">IF(名簿!$D79="","",名簿!$C79)</f>
        <v/>
      </c>
      <c r="C79" s="59" t="str">
        <f aca="false">IF(名簿!$D79="","",名簿!$D79&amp;IF(名簿!$F79="転出","（転出）",""))</f>
        <v/>
      </c>
      <c r="D79" s="149"/>
      <c r="E79" s="61" t="str">
        <f aca="false">IF(OR($C79="",名簿!$F79="転出"),"",IF($C$2="学級ごと",$A79,IF($C$2="前の単元と同じ",単元02!$E79&amp;"",$D79&amp;"")))</f>
        <v/>
      </c>
      <c r="F79" s="150"/>
      <c r="G79" s="150"/>
      <c r="H79" s="150"/>
      <c r="I79" s="151"/>
      <c r="J79" s="41" t="str">
        <f aca="false">IF($E79="","",$E79&amp;"|"&amp;COUNTIF($E$5:$E79,$E79))</f>
        <v/>
      </c>
      <c r="K79" s="40" t="str">
        <f aca="false">IF($I79="","",LEN($I79))</f>
        <v/>
      </c>
      <c r="L79" s="13"/>
      <c r="M79" s="13"/>
      <c r="N79" s="13"/>
      <c r="O79" s="13"/>
      <c r="P79" s="152"/>
      <c r="Q79" s="149"/>
      <c r="R79" s="152"/>
      <c r="S79" s="152"/>
      <c r="T79" s="62" t="str">
        <f aca="false">IF(OR($C79="",R79=""),"",IF(R79/IF($R$2="",100,$R$2)&gt;=設定!$I$28,設定!$G$8,IF(R79/IF($R$2="",100,$R$2)&lt;設定!$I$29,設定!$G$10,設定!$G$9)))</f>
        <v/>
      </c>
      <c r="U79" s="62" t="str">
        <f aca="false">IF(OR($C79="",S79=""),"",IF(S79/IF($S$2="",100,$S$2)&gt;=設定!$I$28,設定!$G$8,IF(S79/IF($S$2="",100,$S$2)&lt;設定!$I$29,設定!$G$10,設定!$G$9)))</f>
        <v/>
      </c>
    </row>
    <row r="80" customFormat="false" ht="21" hidden="false" customHeight="true" outlineLevel="0" collapsed="false">
      <c r="A80" s="91" t="str">
        <f aca="false">IF(名簿!$D80="","",名簿!$B80&amp;"")</f>
        <v/>
      </c>
      <c r="B80" s="91" t="str">
        <f aca="false">IF(名簿!$D80="","",名簿!$C80)</f>
        <v/>
      </c>
      <c r="C80" s="59" t="str">
        <f aca="false">IF(名簿!$D80="","",名簿!$D80&amp;IF(名簿!$F80="転出","（転出）",""))</f>
        <v/>
      </c>
      <c r="D80" s="149"/>
      <c r="E80" s="61" t="str">
        <f aca="false">IF(OR($C80="",名簿!$F80="転出"),"",IF($C$2="学級ごと",$A80,IF($C$2="前の単元と同じ",単元02!$E80&amp;"",$D80&amp;"")))</f>
        <v/>
      </c>
      <c r="F80" s="150"/>
      <c r="G80" s="150"/>
      <c r="H80" s="150"/>
      <c r="I80" s="151"/>
      <c r="J80" s="41" t="str">
        <f aca="false">IF($E80="","",$E80&amp;"|"&amp;COUNTIF($E$5:$E80,$E80))</f>
        <v/>
      </c>
      <c r="K80" s="40" t="str">
        <f aca="false">IF($I80="","",LEN($I80))</f>
        <v/>
      </c>
      <c r="L80" s="13"/>
      <c r="M80" s="13"/>
      <c r="N80" s="13"/>
      <c r="O80" s="13"/>
      <c r="P80" s="152"/>
      <c r="Q80" s="149"/>
      <c r="R80" s="152"/>
      <c r="S80" s="152"/>
      <c r="T80" s="62" t="str">
        <f aca="false">IF(OR($C80="",R80=""),"",IF(R80/IF($R$2="",100,$R$2)&gt;=設定!$I$28,設定!$G$8,IF(R80/IF($R$2="",100,$R$2)&lt;設定!$I$29,設定!$G$10,設定!$G$9)))</f>
        <v/>
      </c>
      <c r="U80" s="62" t="str">
        <f aca="false">IF(OR($C80="",S80=""),"",IF(S80/IF($S$2="",100,$S$2)&gt;=設定!$I$28,設定!$G$8,IF(S80/IF($S$2="",100,$S$2)&lt;設定!$I$29,設定!$G$10,設定!$G$9)))</f>
        <v/>
      </c>
    </row>
    <row r="81" customFormat="false" ht="21" hidden="false" customHeight="true" outlineLevel="0" collapsed="false">
      <c r="A81" s="91" t="str">
        <f aca="false">IF(名簿!$D81="","",名簿!$B81&amp;"")</f>
        <v/>
      </c>
      <c r="B81" s="91" t="str">
        <f aca="false">IF(名簿!$D81="","",名簿!$C81)</f>
        <v/>
      </c>
      <c r="C81" s="59" t="str">
        <f aca="false">IF(名簿!$D81="","",名簿!$D81&amp;IF(名簿!$F81="転出","（転出）",""))</f>
        <v/>
      </c>
      <c r="D81" s="149"/>
      <c r="E81" s="61" t="str">
        <f aca="false">IF(OR($C81="",名簿!$F81="転出"),"",IF($C$2="学級ごと",$A81,IF($C$2="前の単元と同じ",単元02!$E81&amp;"",$D81&amp;"")))</f>
        <v/>
      </c>
      <c r="F81" s="150"/>
      <c r="G81" s="150"/>
      <c r="H81" s="150"/>
      <c r="I81" s="151"/>
      <c r="J81" s="41" t="str">
        <f aca="false">IF($E81="","",$E81&amp;"|"&amp;COUNTIF($E$5:$E81,$E81))</f>
        <v/>
      </c>
      <c r="K81" s="40" t="str">
        <f aca="false">IF($I81="","",LEN($I81))</f>
        <v/>
      </c>
      <c r="L81" s="13"/>
      <c r="M81" s="13"/>
      <c r="N81" s="13"/>
      <c r="O81" s="13"/>
      <c r="P81" s="152"/>
      <c r="Q81" s="149"/>
      <c r="R81" s="152"/>
      <c r="S81" s="152"/>
      <c r="T81" s="62" t="str">
        <f aca="false">IF(OR($C81="",R81=""),"",IF(R81/IF($R$2="",100,$R$2)&gt;=設定!$I$28,設定!$G$8,IF(R81/IF($R$2="",100,$R$2)&lt;設定!$I$29,設定!$G$10,設定!$G$9)))</f>
        <v/>
      </c>
      <c r="U81" s="62" t="str">
        <f aca="false">IF(OR($C81="",S81=""),"",IF(S81/IF($S$2="",100,$S$2)&gt;=設定!$I$28,設定!$G$8,IF(S81/IF($S$2="",100,$S$2)&lt;設定!$I$29,設定!$G$10,設定!$G$9)))</f>
        <v/>
      </c>
    </row>
    <row r="82" customFormat="false" ht="21" hidden="false" customHeight="true" outlineLevel="0" collapsed="false">
      <c r="A82" s="91" t="str">
        <f aca="false">IF(名簿!$D82="","",名簿!$B82&amp;"")</f>
        <v/>
      </c>
      <c r="B82" s="91" t="str">
        <f aca="false">IF(名簿!$D82="","",名簿!$C82)</f>
        <v/>
      </c>
      <c r="C82" s="59" t="str">
        <f aca="false">IF(名簿!$D82="","",名簿!$D82&amp;IF(名簿!$F82="転出","（転出）",""))</f>
        <v/>
      </c>
      <c r="D82" s="149"/>
      <c r="E82" s="61" t="str">
        <f aca="false">IF(OR($C82="",名簿!$F82="転出"),"",IF($C$2="学級ごと",$A82,IF($C$2="前の単元と同じ",単元02!$E82&amp;"",$D82&amp;"")))</f>
        <v/>
      </c>
      <c r="F82" s="150"/>
      <c r="G82" s="150"/>
      <c r="H82" s="150"/>
      <c r="I82" s="151"/>
      <c r="J82" s="41" t="str">
        <f aca="false">IF($E82="","",$E82&amp;"|"&amp;COUNTIF($E$5:$E82,$E82))</f>
        <v/>
      </c>
      <c r="K82" s="40" t="str">
        <f aca="false">IF($I82="","",LEN($I82))</f>
        <v/>
      </c>
      <c r="L82" s="13"/>
      <c r="M82" s="13"/>
      <c r="N82" s="13"/>
      <c r="O82" s="13"/>
      <c r="P82" s="152"/>
      <c r="Q82" s="149"/>
      <c r="R82" s="152"/>
      <c r="S82" s="152"/>
      <c r="T82" s="62" t="str">
        <f aca="false">IF(OR($C82="",R82=""),"",IF(R82/IF($R$2="",100,$R$2)&gt;=設定!$I$28,設定!$G$8,IF(R82/IF($R$2="",100,$R$2)&lt;設定!$I$29,設定!$G$10,設定!$G$9)))</f>
        <v/>
      </c>
      <c r="U82" s="62" t="str">
        <f aca="false">IF(OR($C82="",S82=""),"",IF(S82/IF($S$2="",100,$S$2)&gt;=設定!$I$28,設定!$G$8,IF(S82/IF($S$2="",100,$S$2)&lt;設定!$I$29,設定!$G$10,設定!$G$9)))</f>
        <v/>
      </c>
    </row>
    <row r="83" customFormat="false" ht="21" hidden="false" customHeight="true" outlineLevel="0" collapsed="false">
      <c r="A83" s="91" t="str">
        <f aca="false">IF(名簿!$D83="","",名簿!$B83&amp;"")</f>
        <v/>
      </c>
      <c r="B83" s="91" t="str">
        <f aca="false">IF(名簿!$D83="","",名簿!$C83)</f>
        <v/>
      </c>
      <c r="C83" s="59" t="str">
        <f aca="false">IF(名簿!$D83="","",名簿!$D83&amp;IF(名簿!$F83="転出","（転出）",""))</f>
        <v/>
      </c>
      <c r="D83" s="149"/>
      <c r="E83" s="61" t="str">
        <f aca="false">IF(OR($C83="",名簿!$F83="転出"),"",IF($C$2="学級ごと",$A83,IF($C$2="前の単元と同じ",単元02!$E83&amp;"",$D83&amp;"")))</f>
        <v/>
      </c>
      <c r="F83" s="150"/>
      <c r="G83" s="150"/>
      <c r="H83" s="150"/>
      <c r="I83" s="151"/>
      <c r="J83" s="41" t="str">
        <f aca="false">IF($E83="","",$E83&amp;"|"&amp;COUNTIF($E$5:$E83,$E83))</f>
        <v/>
      </c>
      <c r="K83" s="40" t="str">
        <f aca="false">IF($I83="","",LEN($I83))</f>
        <v/>
      </c>
      <c r="L83" s="13"/>
      <c r="M83" s="13"/>
      <c r="N83" s="13"/>
      <c r="O83" s="13"/>
      <c r="P83" s="152"/>
      <c r="Q83" s="149"/>
      <c r="R83" s="152"/>
      <c r="S83" s="152"/>
      <c r="T83" s="62" t="str">
        <f aca="false">IF(OR($C83="",R83=""),"",IF(R83/IF($R$2="",100,$R$2)&gt;=設定!$I$28,設定!$G$8,IF(R83/IF($R$2="",100,$R$2)&lt;設定!$I$29,設定!$G$10,設定!$G$9)))</f>
        <v/>
      </c>
      <c r="U83" s="62" t="str">
        <f aca="false">IF(OR($C83="",S83=""),"",IF(S83/IF($S$2="",100,$S$2)&gt;=設定!$I$28,設定!$G$8,IF(S83/IF($S$2="",100,$S$2)&lt;設定!$I$29,設定!$G$10,設定!$G$9)))</f>
        <v/>
      </c>
    </row>
    <row r="84" customFormat="false" ht="21" hidden="false" customHeight="true" outlineLevel="0" collapsed="false">
      <c r="A84" s="91" t="str">
        <f aca="false">IF(名簿!$D84="","",名簿!$B84&amp;"")</f>
        <v/>
      </c>
      <c r="B84" s="91" t="str">
        <f aca="false">IF(名簿!$D84="","",名簿!$C84)</f>
        <v/>
      </c>
      <c r="C84" s="59" t="str">
        <f aca="false">IF(名簿!$D84="","",名簿!$D84&amp;IF(名簿!$F84="転出","（転出）",""))</f>
        <v/>
      </c>
      <c r="D84" s="149"/>
      <c r="E84" s="61" t="str">
        <f aca="false">IF(OR($C84="",名簿!$F84="転出"),"",IF($C$2="学級ごと",$A84,IF($C$2="前の単元と同じ",単元02!$E84&amp;"",$D84&amp;"")))</f>
        <v/>
      </c>
      <c r="F84" s="150"/>
      <c r="G84" s="150"/>
      <c r="H84" s="150"/>
      <c r="I84" s="151"/>
      <c r="J84" s="41" t="str">
        <f aca="false">IF($E84="","",$E84&amp;"|"&amp;COUNTIF($E$5:$E84,$E84))</f>
        <v/>
      </c>
      <c r="K84" s="40" t="str">
        <f aca="false">IF($I84="","",LEN($I84))</f>
        <v/>
      </c>
      <c r="L84" s="13"/>
      <c r="M84" s="13"/>
      <c r="N84" s="13"/>
      <c r="O84" s="13"/>
      <c r="P84" s="152"/>
      <c r="Q84" s="149"/>
      <c r="R84" s="152"/>
      <c r="S84" s="152"/>
      <c r="T84" s="62" t="str">
        <f aca="false">IF(OR($C84="",R84=""),"",IF(R84/IF($R$2="",100,$R$2)&gt;=設定!$I$28,設定!$G$8,IF(R84/IF($R$2="",100,$R$2)&lt;設定!$I$29,設定!$G$10,設定!$G$9)))</f>
        <v/>
      </c>
      <c r="U84" s="62" t="str">
        <f aca="false">IF(OR($C84="",S84=""),"",IF(S84/IF($S$2="",100,$S$2)&gt;=設定!$I$28,設定!$G$8,IF(S84/IF($S$2="",100,$S$2)&lt;設定!$I$29,設定!$G$10,設定!$G$9)))</f>
        <v/>
      </c>
    </row>
    <row r="85" customFormat="false" ht="21" hidden="false" customHeight="true" outlineLevel="0" collapsed="false">
      <c r="A85" s="91" t="str">
        <f aca="false">IF(名簿!$D85="","",名簿!$B85&amp;"")</f>
        <v/>
      </c>
      <c r="B85" s="91" t="str">
        <f aca="false">IF(名簿!$D85="","",名簿!$C85)</f>
        <v/>
      </c>
      <c r="C85" s="59" t="str">
        <f aca="false">IF(名簿!$D85="","",名簿!$D85&amp;IF(名簿!$F85="転出","（転出）",""))</f>
        <v/>
      </c>
      <c r="D85" s="149"/>
      <c r="E85" s="61" t="str">
        <f aca="false">IF(OR($C85="",名簿!$F85="転出"),"",IF($C$2="学級ごと",$A85,IF($C$2="前の単元と同じ",単元02!$E85&amp;"",$D85&amp;"")))</f>
        <v/>
      </c>
      <c r="F85" s="150"/>
      <c r="G85" s="150"/>
      <c r="H85" s="150"/>
      <c r="I85" s="151"/>
      <c r="J85" s="41" t="str">
        <f aca="false">IF($E85="","",$E85&amp;"|"&amp;COUNTIF($E$5:$E85,$E85))</f>
        <v/>
      </c>
      <c r="K85" s="40" t="str">
        <f aca="false">IF($I85="","",LEN($I85))</f>
        <v/>
      </c>
      <c r="L85" s="13"/>
      <c r="M85" s="13"/>
      <c r="N85" s="13"/>
      <c r="O85" s="13"/>
      <c r="P85" s="152"/>
      <c r="Q85" s="149"/>
      <c r="R85" s="152"/>
      <c r="S85" s="152"/>
      <c r="T85" s="62" t="str">
        <f aca="false">IF(OR($C85="",R85=""),"",IF(R85/IF($R$2="",100,$R$2)&gt;=設定!$I$28,設定!$G$8,IF(R85/IF($R$2="",100,$R$2)&lt;設定!$I$29,設定!$G$10,設定!$G$9)))</f>
        <v/>
      </c>
      <c r="U85" s="62" t="str">
        <f aca="false">IF(OR($C85="",S85=""),"",IF(S85/IF($S$2="",100,$S$2)&gt;=設定!$I$28,設定!$G$8,IF(S85/IF($S$2="",100,$S$2)&lt;設定!$I$29,設定!$G$10,設定!$G$9)))</f>
        <v/>
      </c>
    </row>
    <row r="86" customFormat="false" ht="21" hidden="false" customHeight="true" outlineLevel="0" collapsed="false">
      <c r="A86" s="91" t="str">
        <f aca="false">IF(名簿!$D86="","",名簿!$B86&amp;"")</f>
        <v/>
      </c>
      <c r="B86" s="91" t="str">
        <f aca="false">IF(名簿!$D86="","",名簿!$C86)</f>
        <v/>
      </c>
      <c r="C86" s="59" t="str">
        <f aca="false">IF(名簿!$D86="","",名簿!$D86&amp;IF(名簿!$F86="転出","（転出）",""))</f>
        <v/>
      </c>
      <c r="D86" s="149"/>
      <c r="E86" s="61" t="str">
        <f aca="false">IF(OR($C86="",名簿!$F86="転出"),"",IF($C$2="学級ごと",$A86,IF($C$2="前の単元と同じ",単元02!$E86&amp;"",$D86&amp;"")))</f>
        <v/>
      </c>
      <c r="F86" s="150"/>
      <c r="G86" s="150"/>
      <c r="H86" s="150"/>
      <c r="I86" s="151"/>
      <c r="J86" s="41" t="str">
        <f aca="false">IF($E86="","",$E86&amp;"|"&amp;COUNTIF($E$5:$E86,$E86))</f>
        <v/>
      </c>
      <c r="K86" s="40" t="str">
        <f aca="false">IF($I86="","",LEN($I86))</f>
        <v/>
      </c>
      <c r="L86" s="13"/>
      <c r="M86" s="13"/>
      <c r="N86" s="13"/>
      <c r="O86" s="13"/>
      <c r="P86" s="152"/>
      <c r="Q86" s="149"/>
      <c r="R86" s="152"/>
      <c r="S86" s="152"/>
      <c r="T86" s="62" t="str">
        <f aca="false">IF(OR($C86="",R86=""),"",IF(R86/IF($R$2="",100,$R$2)&gt;=設定!$I$28,設定!$G$8,IF(R86/IF($R$2="",100,$R$2)&lt;設定!$I$29,設定!$G$10,設定!$G$9)))</f>
        <v/>
      </c>
      <c r="U86" s="62" t="str">
        <f aca="false">IF(OR($C86="",S86=""),"",IF(S86/IF($S$2="",100,$S$2)&gt;=設定!$I$28,設定!$G$8,IF(S86/IF($S$2="",100,$S$2)&lt;設定!$I$29,設定!$G$10,設定!$G$9)))</f>
        <v/>
      </c>
    </row>
    <row r="87" customFormat="false" ht="21" hidden="false" customHeight="true" outlineLevel="0" collapsed="false">
      <c r="A87" s="91" t="str">
        <f aca="false">IF(名簿!$D87="","",名簿!$B87&amp;"")</f>
        <v/>
      </c>
      <c r="B87" s="91" t="str">
        <f aca="false">IF(名簿!$D87="","",名簿!$C87)</f>
        <v/>
      </c>
      <c r="C87" s="59" t="str">
        <f aca="false">IF(名簿!$D87="","",名簿!$D87&amp;IF(名簿!$F87="転出","（転出）",""))</f>
        <v/>
      </c>
      <c r="D87" s="149"/>
      <c r="E87" s="61" t="str">
        <f aca="false">IF(OR($C87="",名簿!$F87="転出"),"",IF($C$2="学級ごと",$A87,IF($C$2="前の単元と同じ",単元02!$E87&amp;"",$D87&amp;"")))</f>
        <v/>
      </c>
      <c r="F87" s="150"/>
      <c r="G87" s="150"/>
      <c r="H87" s="150"/>
      <c r="I87" s="151"/>
      <c r="J87" s="41" t="str">
        <f aca="false">IF($E87="","",$E87&amp;"|"&amp;COUNTIF($E$5:$E87,$E87))</f>
        <v/>
      </c>
      <c r="K87" s="40" t="str">
        <f aca="false">IF($I87="","",LEN($I87))</f>
        <v/>
      </c>
      <c r="L87" s="13"/>
      <c r="M87" s="13"/>
      <c r="N87" s="13"/>
      <c r="O87" s="13"/>
      <c r="P87" s="152"/>
      <c r="Q87" s="149"/>
      <c r="R87" s="152"/>
      <c r="S87" s="152"/>
      <c r="T87" s="62" t="str">
        <f aca="false">IF(OR($C87="",R87=""),"",IF(R87/IF($R$2="",100,$R$2)&gt;=設定!$I$28,設定!$G$8,IF(R87/IF($R$2="",100,$R$2)&lt;設定!$I$29,設定!$G$10,設定!$G$9)))</f>
        <v/>
      </c>
      <c r="U87" s="62" t="str">
        <f aca="false">IF(OR($C87="",S87=""),"",IF(S87/IF($S$2="",100,$S$2)&gt;=設定!$I$28,設定!$G$8,IF(S87/IF($S$2="",100,$S$2)&lt;設定!$I$29,設定!$G$10,設定!$G$9)))</f>
        <v/>
      </c>
    </row>
    <row r="88" customFormat="false" ht="21" hidden="false" customHeight="true" outlineLevel="0" collapsed="false">
      <c r="A88" s="91" t="str">
        <f aca="false">IF(名簿!$D88="","",名簿!$B88&amp;"")</f>
        <v/>
      </c>
      <c r="B88" s="91" t="str">
        <f aca="false">IF(名簿!$D88="","",名簿!$C88)</f>
        <v/>
      </c>
      <c r="C88" s="59" t="str">
        <f aca="false">IF(名簿!$D88="","",名簿!$D88&amp;IF(名簿!$F88="転出","（転出）",""))</f>
        <v/>
      </c>
      <c r="D88" s="149"/>
      <c r="E88" s="61" t="str">
        <f aca="false">IF(OR($C88="",名簿!$F88="転出"),"",IF($C$2="学級ごと",$A88,IF($C$2="前の単元と同じ",単元02!$E88&amp;"",$D88&amp;"")))</f>
        <v/>
      </c>
      <c r="F88" s="150"/>
      <c r="G88" s="150"/>
      <c r="H88" s="150"/>
      <c r="I88" s="151"/>
      <c r="J88" s="41" t="str">
        <f aca="false">IF($E88="","",$E88&amp;"|"&amp;COUNTIF($E$5:$E88,$E88))</f>
        <v/>
      </c>
      <c r="K88" s="40" t="str">
        <f aca="false">IF($I88="","",LEN($I88))</f>
        <v/>
      </c>
      <c r="L88" s="13"/>
      <c r="M88" s="13"/>
      <c r="N88" s="13"/>
      <c r="O88" s="13"/>
      <c r="P88" s="152"/>
      <c r="Q88" s="149"/>
      <c r="R88" s="152"/>
      <c r="S88" s="152"/>
      <c r="T88" s="62" t="str">
        <f aca="false">IF(OR($C88="",R88=""),"",IF(R88/IF($R$2="",100,$R$2)&gt;=設定!$I$28,設定!$G$8,IF(R88/IF($R$2="",100,$R$2)&lt;設定!$I$29,設定!$G$10,設定!$G$9)))</f>
        <v/>
      </c>
      <c r="U88" s="62" t="str">
        <f aca="false">IF(OR($C88="",S88=""),"",IF(S88/IF($S$2="",100,$S$2)&gt;=設定!$I$28,設定!$G$8,IF(S88/IF($S$2="",100,$S$2)&lt;設定!$I$29,設定!$G$10,設定!$G$9)))</f>
        <v/>
      </c>
    </row>
    <row r="89" customFormat="false" ht="21" hidden="false" customHeight="true" outlineLevel="0" collapsed="false">
      <c r="A89" s="91" t="str">
        <f aca="false">IF(名簿!$D89="","",名簿!$B89&amp;"")</f>
        <v/>
      </c>
      <c r="B89" s="91" t="str">
        <f aca="false">IF(名簿!$D89="","",名簿!$C89)</f>
        <v/>
      </c>
      <c r="C89" s="59" t="str">
        <f aca="false">IF(名簿!$D89="","",名簿!$D89&amp;IF(名簿!$F89="転出","（転出）",""))</f>
        <v/>
      </c>
      <c r="D89" s="149"/>
      <c r="E89" s="61" t="str">
        <f aca="false">IF(OR($C89="",名簿!$F89="転出"),"",IF($C$2="学級ごと",$A89,IF($C$2="前の単元と同じ",単元02!$E89&amp;"",$D89&amp;"")))</f>
        <v/>
      </c>
      <c r="F89" s="150"/>
      <c r="G89" s="150"/>
      <c r="H89" s="150"/>
      <c r="I89" s="151"/>
      <c r="J89" s="41" t="str">
        <f aca="false">IF($E89="","",$E89&amp;"|"&amp;COUNTIF($E$5:$E89,$E89))</f>
        <v/>
      </c>
      <c r="K89" s="40" t="str">
        <f aca="false">IF($I89="","",LEN($I89))</f>
        <v/>
      </c>
      <c r="L89" s="13"/>
      <c r="M89" s="13"/>
      <c r="N89" s="13"/>
      <c r="O89" s="13"/>
      <c r="P89" s="152"/>
      <c r="Q89" s="149"/>
      <c r="R89" s="152"/>
      <c r="S89" s="152"/>
      <c r="T89" s="62" t="str">
        <f aca="false">IF(OR($C89="",R89=""),"",IF(R89/IF($R$2="",100,$R$2)&gt;=設定!$I$28,設定!$G$8,IF(R89/IF($R$2="",100,$R$2)&lt;設定!$I$29,設定!$G$10,設定!$G$9)))</f>
        <v/>
      </c>
      <c r="U89" s="62" t="str">
        <f aca="false">IF(OR($C89="",S89=""),"",IF(S89/IF($S$2="",100,$S$2)&gt;=設定!$I$28,設定!$G$8,IF(S89/IF($S$2="",100,$S$2)&lt;設定!$I$29,設定!$G$10,設定!$G$9)))</f>
        <v/>
      </c>
    </row>
    <row r="90" customFormat="false" ht="21" hidden="false" customHeight="true" outlineLevel="0" collapsed="false">
      <c r="A90" s="91" t="str">
        <f aca="false">IF(名簿!$D90="","",名簿!$B90&amp;"")</f>
        <v/>
      </c>
      <c r="B90" s="91" t="str">
        <f aca="false">IF(名簿!$D90="","",名簿!$C90)</f>
        <v/>
      </c>
      <c r="C90" s="59" t="str">
        <f aca="false">IF(名簿!$D90="","",名簿!$D90&amp;IF(名簿!$F90="転出","（転出）",""))</f>
        <v/>
      </c>
      <c r="D90" s="149"/>
      <c r="E90" s="61" t="str">
        <f aca="false">IF(OR($C90="",名簿!$F90="転出"),"",IF($C$2="学級ごと",$A90,IF($C$2="前の単元と同じ",単元02!$E90&amp;"",$D90&amp;"")))</f>
        <v/>
      </c>
      <c r="F90" s="150"/>
      <c r="G90" s="150"/>
      <c r="H90" s="150"/>
      <c r="I90" s="151"/>
      <c r="J90" s="41" t="str">
        <f aca="false">IF($E90="","",$E90&amp;"|"&amp;COUNTIF($E$5:$E90,$E90))</f>
        <v/>
      </c>
      <c r="K90" s="40" t="str">
        <f aca="false">IF($I90="","",LEN($I90))</f>
        <v/>
      </c>
      <c r="L90" s="13"/>
      <c r="M90" s="13"/>
      <c r="N90" s="13"/>
      <c r="O90" s="13"/>
      <c r="P90" s="152"/>
      <c r="Q90" s="149"/>
      <c r="R90" s="152"/>
      <c r="S90" s="152"/>
      <c r="T90" s="62" t="str">
        <f aca="false">IF(OR($C90="",R90=""),"",IF(R90/IF($R$2="",100,$R$2)&gt;=設定!$I$28,設定!$G$8,IF(R90/IF($R$2="",100,$R$2)&lt;設定!$I$29,設定!$G$10,設定!$G$9)))</f>
        <v/>
      </c>
      <c r="U90" s="62" t="str">
        <f aca="false">IF(OR($C90="",S90=""),"",IF(S90/IF($S$2="",100,$S$2)&gt;=設定!$I$28,設定!$G$8,IF(S90/IF($S$2="",100,$S$2)&lt;設定!$I$29,設定!$G$10,設定!$G$9)))</f>
        <v/>
      </c>
    </row>
    <row r="91" customFormat="false" ht="21" hidden="false" customHeight="true" outlineLevel="0" collapsed="false">
      <c r="A91" s="91" t="str">
        <f aca="false">IF(名簿!$D91="","",名簿!$B91&amp;"")</f>
        <v/>
      </c>
      <c r="B91" s="91" t="str">
        <f aca="false">IF(名簿!$D91="","",名簿!$C91)</f>
        <v/>
      </c>
      <c r="C91" s="59" t="str">
        <f aca="false">IF(名簿!$D91="","",名簿!$D91&amp;IF(名簿!$F91="転出","（転出）",""))</f>
        <v/>
      </c>
      <c r="D91" s="149"/>
      <c r="E91" s="61" t="str">
        <f aca="false">IF(OR($C91="",名簿!$F91="転出"),"",IF($C$2="学級ごと",$A91,IF($C$2="前の単元と同じ",単元02!$E91&amp;"",$D91&amp;"")))</f>
        <v/>
      </c>
      <c r="F91" s="150"/>
      <c r="G91" s="150"/>
      <c r="H91" s="150"/>
      <c r="I91" s="151"/>
      <c r="J91" s="41" t="str">
        <f aca="false">IF($E91="","",$E91&amp;"|"&amp;COUNTIF($E$5:$E91,$E91))</f>
        <v/>
      </c>
      <c r="K91" s="40" t="str">
        <f aca="false">IF($I91="","",LEN($I91))</f>
        <v/>
      </c>
      <c r="L91" s="13"/>
      <c r="M91" s="13"/>
      <c r="N91" s="13"/>
      <c r="O91" s="13"/>
      <c r="P91" s="152"/>
      <c r="Q91" s="149"/>
      <c r="R91" s="152"/>
      <c r="S91" s="152"/>
      <c r="T91" s="62" t="str">
        <f aca="false">IF(OR($C91="",R91=""),"",IF(R91/IF($R$2="",100,$R$2)&gt;=設定!$I$28,設定!$G$8,IF(R91/IF($R$2="",100,$R$2)&lt;設定!$I$29,設定!$G$10,設定!$G$9)))</f>
        <v/>
      </c>
      <c r="U91" s="62" t="str">
        <f aca="false">IF(OR($C91="",S91=""),"",IF(S91/IF($S$2="",100,$S$2)&gt;=設定!$I$28,設定!$G$8,IF(S91/IF($S$2="",100,$S$2)&lt;設定!$I$29,設定!$G$10,設定!$G$9)))</f>
        <v/>
      </c>
    </row>
    <row r="92" customFormat="false" ht="21" hidden="false" customHeight="true" outlineLevel="0" collapsed="false">
      <c r="A92" s="91" t="str">
        <f aca="false">IF(名簿!$D92="","",名簿!$B92&amp;"")</f>
        <v/>
      </c>
      <c r="B92" s="91" t="str">
        <f aca="false">IF(名簿!$D92="","",名簿!$C92)</f>
        <v/>
      </c>
      <c r="C92" s="59" t="str">
        <f aca="false">IF(名簿!$D92="","",名簿!$D92&amp;IF(名簿!$F92="転出","（転出）",""))</f>
        <v/>
      </c>
      <c r="D92" s="149"/>
      <c r="E92" s="61" t="str">
        <f aca="false">IF(OR($C92="",名簿!$F92="転出"),"",IF($C$2="学級ごと",$A92,IF($C$2="前の単元と同じ",単元02!$E92&amp;"",$D92&amp;"")))</f>
        <v/>
      </c>
      <c r="F92" s="150"/>
      <c r="G92" s="150"/>
      <c r="H92" s="150"/>
      <c r="I92" s="151"/>
      <c r="J92" s="41" t="str">
        <f aca="false">IF($E92="","",$E92&amp;"|"&amp;COUNTIF($E$5:$E92,$E92))</f>
        <v/>
      </c>
      <c r="K92" s="40" t="str">
        <f aca="false">IF($I92="","",LEN($I92))</f>
        <v/>
      </c>
      <c r="L92" s="13"/>
      <c r="M92" s="13"/>
      <c r="N92" s="13"/>
      <c r="O92" s="13"/>
      <c r="P92" s="152"/>
      <c r="Q92" s="149"/>
      <c r="R92" s="152"/>
      <c r="S92" s="152"/>
      <c r="T92" s="62" t="str">
        <f aca="false">IF(OR($C92="",R92=""),"",IF(R92/IF($R$2="",100,$R$2)&gt;=設定!$I$28,設定!$G$8,IF(R92/IF($R$2="",100,$R$2)&lt;設定!$I$29,設定!$G$10,設定!$G$9)))</f>
        <v/>
      </c>
      <c r="U92" s="62" t="str">
        <f aca="false">IF(OR($C92="",S92=""),"",IF(S92/IF($S$2="",100,$S$2)&gt;=設定!$I$28,設定!$G$8,IF(S92/IF($S$2="",100,$S$2)&lt;設定!$I$29,設定!$G$10,設定!$G$9)))</f>
        <v/>
      </c>
    </row>
    <row r="93" customFormat="false" ht="21" hidden="false" customHeight="true" outlineLevel="0" collapsed="false">
      <c r="A93" s="91" t="str">
        <f aca="false">IF(名簿!$D93="","",名簿!$B93&amp;"")</f>
        <v/>
      </c>
      <c r="B93" s="91" t="str">
        <f aca="false">IF(名簿!$D93="","",名簿!$C93)</f>
        <v/>
      </c>
      <c r="C93" s="59" t="str">
        <f aca="false">IF(名簿!$D93="","",名簿!$D93&amp;IF(名簿!$F93="転出","（転出）",""))</f>
        <v/>
      </c>
      <c r="D93" s="149"/>
      <c r="E93" s="61" t="str">
        <f aca="false">IF(OR($C93="",名簿!$F93="転出"),"",IF($C$2="学級ごと",$A93,IF($C$2="前の単元と同じ",単元02!$E93&amp;"",$D93&amp;"")))</f>
        <v/>
      </c>
      <c r="F93" s="150"/>
      <c r="G93" s="150"/>
      <c r="H93" s="150"/>
      <c r="I93" s="151"/>
      <c r="J93" s="41" t="str">
        <f aca="false">IF($E93="","",$E93&amp;"|"&amp;COUNTIF($E$5:$E93,$E93))</f>
        <v/>
      </c>
      <c r="K93" s="40" t="str">
        <f aca="false">IF($I93="","",LEN($I93))</f>
        <v/>
      </c>
      <c r="L93" s="13"/>
      <c r="M93" s="13"/>
      <c r="N93" s="13"/>
      <c r="O93" s="13"/>
      <c r="P93" s="152"/>
      <c r="Q93" s="149"/>
      <c r="R93" s="152"/>
      <c r="S93" s="152"/>
      <c r="T93" s="62" t="str">
        <f aca="false">IF(OR($C93="",R93=""),"",IF(R93/IF($R$2="",100,$R$2)&gt;=設定!$I$28,設定!$G$8,IF(R93/IF($R$2="",100,$R$2)&lt;設定!$I$29,設定!$G$10,設定!$G$9)))</f>
        <v/>
      </c>
      <c r="U93" s="62" t="str">
        <f aca="false">IF(OR($C93="",S93=""),"",IF(S93/IF($S$2="",100,$S$2)&gt;=設定!$I$28,設定!$G$8,IF(S93/IF($S$2="",100,$S$2)&lt;設定!$I$29,設定!$G$10,設定!$G$9)))</f>
        <v/>
      </c>
    </row>
    <row r="94" customFormat="false" ht="21" hidden="false" customHeight="true" outlineLevel="0" collapsed="false">
      <c r="A94" s="91" t="str">
        <f aca="false">IF(名簿!$D94="","",名簿!$B94&amp;"")</f>
        <v/>
      </c>
      <c r="B94" s="91" t="str">
        <f aca="false">IF(名簿!$D94="","",名簿!$C94)</f>
        <v/>
      </c>
      <c r="C94" s="59" t="str">
        <f aca="false">IF(名簿!$D94="","",名簿!$D94&amp;IF(名簿!$F94="転出","（転出）",""))</f>
        <v/>
      </c>
      <c r="D94" s="149"/>
      <c r="E94" s="61" t="str">
        <f aca="false">IF(OR($C94="",名簿!$F94="転出"),"",IF($C$2="学級ごと",$A94,IF($C$2="前の単元と同じ",単元02!$E94&amp;"",$D94&amp;"")))</f>
        <v/>
      </c>
      <c r="F94" s="150"/>
      <c r="G94" s="150"/>
      <c r="H94" s="150"/>
      <c r="I94" s="151"/>
      <c r="J94" s="41" t="str">
        <f aca="false">IF($E94="","",$E94&amp;"|"&amp;COUNTIF($E$5:$E94,$E94))</f>
        <v/>
      </c>
      <c r="K94" s="40" t="str">
        <f aca="false">IF($I94="","",LEN($I94))</f>
        <v/>
      </c>
      <c r="L94" s="13"/>
      <c r="M94" s="13"/>
      <c r="N94" s="13"/>
      <c r="O94" s="13"/>
      <c r="P94" s="152"/>
      <c r="Q94" s="149"/>
      <c r="R94" s="152"/>
      <c r="S94" s="152"/>
      <c r="T94" s="62" t="str">
        <f aca="false">IF(OR($C94="",R94=""),"",IF(R94/IF($R$2="",100,$R$2)&gt;=設定!$I$28,設定!$G$8,IF(R94/IF($R$2="",100,$R$2)&lt;設定!$I$29,設定!$G$10,設定!$G$9)))</f>
        <v/>
      </c>
      <c r="U94" s="62" t="str">
        <f aca="false">IF(OR($C94="",S94=""),"",IF(S94/IF($S$2="",100,$S$2)&gt;=設定!$I$28,設定!$G$8,IF(S94/IF($S$2="",100,$S$2)&lt;設定!$I$29,設定!$G$10,設定!$G$9)))</f>
        <v/>
      </c>
    </row>
    <row r="95" customFormat="false" ht="21" hidden="false" customHeight="true" outlineLevel="0" collapsed="false">
      <c r="A95" s="91" t="str">
        <f aca="false">IF(名簿!$D95="","",名簿!$B95&amp;"")</f>
        <v/>
      </c>
      <c r="B95" s="91" t="str">
        <f aca="false">IF(名簿!$D95="","",名簿!$C95)</f>
        <v/>
      </c>
      <c r="C95" s="59" t="str">
        <f aca="false">IF(名簿!$D95="","",名簿!$D95&amp;IF(名簿!$F95="転出","（転出）",""))</f>
        <v/>
      </c>
      <c r="D95" s="149"/>
      <c r="E95" s="61" t="str">
        <f aca="false">IF(OR($C95="",名簿!$F95="転出"),"",IF($C$2="学級ごと",$A95,IF($C$2="前の単元と同じ",単元02!$E95&amp;"",$D95&amp;"")))</f>
        <v/>
      </c>
      <c r="F95" s="150"/>
      <c r="G95" s="150"/>
      <c r="H95" s="150"/>
      <c r="I95" s="151"/>
      <c r="J95" s="41" t="str">
        <f aca="false">IF($E95="","",$E95&amp;"|"&amp;COUNTIF($E$5:$E95,$E95))</f>
        <v/>
      </c>
      <c r="K95" s="40" t="str">
        <f aca="false">IF($I95="","",LEN($I95))</f>
        <v/>
      </c>
      <c r="L95" s="13"/>
      <c r="M95" s="13"/>
      <c r="N95" s="13"/>
      <c r="O95" s="13"/>
      <c r="P95" s="152"/>
      <c r="Q95" s="149"/>
      <c r="R95" s="152"/>
      <c r="S95" s="152"/>
      <c r="T95" s="62" t="str">
        <f aca="false">IF(OR($C95="",R95=""),"",IF(R95/IF($R$2="",100,$R$2)&gt;=設定!$I$28,設定!$G$8,IF(R95/IF($R$2="",100,$R$2)&lt;設定!$I$29,設定!$G$10,設定!$G$9)))</f>
        <v/>
      </c>
      <c r="U95" s="62" t="str">
        <f aca="false">IF(OR($C95="",S95=""),"",IF(S95/IF($S$2="",100,$S$2)&gt;=設定!$I$28,設定!$G$8,IF(S95/IF($S$2="",100,$S$2)&lt;設定!$I$29,設定!$G$10,設定!$G$9)))</f>
        <v/>
      </c>
    </row>
    <row r="96" customFormat="false" ht="21" hidden="false" customHeight="true" outlineLevel="0" collapsed="false">
      <c r="A96" s="91" t="str">
        <f aca="false">IF(名簿!$D96="","",名簿!$B96&amp;"")</f>
        <v/>
      </c>
      <c r="B96" s="91" t="str">
        <f aca="false">IF(名簿!$D96="","",名簿!$C96)</f>
        <v/>
      </c>
      <c r="C96" s="59" t="str">
        <f aca="false">IF(名簿!$D96="","",名簿!$D96&amp;IF(名簿!$F96="転出","（転出）",""))</f>
        <v/>
      </c>
      <c r="D96" s="149"/>
      <c r="E96" s="61" t="str">
        <f aca="false">IF(OR($C96="",名簿!$F96="転出"),"",IF($C$2="学級ごと",$A96,IF($C$2="前の単元と同じ",単元02!$E96&amp;"",$D96&amp;"")))</f>
        <v/>
      </c>
      <c r="F96" s="150"/>
      <c r="G96" s="150"/>
      <c r="H96" s="150"/>
      <c r="I96" s="151"/>
      <c r="J96" s="41" t="str">
        <f aca="false">IF($E96="","",$E96&amp;"|"&amp;COUNTIF($E$5:$E96,$E96))</f>
        <v/>
      </c>
      <c r="K96" s="40" t="str">
        <f aca="false">IF($I96="","",LEN($I96))</f>
        <v/>
      </c>
      <c r="L96" s="13"/>
      <c r="M96" s="13"/>
      <c r="N96" s="13"/>
      <c r="O96" s="13"/>
      <c r="P96" s="152"/>
      <c r="Q96" s="149"/>
      <c r="R96" s="152"/>
      <c r="S96" s="152"/>
      <c r="T96" s="62" t="str">
        <f aca="false">IF(OR($C96="",R96=""),"",IF(R96/IF($R$2="",100,$R$2)&gt;=設定!$I$28,設定!$G$8,IF(R96/IF($R$2="",100,$R$2)&lt;設定!$I$29,設定!$G$10,設定!$G$9)))</f>
        <v/>
      </c>
      <c r="U96" s="62" t="str">
        <f aca="false">IF(OR($C96="",S96=""),"",IF(S96/IF($S$2="",100,$S$2)&gt;=設定!$I$28,設定!$G$8,IF(S96/IF($S$2="",100,$S$2)&lt;設定!$I$29,設定!$G$10,設定!$G$9)))</f>
        <v/>
      </c>
    </row>
    <row r="97" customFormat="false" ht="21" hidden="false" customHeight="true" outlineLevel="0" collapsed="false">
      <c r="A97" s="91" t="str">
        <f aca="false">IF(名簿!$D97="","",名簿!$B97&amp;"")</f>
        <v/>
      </c>
      <c r="B97" s="91" t="str">
        <f aca="false">IF(名簿!$D97="","",名簿!$C97)</f>
        <v/>
      </c>
      <c r="C97" s="59" t="str">
        <f aca="false">IF(名簿!$D97="","",名簿!$D97&amp;IF(名簿!$F97="転出","（転出）",""))</f>
        <v/>
      </c>
      <c r="D97" s="149"/>
      <c r="E97" s="61" t="str">
        <f aca="false">IF(OR($C97="",名簿!$F97="転出"),"",IF($C$2="学級ごと",$A97,IF($C$2="前の単元と同じ",単元02!$E97&amp;"",$D97&amp;"")))</f>
        <v/>
      </c>
      <c r="F97" s="150"/>
      <c r="G97" s="150"/>
      <c r="H97" s="150"/>
      <c r="I97" s="151"/>
      <c r="J97" s="41" t="str">
        <f aca="false">IF($E97="","",$E97&amp;"|"&amp;COUNTIF($E$5:$E97,$E97))</f>
        <v/>
      </c>
      <c r="K97" s="40" t="str">
        <f aca="false">IF($I97="","",LEN($I97))</f>
        <v/>
      </c>
      <c r="L97" s="13"/>
      <c r="M97" s="13"/>
      <c r="N97" s="13"/>
      <c r="O97" s="13"/>
      <c r="P97" s="152"/>
      <c r="Q97" s="149"/>
      <c r="R97" s="152"/>
      <c r="S97" s="152"/>
      <c r="T97" s="62" t="str">
        <f aca="false">IF(OR($C97="",R97=""),"",IF(R97/IF($R$2="",100,$R$2)&gt;=設定!$I$28,設定!$G$8,IF(R97/IF($R$2="",100,$R$2)&lt;設定!$I$29,設定!$G$10,設定!$G$9)))</f>
        <v/>
      </c>
      <c r="U97" s="62" t="str">
        <f aca="false">IF(OR($C97="",S97=""),"",IF(S97/IF($S$2="",100,$S$2)&gt;=設定!$I$28,設定!$G$8,IF(S97/IF($S$2="",100,$S$2)&lt;設定!$I$29,設定!$G$10,設定!$G$9)))</f>
        <v/>
      </c>
    </row>
    <row r="98" customFormat="false" ht="21" hidden="false" customHeight="true" outlineLevel="0" collapsed="false">
      <c r="A98" s="91" t="str">
        <f aca="false">IF(名簿!$D98="","",名簿!$B98&amp;"")</f>
        <v/>
      </c>
      <c r="B98" s="91" t="str">
        <f aca="false">IF(名簿!$D98="","",名簿!$C98)</f>
        <v/>
      </c>
      <c r="C98" s="59" t="str">
        <f aca="false">IF(名簿!$D98="","",名簿!$D98&amp;IF(名簿!$F98="転出","（転出）",""))</f>
        <v/>
      </c>
      <c r="D98" s="149"/>
      <c r="E98" s="61" t="str">
        <f aca="false">IF(OR($C98="",名簿!$F98="転出"),"",IF($C$2="学級ごと",$A98,IF($C$2="前の単元と同じ",単元02!$E98&amp;"",$D98&amp;"")))</f>
        <v/>
      </c>
      <c r="F98" s="150"/>
      <c r="G98" s="150"/>
      <c r="H98" s="150"/>
      <c r="I98" s="151"/>
      <c r="J98" s="41" t="str">
        <f aca="false">IF($E98="","",$E98&amp;"|"&amp;COUNTIF($E$5:$E98,$E98))</f>
        <v/>
      </c>
      <c r="K98" s="40" t="str">
        <f aca="false">IF($I98="","",LEN($I98))</f>
        <v/>
      </c>
      <c r="L98" s="13"/>
      <c r="M98" s="13"/>
      <c r="N98" s="13"/>
      <c r="O98" s="13"/>
      <c r="P98" s="152"/>
      <c r="Q98" s="149"/>
      <c r="R98" s="152"/>
      <c r="S98" s="152"/>
      <c r="T98" s="62" t="str">
        <f aca="false">IF(OR($C98="",R98=""),"",IF(R98/IF($R$2="",100,$R$2)&gt;=設定!$I$28,設定!$G$8,IF(R98/IF($R$2="",100,$R$2)&lt;設定!$I$29,設定!$G$10,設定!$G$9)))</f>
        <v/>
      </c>
      <c r="U98" s="62" t="str">
        <f aca="false">IF(OR($C98="",S98=""),"",IF(S98/IF($S$2="",100,$S$2)&gt;=設定!$I$28,設定!$G$8,IF(S98/IF($S$2="",100,$S$2)&lt;設定!$I$29,設定!$G$10,設定!$G$9)))</f>
        <v/>
      </c>
    </row>
    <row r="99" customFormat="false" ht="21" hidden="false" customHeight="true" outlineLevel="0" collapsed="false">
      <c r="A99" s="91" t="str">
        <f aca="false">IF(名簿!$D99="","",名簿!$B99&amp;"")</f>
        <v/>
      </c>
      <c r="B99" s="91" t="str">
        <f aca="false">IF(名簿!$D99="","",名簿!$C99)</f>
        <v/>
      </c>
      <c r="C99" s="59" t="str">
        <f aca="false">IF(名簿!$D99="","",名簿!$D99&amp;IF(名簿!$F99="転出","（転出）",""))</f>
        <v/>
      </c>
      <c r="D99" s="149"/>
      <c r="E99" s="61" t="str">
        <f aca="false">IF(OR($C99="",名簿!$F99="転出"),"",IF($C$2="学級ごと",$A99,IF($C$2="前の単元と同じ",単元02!$E99&amp;"",$D99&amp;"")))</f>
        <v/>
      </c>
      <c r="F99" s="150"/>
      <c r="G99" s="150"/>
      <c r="H99" s="150"/>
      <c r="I99" s="151"/>
      <c r="J99" s="41" t="str">
        <f aca="false">IF($E99="","",$E99&amp;"|"&amp;COUNTIF($E$5:$E99,$E99))</f>
        <v/>
      </c>
      <c r="K99" s="40" t="str">
        <f aca="false">IF($I99="","",LEN($I99))</f>
        <v/>
      </c>
      <c r="L99" s="13"/>
      <c r="M99" s="13"/>
      <c r="N99" s="13"/>
      <c r="O99" s="13"/>
      <c r="P99" s="152"/>
      <c r="Q99" s="149"/>
      <c r="R99" s="152"/>
      <c r="S99" s="152"/>
      <c r="T99" s="62" t="str">
        <f aca="false">IF(OR($C99="",R99=""),"",IF(R99/IF($R$2="",100,$R$2)&gt;=設定!$I$28,設定!$G$8,IF(R99/IF($R$2="",100,$R$2)&lt;設定!$I$29,設定!$G$10,設定!$G$9)))</f>
        <v/>
      </c>
      <c r="U99" s="62" t="str">
        <f aca="false">IF(OR($C99="",S99=""),"",IF(S99/IF($S$2="",100,$S$2)&gt;=設定!$I$28,設定!$G$8,IF(S99/IF($S$2="",100,$S$2)&lt;設定!$I$29,設定!$G$10,設定!$G$9)))</f>
        <v/>
      </c>
    </row>
    <row r="100" customFormat="false" ht="21" hidden="false" customHeight="true" outlineLevel="0" collapsed="false">
      <c r="A100" s="91" t="str">
        <f aca="false">IF(名簿!$D100="","",名簿!$B100&amp;"")</f>
        <v/>
      </c>
      <c r="B100" s="91" t="str">
        <f aca="false">IF(名簿!$D100="","",名簿!$C100)</f>
        <v/>
      </c>
      <c r="C100" s="59" t="str">
        <f aca="false">IF(名簿!$D100="","",名簿!$D100&amp;IF(名簿!$F100="転出","（転出）",""))</f>
        <v/>
      </c>
      <c r="D100" s="149"/>
      <c r="E100" s="61" t="str">
        <f aca="false">IF(OR($C100="",名簿!$F100="転出"),"",IF($C$2="学級ごと",$A100,IF($C$2="前の単元と同じ",単元02!$E100&amp;"",$D100&amp;"")))</f>
        <v/>
      </c>
      <c r="F100" s="150"/>
      <c r="G100" s="150"/>
      <c r="H100" s="150"/>
      <c r="I100" s="151"/>
      <c r="J100" s="41" t="str">
        <f aca="false">IF($E100="","",$E100&amp;"|"&amp;COUNTIF($E$5:$E100,$E100))</f>
        <v/>
      </c>
      <c r="K100" s="40" t="str">
        <f aca="false">IF($I100="","",LEN($I100))</f>
        <v/>
      </c>
      <c r="L100" s="13"/>
      <c r="M100" s="13"/>
      <c r="N100" s="13"/>
      <c r="O100" s="13"/>
      <c r="P100" s="152"/>
      <c r="Q100" s="149"/>
      <c r="R100" s="152"/>
      <c r="S100" s="152"/>
      <c r="T100" s="62" t="str">
        <f aca="false">IF(OR($C100="",R100=""),"",IF(R100/IF($R$2="",100,$R$2)&gt;=設定!$I$28,設定!$G$8,IF(R100/IF($R$2="",100,$R$2)&lt;設定!$I$29,設定!$G$10,設定!$G$9)))</f>
        <v/>
      </c>
      <c r="U100" s="62" t="str">
        <f aca="false">IF(OR($C100="",S100=""),"",IF(S100/IF($S$2="",100,$S$2)&gt;=設定!$I$28,設定!$G$8,IF(S100/IF($S$2="",100,$S$2)&lt;設定!$I$29,設定!$G$10,設定!$G$9)))</f>
        <v/>
      </c>
    </row>
    <row r="101" customFormat="false" ht="21" hidden="false" customHeight="true" outlineLevel="0" collapsed="false">
      <c r="A101" s="91" t="str">
        <f aca="false">IF(名簿!$D101="","",名簿!$B101&amp;"")</f>
        <v/>
      </c>
      <c r="B101" s="91" t="str">
        <f aca="false">IF(名簿!$D101="","",名簿!$C101)</f>
        <v/>
      </c>
      <c r="C101" s="59" t="str">
        <f aca="false">IF(名簿!$D101="","",名簿!$D101&amp;IF(名簿!$F101="転出","（転出）",""))</f>
        <v/>
      </c>
      <c r="D101" s="149"/>
      <c r="E101" s="61" t="str">
        <f aca="false">IF(OR($C101="",名簿!$F101="転出"),"",IF($C$2="学級ごと",$A101,IF($C$2="前の単元と同じ",単元02!$E101&amp;"",$D101&amp;"")))</f>
        <v/>
      </c>
      <c r="F101" s="150"/>
      <c r="G101" s="150"/>
      <c r="H101" s="150"/>
      <c r="I101" s="151"/>
      <c r="J101" s="41" t="str">
        <f aca="false">IF($E101="","",$E101&amp;"|"&amp;COUNTIF($E$5:$E101,$E101))</f>
        <v/>
      </c>
      <c r="K101" s="40" t="str">
        <f aca="false">IF($I101="","",LEN($I101))</f>
        <v/>
      </c>
      <c r="L101" s="13"/>
      <c r="M101" s="13"/>
      <c r="N101" s="13"/>
      <c r="O101" s="13"/>
      <c r="P101" s="152"/>
      <c r="Q101" s="149"/>
      <c r="R101" s="152"/>
      <c r="S101" s="152"/>
      <c r="T101" s="62" t="str">
        <f aca="false">IF(OR($C101="",R101=""),"",IF(R101/IF($R$2="",100,$R$2)&gt;=設定!$I$28,設定!$G$8,IF(R101/IF($R$2="",100,$R$2)&lt;設定!$I$29,設定!$G$10,設定!$G$9)))</f>
        <v/>
      </c>
      <c r="U101" s="62" t="str">
        <f aca="false">IF(OR($C101="",S101=""),"",IF(S101/IF($S$2="",100,$S$2)&gt;=設定!$I$28,設定!$G$8,IF(S101/IF($S$2="",100,$S$2)&lt;設定!$I$29,設定!$G$10,設定!$G$9)))</f>
        <v/>
      </c>
    </row>
    <row r="102" customFormat="false" ht="21" hidden="false" customHeight="true" outlineLevel="0" collapsed="false">
      <c r="A102" s="91" t="str">
        <f aca="false">IF(名簿!$D102="","",名簿!$B102&amp;"")</f>
        <v/>
      </c>
      <c r="B102" s="91" t="str">
        <f aca="false">IF(名簿!$D102="","",名簿!$C102)</f>
        <v/>
      </c>
      <c r="C102" s="59" t="str">
        <f aca="false">IF(名簿!$D102="","",名簿!$D102&amp;IF(名簿!$F102="転出","（転出）",""))</f>
        <v/>
      </c>
      <c r="D102" s="149"/>
      <c r="E102" s="61" t="str">
        <f aca="false">IF(OR($C102="",名簿!$F102="転出"),"",IF($C$2="学級ごと",$A102,IF($C$2="前の単元と同じ",単元02!$E102&amp;"",$D102&amp;"")))</f>
        <v/>
      </c>
      <c r="F102" s="150"/>
      <c r="G102" s="150"/>
      <c r="H102" s="150"/>
      <c r="I102" s="151"/>
      <c r="J102" s="41" t="str">
        <f aca="false">IF($E102="","",$E102&amp;"|"&amp;COUNTIF($E$5:$E102,$E102))</f>
        <v/>
      </c>
      <c r="K102" s="40" t="str">
        <f aca="false">IF($I102="","",LEN($I102))</f>
        <v/>
      </c>
      <c r="L102" s="13"/>
      <c r="M102" s="13"/>
      <c r="N102" s="13"/>
      <c r="O102" s="13"/>
      <c r="P102" s="152"/>
      <c r="Q102" s="149"/>
      <c r="R102" s="152"/>
      <c r="S102" s="152"/>
      <c r="T102" s="62" t="str">
        <f aca="false">IF(OR($C102="",R102=""),"",IF(R102/IF($R$2="",100,$R$2)&gt;=設定!$I$28,設定!$G$8,IF(R102/IF($R$2="",100,$R$2)&lt;設定!$I$29,設定!$G$10,設定!$G$9)))</f>
        <v/>
      </c>
      <c r="U102" s="62" t="str">
        <f aca="false">IF(OR($C102="",S102=""),"",IF(S102/IF($S$2="",100,$S$2)&gt;=設定!$I$28,設定!$G$8,IF(S102/IF($S$2="",100,$S$2)&lt;設定!$I$29,設定!$G$10,設定!$G$9)))</f>
        <v/>
      </c>
    </row>
    <row r="103" customFormat="false" ht="21" hidden="false" customHeight="true" outlineLevel="0" collapsed="false">
      <c r="A103" s="91" t="str">
        <f aca="false">IF(名簿!$D103="","",名簿!$B103&amp;"")</f>
        <v/>
      </c>
      <c r="B103" s="91" t="str">
        <f aca="false">IF(名簿!$D103="","",名簿!$C103)</f>
        <v/>
      </c>
      <c r="C103" s="59" t="str">
        <f aca="false">IF(名簿!$D103="","",名簿!$D103&amp;IF(名簿!$F103="転出","（転出）",""))</f>
        <v/>
      </c>
      <c r="D103" s="149"/>
      <c r="E103" s="61" t="str">
        <f aca="false">IF(OR($C103="",名簿!$F103="転出"),"",IF($C$2="学級ごと",$A103,IF($C$2="前の単元と同じ",単元02!$E103&amp;"",$D103&amp;"")))</f>
        <v/>
      </c>
      <c r="F103" s="150"/>
      <c r="G103" s="150"/>
      <c r="H103" s="150"/>
      <c r="I103" s="151"/>
      <c r="J103" s="41" t="str">
        <f aca="false">IF($E103="","",$E103&amp;"|"&amp;COUNTIF($E$5:$E103,$E103))</f>
        <v/>
      </c>
      <c r="K103" s="40" t="str">
        <f aca="false">IF($I103="","",LEN($I103))</f>
        <v/>
      </c>
      <c r="L103" s="13"/>
      <c r="M103" s="13"/>
      <c r="N103" s="13"/>
      <c r="O103" s="13"/>
      <c r="P103" s="152"/>
      <c r="Q103" s="149"/>
      <c r="R103" s="152"/>
      <c r="S103" s="152"/>
      <c r="T103" s="62" t="str">
        <f aca="false">IF(OR($C103="",R103=""),"",IF(R103/IF($R$2="",100,$R$2)&gt;=設定!$I$28,設定!$G$8,IF(R103/IF($R$2="",100,$R$2)&lt;設定!$I$29,設定!$G$10,設定!$G$9)))</f>
        <v/>
      </c>
      <c r="U103" s="62" t="str">
        <f aca="false">IF(OR($C103="",S103=""),"",IF(S103/IF($S$2="",100,$S$2)&gt;=設定!$I$28,設定!$G$8,IF(S103/IF($S$2="",100,$S$2)&lt;設定!$I$29,設定!$G$10,設定!$G$9)))</f>
        <v/>
      </c>
    </row>
    <row r="104" customFormat="false" ht="21" hidden="false" customHeight="true" outlineLevel="0" collapsed="false">
      <c r="A104" s="91" t="str">
        <f aca="false">IF(名簿!$D104="","",名簿!$B104&amp;"")</f>
        <v/>
      </c>
      <c r="B104" s="91" t="str">
        <f aca="false">IF(名簿!$D104="","",名簿!$C104)</f>
        <v/>
      </c>
      <c r="C104" s="59" t="str">
        <f aca="false">IF(名簿!$D104="","",名簿!$D104&amp;IF(名簿!$F104="転出","（転出）",""))</f>
        <v/>
      </c>
      <c r="D104" s="149"/>
      <c r="E104" s="61" t="str">
        <f aca="false">IF(OR($C104="",名簿!$F104="転出"),"",IF($C$2="学級ごと",$A104,IF($C$2="前の単元と同じ",単元02!$E104&amp;"",$D104&amp;"")))</f>
        <v/>
      </c>
      <c r="F104" s="150"/>
      <c r="G104" s="150"/>
      <c r="H104" s="150"/>
      <c r="I104" s="151"/>
      <c r="J104" s="41" t="str">
        <f aca="false">IF($E104="","",$E104&amp;"|"&amp;COUNTIF($E$5:$E104,$E104))</f>
        <v/>
      </c>
      <c r="K104" s="40" t="str">
        <f aca="false">IF($I104="","",LEN($I104))</f>
        <v/>
      </c>
      <c r="L104" s="13"/>
      <c r="M104" s="13"/>
      <c r="N104" s="13"/>
      <c r="O104" s="13"/>
      <c r="P104" s="152"/>
      <c r="Q104" s="149"/>
      <c r="R104" s="152"/>
      <c r="S104" s="152"/>
      <c r="T104" s="62" t="str">
        <f aca="false">IF(OR($C104="",R104=""),"",IF(R104/IF($R$2="",100,$R$2)&gt;=設定!$I$28,設定!$G$8,IF(R104/IF($R$2="",100,$R$2)&lt;設定!$I$29,設定!$G$10,設定!$G$9)))</f>
        <v/>
      </c>
      <c r="U104" s="62" t="str">
        <f aca="false">IF(OR($C104="",S104=""),"",IF(S104/IF($S$2="",100,$S$2)&gt;=設定!$I$28,設定!$G$8,IF(S104/IF($S$2="",100,$S$2)&lt;設定!$I$29,設定!$G$10,設定!$G$9)))</f>
        <v/>
      </c>
    </row>
    <row r="105" customFormat="false" ht="21" hidden="false" customHeight="true" outlineLevel="0" collapsed="false">
      <c r="A105" s="91" t="str">
        <f aca="false">IF(名簿!$D105="","",名簿!$B105&amp;"")</f>
        <v/>
      </c>
      <c r="B105" s="91" t="str">
        <f aca="false">IF(名簿!$D105="","",名簿!$C105)</f>
        <v/>
      </c>
      <c r="C105" s="59" t="str">
        <f aca="false">IF(名簿!$D105="","",名簿!$D105&amp;IF(名簿!$F105="転出","（転出）",""))</f>
        <v/>
      </c>
      <c r="D105" s="149"/>
      <c r="E105" s="61" t="str">
        <f aca="false">IF(OR($C105="",名簿!$F105="転出"),"",IF($C$2="学級ごと",$A105,IF($C$2="前の単元と同じ",単元02!$E105&amp;"",$D105&amp;"")))</f>
        <v/>
      </c>
      <c r="F105" s="150"/>
      <c r="G105" s="150"/>
      <c r="H105" s="150"/>
      <c r="I105" s="151"/>
      <c r="J105" s="41" t="str">
        <f aca="false">IF($E105="","",$E105&amp;"|"&amp;COUNTIF($E$5:$E105,$E105))</f>
        <v/>
      </c>
      <c r="K105" s="40" t="str">
        <f aca="false">IF($I105="","",LEN($I105))</f>
        <v/>
      </c>
      <c r="L105" s="13"/>
      <c r="M105" s="13"/>
      <c r="N105" s="13"/>
      <c r="O105" s="13"/>
      <c r="P105" s="152"/>
      <c r="Q105" s="149"/>
      <c r="R105" s="152"/>
      <c r="S105" s="152"/>
      <c r="T105" s="62" t="str">
        <f aca="false">IF(OR($C105="",R105=""),"",IF(R105/IF($R$2="",100,$R$2)&gt;=設定!$I$28,設定!$G$8,IF(R105/IF($R$2="",100,$R$2)&lt;設定!$I$29,設定!$G$10,設定!$G$9)))</f>
        <v/>
      </c>
      <c r="U105" s="62" t="str">
        <f aca="false">IF(OR($C105="",S105=""),"",IF(S105/IF($S$2="",100,$S$2)&gt;=設定!$I$28,設定!$G$8,IF(S105/IF($S$2="",100,$S$2)&lt;設定!$I$29,設定!$G$10,設定!$G$9)))</f>
        <v/>
      </c>
    </row>
    <row r="106" customFormat="false" ht="21" hidden="false" customHeight="true" outlineLevel="0" collapsed="false">
      <c r="A106" s="91" t="str">
        <f aca="false">IF(名簿!$D106="","",名簿!$B106&amp;"")</f>
        <v/>
      </c>
      <c r="B106" s="91" t="str">
        <f aca="false">IF(名簿!$D106="","",名簿!$C106)</f>
        <v/>
      </c>
      <c r="C106" s="59" t="str">
        <f aca="false">IF(名簿!$D106="","",名簿!$D106&amp;IF(名簿!$F106="転出","（転出）",""))</f>
        <v/>
      </c>
      <c r="D106" s="149"/>
      <c r="E106" s="61" t="str">
        <f aca="false">IF(OR($C106="",名簿!$F106="転出"),"",IF($C$2="学級ごと",$A106,IF($C$2="前の単元と同じ",単元02!$E106&amp;"",$D106&amp;"")))</f>
        <v/>
      </c>
      <c r="F106" s="150"/>
      <c r="G106" s="150"/>
      <c r="H106" s="150"/>
      <c r="I106" s="151"/>
      <c r="J106" s="41" t="str">
        <f aca="false">IF($E106="","",$E106&amp;"|"&amp;COUNTIF($E$5:$E106,$E106))</f>
        <v/>
      </c>
      <c r="K106" s="40" t="str">
        <f aca="false">IF($I106="","",LEN($I106))</f>
        <v/>
      </c>
      <c r="L106" s="13"/>
      <c r="M106" s="13"/>
      <c r="N106" s="13"/>
      <c r="O106" s="13"/>
      <c r="P106" s="152"/>
      <c r="Q106" s="149"/>
      <c r="R106" s="152"/>
      <c r="S106" s="152"/>
      <c r="T106" s="62" t="str">
        <f aca="false">IF(OR($C106="",R106=""),"",IF(R106/IF($R$2="",100,$R$2)&gt;=設定!$I$28,設定!$G$8,IF(R106/IF($R$2="",100,$R$2)&lt;設定!$I$29,設定!$G$10,設定!$G$9)))</f>
        <v/>
      </c>
      <c r="U106" s="62" t="str">
        <f aca="false">IF(OR($C106="",S106=""),"",IF(S106/IF($S$2="",100,$S$2)&gt;=設定!$I$28,設定!$G$8,IF(S106/IF($S$2="",100,$S$2)&lt;設定!$I$29,設定!$G$10,設定!$G$9)))</f>
        <v/>
      </c>
    </row>
    <row r="107" customFormat="false" ht="21" hidden="false" customHeight="true" outlineLevel="0" collapsed="false">
      <c r="A107" s="91" t="str">
        <f aca="false">IF(名簿!$D107="","",名簿!$B107&amp;"")</f>
        <v/>
      </c>
      <c r="B107" s="91" t="str">
        <f aca="false">IF(名簿!$D107="","",名簿!$C107)</f>
        <v/>
      </c>
      <c r="C107" s="59" t="str">
        <f aca="false">IF(名簿!$D107="","",名簿!$D107&amp;IF(名簿!$F107="転出","（転出）",""))</f>
        <v/>
      </c>
      <c r="D107" s="149"/>
      <c r="E107" s="61" t="str">
        <f aca="false">IF(OR($C107="",名簿!$F107="転出"),"",IF($C$2="学級ごと",$A107,IF($C$2="前の単元と同じ",単元02!$E107&amp;"",$D107&amp;"")))</f>
        <v/>
      </c>
      <c r="F107" s="150"/>
      <c r="G107" s="150"/>
      <c r="H107" s="150"/>
      <c r="I107" s="151"/>
      <c r="J107" s="41" t="str">
        <f aca="false">IF($E107="","",$E107&amp;"|"&amp;COUNTIF($E$5:$E107,$E107))</f>
        <v/>
      </c>
      <c r="K107" s="40" t="str">
        <f aca="false">IF($I107="","",LEN($I107))</f>
        <v/>
      </c>
      <c r="L107" s="13"/>
      <c r="M107" s="13"/>
      <c r="N107" s="13"/>
      <c r="O107" s="13"/>
      <c r="P107" s="152"/>
      <c r="Q107" s="149"/>
      <c r="R107" s="152"/>
      <c r="S107" s="152"/>
      <c r="T107" s="62" t="str">
        <f aca="false">IF(OR($C107="",R107=""),"",IF(R107/IF($R$2="",100,$R$2)&gt;=設定!$I$28,設定!$G$8,IF(R107/IF($R$2="",100,$R$2)&lt;設定!$I$29,設定!$G$10,設定!$G$9)))</f>
        <v/>
      </c>
      <c r="U107" s="62" t="str">
        <f aca="false">IF(OR($C107="",S107=""),"",IF(S107/IF($S$2="",100,$S$2)&gt;=設定!$I$28,設定!$G$8,IF(S107/IF($S$2="",100,$S$2)&lt;設定!$I$29,設定!$G$10,設定!$G$9)))</f>
        <v/>
      </c>
    </row>
    <row r="108" customFormat="false" ht="21" hidden="false" customHeight="true" outlineLevel="0" collapsed="false">
      <c r="A108" s="91" t="str">
        <f aca="false">IF(名簿!$D108="","",名簿!$B108&amp;"")</f>
        <v/>
      </c>
      <c r="B108" s="91" t="str">
        <f aca="false">IF(名簿!$D108="","",名簿!$C108)</f>
        <v/>
      </c>
      <c r="C108" s="59" t="str">
        <f aca="false">IF(名簿!$D108="","",名簿!$D108&amp;IF(名簿!$F108="転出","（転出）",""))</f>
        <v/>
      </c>
      <c r="D108" s="149"/>
      <c r="E108" s="61" t="str">
        <f aca="false">IF(OR($C108="",名簿!$F108="転出"),"",IF($C$2="学級ごと",$A108,IF($C$2="前の単元と同じ",単元02!$E108&amp;"",$D108&amp;"")))</f>
        <v/>
      </c>
      <c r="F108" s="150"/>
      <c r="G108" s="150"/>
      <c r="H108" s="150"/>
      <c r="I108" s="151"/>
      <c r="J108" s="41" t="str">
        <f aca="false">IF($E108="","",$E108&amp;"|"&amp;COUNTIF($E$5:$E108,$E108))</f>
        <v/>
      </c>
      <c r="K108" s="40" t="str">
        <f aca="false">IF($I108="","",LEN($I108))</f>
        <v/>
      </c>
      <c r="L108" s="13"/>
      <c r="M108" s="13"/>
      <c r="N108" s="13"/>
      <c r="O108" s="13"/>
      <c r="P108" s="152"/>
      <c r="Q108" s="149"/>
      <c r="R108" s="152"/>
      <c r="S108" s="152"/>
      <c r="T108" s="62" t="str">
        <f aca="false">IF(OR($C108="",R108=""),"",IF(R108/IF($R$2="",100,$R$2)&gt;=設定!$I$28,設定!$G$8,IF(R108/IF($R$2="",100,$R$2)&lt;設定!$I$29,設定!$G$10,設定!$G$9)))</f>
        <v/>
      </c>
      <c r="U108" s="62" t="str">
        <f aca="false">IF(OR($C108="",S108=""),"",IF(S108/IF($S$2="",100,$S$2)&gt;=設定!$I$28,設定!$G$8,IF(S108/IF($S$2="",100,$S$2)&lt;設定!$I$29,設定!$G$10,設定!$G$9)))</f>
        <v/>
      </c>
    </row>
    <row r="109" customFormat="false" ht="21" hidden="false" customHeight="true" outlineLevel="0" collapsed="false">
      <c r="A109" s="91" t="str">
        <f aca="false">IF(名簿!$D109="","",名簿!$B109&amp;"")</f>
        <v/>
      </c>
      <c r="B109" s="91" t="str">
        <f aca="false">IF(名簿!$D109="","",名簿!$C109)</f>
        <v/>
      </c>
      <c r="C109" s="59" t="str">
        <f aca="false">IF(名簿!$D109="","",名簿!$D109&amp;IF(名簿!$F109="転出","（転出）",""))</f>
        <v/>
      </c>
      <c r="D109" s="149"/>
      <c r="E109" s="61" t="str">
        <f aca="false">IF(OR($C109="",名簿!$F109="転出"),"",IF($C$2="学級ごと",$A109,IF($C$2="前の単元と同じ",単元02!$E109&amp;"",$D109&amp;"")))</f>
        <v/>
      </c>
      <c r="F109" s="150"/>
      <c r="G109" s="150"/>
      <c r="H109" s="150"/>
      <c r="I109" s="151"/>
      <c r="J109" s="41" t="str">
        <f aca="false">IF($E109="","",$E109&amp;"|"&amp;COUNTIF($E$5:$E109,$E109))</f>
        <v/>
      </c>
      <c r="K109" s="40" t="str">
        <f aca="false">IF($I109="","",LEN($I109))</f>
        <v/>
      </c>
      <c r="L109" s="13"/>
      <c r="M109" s="13"/>
      <c r="N109" s="13"/>
      <c r="O109" s="13"/>
      <c r="P109" s="152"/>
      <c r="Q109" s="149"/>
      <c r="R109" s="152"/>
      <c r="S109" s="152"/>
      <c r="T109" s="62" t="str">
        <f aca="false">IF(OR($C109="",R109=""),"",IF(R109/IF($R$2="",100,$R$2)&gt;=設定!$I$28,設定!$G$8,IF(R109/IF($R$2="",100,$R$2)&lt;設定!$I$29,設定!$G$10,設定!$G$9)))</f>
        <v/>
      </c>
      <c r="U109" s="62" t="str">
        <f aca="false">IF(OR($C109="",S109=""),"",IF(S109/IF($S$2="",100,$S$2)&gt;=設定!$I$28,設定!$G$8,IF(S109/IF($S$2="",100,$S$2)&lt;設定!$I$29,設定!$G$10,設定!$G$9)))</f>
        <v/>
      </c>
    </row>
    <row r="110" customFormat="false" ht="21" hidden="false" customHeight="true" outlineLevel="0" collapsed="false">
      <c r="A110" s="91" t="str">
        <f aca="false">IF(名簿!$D110="","",名簿!$B110&amp;"")</f>
        <v/>
      </c>
      <c r="B110" s="91" t="str">
        <f aca="false">IF(名簿!$D110="","",名簿!$C110)</f>
        <v/>
      </c>
      <c r="C110" s="59" t="str">
        <f aca="false">IF(名簿!$D110="","",名簿!$D110&amp;IF(名簿!$F110="転出","（転出）",""))</f>
        <v/>
      </c>
      <c r="D110" s="149"/>
      <c r="E110" s="61" t="str">
        <f aca="false">IF(OR($C110="",名簿!$F110="転出"),"",IF($C$2="学級ごと",$A110,IF($C$2="前の単元と同じ",単元02!$E110&amp;"",$D110&amp;"")))</f>
        <v/>
      </c>
      <c r="F110" s="150"/>
      <c r="G110" s="150"/>
      <c r="H110" s="150"/>
      <c r="I110" s="151"/>
      <c r="J110" s="41" t="str">
        <f aca="false">IF($E110="","",$E110&amp;"|"&amp;COUNTIF($E$5:$E110,$E110))</f>
        <v/>
      </c>
      <c r="K110" s="40" t="str">
        <f aca="false">IF($I110="","",LEN($I110))</f>
        <v/>
      </c>
      <c r="L110" s="13"/>
      <c r="M110" s="13"/>
      <c r="N110" s="13"/>
      <c r="O110" s="13"/>
      <c r="P110" s="152"/>
      <c r="Q110" s="149"/>
      <c r="R110" s="152"/>
      <c r="S110" s="152"/>
      <c r="T110" s="62" t="str">
        <f aca="false">IF(OR($C110="",R110=""),"",IF(R110/IF($R$2="",100,$R$2)&gt;=設定!$I$28,設定!$G$8,IF(R110/IF($R$2="",100,$R$2)&lt;設定!$I$29,設定!$G$10,設定!$G$9)))</f>
        <v/>
      </c>
      <c r="U110" s="62" t="str">
        <f aca="false">IF(OR($C110="",S110=""),"",IF(S110/IF($S$2="",100,$S$2)&gt;=設定!$I$28,設定!$G$8,IF(S110/IF($S$2="",100,$S$2)&lt;設定!$I$29,設定!$G$10,設定!$G$9)))</f>
        <v/>
      </c>
    </row>
    <row r="111" customFormat="false" ht="21" hidden="false" customHeight="true" outlineLevel="0" collapsed="false">
      <c r="A111" s="91" t="str">
        <f aca="false">IF(名簿!$D111="","",名簿!$B111&amp;"")</f>
        <v/>
      </c>
      <c r="B111" s="91" t="str">
        <f aca="false">IF(名簿!$D111="","",名簿!$C111)</f>
        <v/>
      </c>
      <c r="C111" s="59" t="str">
        <f aca="false">IF(名簿!$D111="","",名簿!$D111&amp;IF(名簿!$F111="転出","（転出）",""))</f>
        <v/>
      </c>
      <c r="D111" s="149"/>
      <c r="E111" s="61" t="str">
        <f aca="false">IF(OR($C111="",名簿!$F111="転出"),"",IF($C$2="学級ごと",$A111,IF($C$2="前の単元と同じ",単元02!$E111&amp;"",$D111&amp;"")))</f>
        <v/>
      </c>
      <c r="F111" s="150"/>
      <c r="G111" s="150"/>
      <c r="H111" s="150"/>
      <c r="I111" s="151"/>
      <c r="J111" s="41" t="str">
        <f aca="false">IF($E111="","",$E111&amp;"|"&amp;COUNTIF($E$5:$E111,$E111))</f>
        <v/>
      </c>
      <c r="K111" s="40" t="str">
        <f aca="false">IF($I111="","",LEN($I111))</f>
        <v/>
      </c>
      <c r="L111" s="13"/>
      <c r="M111" s="13"/>
      <c r="N111" s="13"/>
      <c r="O111" s="13"/>
      <c r="P111" s="152"/>
      <c r="Q111" s="149"/>
      <c r="R111" s="152"/>
      <c r="S111" s="152"/>
      <c r="T111" s="62" t="str">
        <f aca="false">IF(OR($C111="",R111=""),"",IF(R111/IF($R$2="",100,$R$2)&gt;=設定!$I$28,設定!$G$8,IF(R111/IF($R$2="",100,$R$2)&lt;設定!$I$29,設定!$G$10,設定!$G$9)))</f>
        <v/>
      </c>
      <c r="U111" s="62" t="str">
        <f aca="false">IF(OR($C111="",S111=""),"",IF(S111/IF($S$2="",100,$S$2)&gt;=設定!$I$28,設定!$G$8,IF(S111/IF($S$2="",100,$S$2)&lt;設定!$I$29,設定!$G$10,設定!$G$9)))</f>
        <v/>
      </c>
    </row>
    <row r="112" customFormat="false" ht="21" hidden="false" customHeight="true" outlineLevel="0" collapsed="false">
      <c r="A112" s="91" t="str">
        <f aca="false">IF(名簿!$D112="","",名簿!$B112&amp;"")</f>
        <v/>
      </c>
      <c r="B112" s="91" t="str">
        <f aca="false">IF(名簿!$D112="","",名簿!$C112)</f>
        <v/>
      </c>
      <c r="C112" s="59" t="str">
        <f aca="false">IF(名簿!$D112="","",名簿!$D112&amp;IF(名簿!$F112="転出","（転出）",""))</f>
        <v/>
      </c>
      <c r="D112" s="149"/>
      <c r="E112" s="61" t="str">
        <f aca="false">IF(OR($C112="",名簿!$F112="転出"),"",IF($C$2="学級ごと",$A112,IF($C$2="前の単元と同じ",単元02!$E112&amp;"",$D112&amp;"")))</f>
        <v/>
      </c>
      <c r="F112" s="150"/>
      <c r="G112" s="150"/>
      <c r="H112" s="150"/>
      <c r="I112" s="151"/>
      <c r="J112" s="41" t="str">
        <f aca="false">IF($E112="","",$E112&amp;"|"&amp;COUNTIF($E$5:$E112,$E112))</f>
        <v/>
      </c>
      <c r="K112" s="40" t="str">
        <f aca="false">IF($I112="","",LEN($I112))</f>
        <v/>
      </c>
      <c r="L112" s="13"/>
      <c r="M112" s="13"/>
      <c r="N112" s="13"/>
      <c r="O112" s="13"/>
      <c r="P112" s="152"/>
      <c r="Q112" s="149"/>
      <c r="R112" s="152"/>
      <c r="S112" s="152"/>
      <c r="T112" s="62" t="str">
        <f aca="false">IF(OR($C112="",R112=""),"",IF(R112/IF($R$2="",100,$R$2)&gt;=設定!$I$28,設定!$G$8,IF(R112/IF($R$2="",100,$R$2)&lt;設定!$I$29,設定!$G$10,設定!$G$9)))</f>
        <v/>
      </c>
      <c r="U112" s="62" t="str">
        <f aca="false">IF(OR($C112="",S112=""),"",IF(S112/IF($S$2="",100,$S$2)&gt;=設定!$I$28,設定!$G$8,IF(S112/IF($S$2="",100,$S$2)&lt;設定!$I$29,設定!$G$10,設定!$G$9)))</f>
        <v/>
      </c>
    </row>
    <row r="113" customFormat="false" ht="21" hidden="false" customHeight="true" outlineLevel="0" collapsed="false">
      <c r="A113" s="91" t="str">
        <f aca="false">IF(名簿!$D113="","",名簿!$B113&amp;"")</f>
        <v/>
      </c>
      <c r="B113" s="91" t="str">
        <f aca="false">IF(名簿!$D113="","",名簿!$C113)</f>
        <v/>
      </c>
      <c r="C113" s="59" t="str">
        <f aca="false">IF(名簿!$D113="","",名簿!$D113&amp;IF(名簿!$F113="転出","（転出）",""))</f>
        <v/>
      </c>
      <c r="D113" s="149"/>
      <c r="E113" s="61" t="str">
        <f aca="false">IF(OR($C113="",名簿!$F113="転出"),"",IF($C$2="学級ごと",$A113,IF($C$2="前の単元と同じ",単元02!$E113&amp;"",$D113&amp;"")))</f>
        <v/>
      </c>
      <c r="F113" s="150"/>
      <c r="G113" s="150"/>
      <c r="H113" s="150"/>
      <c r="I113" s="151"/>
      <c r="J113" s="41" t="str">
        <f aca="false">IF($E113="","",$E113&amp;"|"&amp;COUNTIF($E$5:$E113,$E113))</f>
        <v/>
      </c>
      <c r="K113" s="40" t="str">
        <f aca="false">IF($I113="","",LEN($I113))</f>
        <v/>
      </c>
      <c r="L113" s="13"/>
      <c r="M113" s="13"/>
      <c r="N113" s="13"/>
      <c r="O113" s="13"/>
      <c r="P113" s="152"/>
      <c r="Q113" s="149"/>
      <c r="R113" s="152"/>
      <c r="S113" s="152"/>
      <c r="T113" s="62" t="str">
        <f aca="false">IF(OR($C113="",R113=""),"",IF(R113/IF($R$2="",100,$R$2)&gt;=設定!$I$28,設定!$G$8,IF(R113/IF($R$2="",100,$R$2)&lt;設定!$I$29,設定!$G$10,設定!$G$9)))</f>
        <v/>
      </c>
      <c r="U113" s="62" t="str">
        <f aca="false">IF(OR($C113="",S113=""),"",IF(S113/IF($S$2="",100,$S$2)&gt;=設定!$I$28,設定!$G$8,IF(S113/IF($S$2="",100,$S$2)&lt;設定!$I$29,設定!$G$10,設定!$G$9)))</f>
        <v/>
      </c>
    </row>
    <row r="114" customFormat="false" ht="21" hidden="false" customHeight="true" outlineLevel="0" collapsed="false">
      <c r="A114" s="91" t="str">
        <f aca="false">IF(名簿!$D114="","",名簿!$B114&amp;"")</f>
        <v/>
      </c>
      <c r="B114" s="91" t="str">
        <f aca="false">IF(名簿!$D114="","",名簿!$C114)</f>
        <v/>
      </c>
      <c r="C114" s="59" t="str">
        <f aca="false">IF(名簿!$D114="","",名簿!$D114&amp;IF(名簿!$F114="転出","（転出）",""))</f>
        <v/>
      </c>
      <c r="D114" s="149"/>
      <c r="E114" s="61" t="str">
        <f aca="false">IF(OR($C114="",名簿!$F114="転出"),"",IF($C$2="学級ごと",$A114,IF($C$2="前の単元と同じ",単元02!$E114&amp;"",$D114&amp;"")))</f>
        <v/>
      </c>
      <c r="F114" s="150"/>
      <c r="G114" s="150"/>
      <c r="H114" s="150"/>
      <c r="I114" s="151"/>
      <c r="J114" s="41" t="str">
        <f aca="false">IF($E114="","",$E114&amp;"|"&amp;COUNTIF($E$5:$E114,$E114))</f>
        <v/>
      </c>
      <c r="K114" s="40" t="str">
        <f aca="false">IF($I114="","",LEN($I114))</f>
        <v/>
      </c>
      <c r="L114" s="13"/>
      <c r="M114" s="13"/>
      <c r="N114" s="13"/>
      <c r="O114" s="13"/>
      <c r="P114" s="152"/>
      <c r="Q114" s="149"/>
      <c r="R114" s="152"/>
      <c r="S114" s="152"/>
      <c r="T114" s="62" t="str">
        <f aca="false">IF(OR($C114="",R114=""),"",IF(R114/IF($R$2="",100,$R$2)&gt;=設定!$I$28,設定!$G$8,IF(R114/IF($R$2="",100,$R$2)&lt;設定!$I$29,設定!$G$10,設定!$G$9)))</f>
        <v/>
      </c>
      <c r="U114" s="62" t="str">
        <f aca="false">IF(OR($C114="",S114=""),"",IF(S114/IF($S$2="",100,$S$2)&gt;=設定!$I$28,設定!$G$8,IF(S114/IF($S$2="",100,$S$2)&lt;設定!$I$29,設定!$G$10,設定!$G$9)))</f>
        <v/>
      </c>
    </row>
    <row r="115" customFormat="false" ht="21" hidden="false" customHeight="true" outlineLevel="0" collapsed="false">
      <c r="A115" s="91" t="str">
        <f aca="false">IF(名簿!$D115="","",名簿!$B115&amp;"")</f>
        <v/>
      </c>
      <c r="B115" s="91" t="str">
        <f aca="false">IF(名簿!$D115="","",名簿!$C115)</f>
        <v/>
      </c>
      <c r="C115" s="59" t="str">
        <f aca="false">IF(名簿!$D115="","",名簿!$D115&amp;IF(名簿!$F115="転出","（転出）",""))</f>
        <v/>
      </c>
      <c r="D115" s="149"/>
      <c r="E115" s="61" t="str">
        <f aca="false">IF(OR($C115="",名簿!$F115="転出"),"",IF($C$2="学級ごと",$A115,IF($C$2="前の単元と同じ",単元02!$E115&amp;"",$D115&amp;"")))</f>
        <v/>
      </c>
      <c r="F115" s="150"/>
      <c r="G115" s="150"/>
      <c r="H115" s="150"/>
      <c r="I115" s="151"/>
      <c r="J115" s="41" t="str">
        <f aca="false">IF($E115="","",$E115&amp;"|"&amp;COUNTIF($E$5:$E115,$E115))</f>
        <v/>
      </c>
      <c r="K115" s="40" t="str">
        <f aca="false">IF($I115="","",LEN($I115))</f>
        <v/>
      </c>
      <c r="L115" s="13"/>
      <c r="M115" s="13"/>
      <c r="N115" s="13"/>
      <c r="O115" s="13"/>
      <c r="P115" s="152"/>
      <c r="Q115" s="149"/>
      <c r="R115" s="152"/>
      <c r="S115" s="152"/>
      <c r="T115" s="62" t="str">
        <f aca="false">IF(OR($C115="",R115=""),"",IF(R115/IF($R$2="",100,$R$2)&gt;=設定!$I$28,設定!$G$8,IF(R115/IF($R$2="",100,$R$2)&lt;設定!$I$29,設定!$G$10,設定!$G$9)))</f>
        <v/>
      </c>
      <c r="U115" s="62" t="str">
        <f aca="false">IF(OR($C115="",S115=""),"",IF(S115/IF($S$2="",100,$S$2)&gt;=設定!$I$28,設定!$G$8,IF(S115/IF($S$2="",100,$S$2)&lt;設定!$I$29,設定!$G$10,設定!$G$9)))</f>
        <v/>
      </c>
    </row>
    <row r="116" customFormat="false" ht="21" hidden="false" customHeight="true" outlineLevel="0" collapsed="false">
      <c r="A116" s="91" t="str">
        <f aca="false">IF(名簿!$D116="","",名簿!$B116&amp;"")</f>
        <v/>
      </c>
      <c r="B116" s="91" t="str">
        <f aca="false">IF(名簿!$D116="","",名簿!$C116)</f>
        <v/>
      </c>
      <c r="C116" s="59" t="str">
        <f aca="false">IF(名簿!$D116="","",名簿!$D116&amp;IF(名簿!$F116="転出","（転出）",""))</f>
        <v/>
      </c>
      <c r="D116" s="149"/>
      <c r="E116" s="61" t="str">
        <f aca="false">IF(OR($C116="",名簿!$F116="転出"),"",IF($C$2="学級ごと",$A116,IF($C$2="前の単元と同じ",単元02!$E116&amp;"",$D116&amp;"")))</f>
        <v/>
      </c>
      <c r="F116" s="150"/>
      <c r="G116" s="150"/>
      <c r="H116" s="150"/>
      <c r="I116" s="151"/>
      <c r="J116" s="41" t="str">
        <f aca="false">IF($E116="","",$E116&amp;"|"&amp;COUNTIF($E$5:$E116,$E116))</f>
        <v/>
      </c>
      <c r="K116" s="40" t="str">
        <f aca="false">IF($I116="","",LEN($I116))</f>
        <v/>
      </c>
      <c r="L116" s="13"/>
      <c r="M116" s="13"/>
      <c r="N116" s="13"/>
      <c r="O116" s="13"/>
      <c r="P116" s="152"/>
      <c r="Q116" s="149"/>
      <c r="R116" s="152"/>
      <c r="S116" s="152"/>
      <c r="T116" s="62" t="str">
        <f aca="false">IF(OR($C116="",R116=""),"",IF(R116/IF($R$2="",100,$R$2)&gt;=設定!$I$28,設定!$G$8,IF(R116/IF($R$2="",100,$R$2)&lt;設定!$I$29,設定!$G$10,設定!$G$9)))</f>
        <v/>
      </c>
      <c r="U116" s="62" t="str">
        <f aca="false">IF(OR($C116="",S116=""),"",IF(S116/IF($S$2="",100,$S$2)&gt;=設定!$I$28,設定!$G$8,IF(S116/IF($S$2="",100,$S$2)&lt;設定!$I$29,設定!$G$10,設定!$G$9)))</f>
        <v/>
      </c>
    </row>
    <row r="117" customFormat="false" ht="21" hidden="false" customHeight="true" outlineLevel="0" collapsed="false">
      <c r="A117" s="91" t="str">
        <f aca="false">IF(名簿!$D117="","",名簿!$B117&amp;"")</f>
        <v/>
      </c>
      <c r="B117" s="91" t="str">
        <f aca="false">IF(名簿!$D117="","",名簿!$C117)</f>
        <v/>
      </c>
      <c r="C117" s="59" t="str">
        <f aca="false">IF(名簿!$D117="","",名簿!$D117&amp;IF(名簿!$F117="転出","（転出）",""))</f>
        <v/>
      </c>
      <c r="D117" s="149"/>
      <c r="E117" s="61" t="str">
        <f aca="false">IF(OR($C117="",名簿!$F117="転出"),"",IF($C$2="学級ごと",$A117,IF($C$2="前の単元と同じ",単元02!$E117&amp;"",$D117&amp;"")))</f>
        <v/>
      </c>
      <c r="F117" s="150"/>
      <c r="G117" s="150"/>
      <c r="H117" s="150"/>
      <c r="I117" s="151"/>
      <c r="J117" s="41" t="str">
        <f aca="false">IF($E117="","",$E117&amp;"|"&amp;COUNTIF($E$5:$E117,$E117))</f>
        <v/>
      </c>
      <c r="K117" s="40" t="str">
        <f aca="false">IF($I117="","",LEN($I117))</f>
        <v/>
      </c>
      <c r="L117" s="13"/>
      <c r="M117" s="13"/>
      <c r="N117" s="13"/>
      <c r="O117" s="13"/>
      <c r="P117" s="152"/>
      <c r="Q117" s="149"/>
      <c r="R117" s="152"/>
      <c r="S117" s="152"/>
      <c r="T117" s="62" t="str">
        <f aca="false">IF(OR($C117="",R117=""),"",IF(R117/IF($R$2="",100,$R$2)&gt;=設定!$I$28,設定!$G$8,IF(R117/IF($R$2="",100,$R$2)&lt;設定!$I$29,設定!$G$10,設定!$G$9)))</f>
        <v/>
      </c>
      <c r="U117" s="62" t="str">
        <f aca="false">IF(OR($C117="",S117=""),"",IF(S117/IF($S$2="",100,$S$2)&gt;=設定!$I$28,設定!$G$8,IF(S117/IF($S$2="",100,$S$2)&lt;設定!$I$29,設定!$G$10,設定!$G$9)))</f>
        <v/>
      </c>
    </row>
    <row r="118" customFormat="false" ht="21" hidden="false" customHeight="true" outlineLevel="0" collapsed="false">
      <c r="A118" s="91" t="str">
        <f aca="false">IF(名簿!$D118="","",名簿!$B118&amp;"")</f>
        <v/>
      </c>
      <c r="B118" s="91" t="str">
        <f aca="false">IF(名簿!$D118="","",名簿!$C118)</f>
        <v/>
      </c>
      <c r="C118" s="59" t="str">
        <f aca="false">IF(名簿!$D118="","",名簿!$D118&amp;IF(名簿!$F118="転出","（転出）",""))</f>
        <v/>
      </c>
      <c r="D118" s="149"/>
      <c r="E118" s="61" t="str">
        <f aca="false">IF(OR($C118="",名簿!$F118="転出"),"",IF($C$2="学級ごと",$A118,IF($C$2="前の単元と同じ",単元02!$E118&amp;"",$D118&amp;"")))</f>
        <v/>
      </c>
      <c r="F118" s="150"/>
      <c r="G118" s="150"/>
      <c r="H118" s="150"/>
      <c r="I118" s="151"/>
      <c r="J118" s="41" t="str">
        <f aca="false">IF($E118="","",$E118&amp;"|"&amp;COUNTIF($E$5:$E118,$E118))</f>
        <v/>
      </c>
      <c r="K118" s="40" t="str">
        <f aca="false">IF($I118="","",LEN($I118))</f>
        <v/>
      </c>
      <c r="L118" s="13"/>
      <c r="M118" s="13"/>
      <c r="N118" s="13"/>
      <c r="O118" s="13"/>
      <c r="P118" s="152"/>
      <c r="Q118" s="149"/>
      <c r="R118" s="152"/>
      <c r="S118" s="152"/>
      <c r="T118" s="62" t="str">
        <f aca="false">IF(OR($C118="",R118=""),"",IF(R118/IF($R$2="",100,$R$2)&gt;=設定!$I$28,設定!$G$8,IF(R118/IF($R$2="",100,$R$2)&lt;設定!$I$29,設定!$G$10,設定!$G$9)))</f>
        <v/>
      </c>
      <c r="U118" s="62" t="str">
        <f aca="false">IF(OR($C118="",S118=""),"",IF(S118/IF($S$2="",100,$S$2)&gt;=設定!$I$28,設定!$G$8,IF(S118/IF($S$2="",100,$S$2)&lt;設定!$I$29,設定!$G$10,設定!$G$9)))</f>
        <v/>
      </c>
    </row>
    <row r="119" customFormat="false" ht="21" hidden="false" customHeight="true" outlineLevel="0" collapsed="false">
      <c r="A119" s="91" t="str">
        <f aca="false">IF(名簿!$D119="","",名簿!$B119&amp;"")</f>
        <v/>
      </c>
      <c r="B119" s="91" t="str">
        <f aca="false">IF(名簿!$D119="","",名簿!$C119)</f>
        <v/>
      </c>
      <c r="C119" s="59" t="str">
        <f aca="false">IF(名簿!$D119="","",名簿!$D119&amp;IF(名簿!$F119="転出","（転出）",""))</f>
        <v/>
      </c>
      <c r="D119" s="149"/>
      <c r="E119" s="61" t="str">
        <f aca="false">IF(OR($C119="",名簿!$F119="転出"),"",IF($C$2="学級ごと",$A119,IF($C$2="前の単元と同じ",単元02!$E119&amp;"",$D119&amp;"")))</f>
        <v/>
      </c>
      <c r="F119" s="150"/>
      <c r="G119" s="150"/>
      <c r="H119" s="150"/>
      <c r="I119" s="151"/>
      <c r="J119" s="41" t="str">
        <f aca="false">IF($E119="","",$E119&amp;"|"&amp;COUNTIF($E$5:$E119,$E119))</f>
        <v/>
      </c>
      <c r="K119" s="40" t="str">
        <f aca="false">IF($I119="","",LEN($I119))</f>
        <v/>
      </c>
      <c r="L119" s="13"/>
      <c r="M119" s="13"/>
      <c r="N119" s="13"/>
      <c r="O119" s="13"/>
      <c r="P119" s="152"/>
      <c r="Q119" s="149"/>
      <c r="R119" s="152"/>
      <c r="S119" s="152"/>
      <c r="T119" s="62" t="str">
        <f aca="false">IF(OR($C119="",R119=""),"",IF(R119/IF($R$2="",100,$R$2)&gt;=設定!$I$28,設定!$G$8,IF(R119/IF($R$2="",100,$R$2)&lt;設定!$I$29,設定!$G$10,設定!$G$9)))</f>
        <v/>
      </c>
      <c r="U119" s="62" t="str">
        <f aca="false">IF(OR($C119="",S119=""),"",IF(S119/IF($S$2="",100,$S$2)&gt;=設定!$I$28,設定!$G$8,IF(S119/IF($S$2="",100,$S$2)&lt;設定!$I$29,設定!$G$10,設定!$G$9)))</f>
        <v/>
      </c>
    </row>
    <row r="120" customFormat="false" ht="21" hidden="false" customHeight="true" outlineLevel="0" collapsed="false">
      <c r="A120" s="91" t="str">
        <f aca="false">IF(名簿!$D120="","",名簿!$B120&amp;"")</f>
        <v/>
      </c>
      <c r="B120" s="91" t="str">
        <f aca="false">IF(名簿!$D120="","",名簿!$C120)</f>
        <v/>
      </c>
      <c r="C120" s="59" t="str">
        <f aca="false">IF(名簿!$D120="","",名簿!$D120&amp;IF(名簿!$F120="転出","（転出）",""))</f>
        <v/>
      </c>
      <c r="D120" s="149"/>
      <c r="E120" s="61" t="str">
        <f aca="false">IF(OR($C120="",名簿!$F120="転出"),"",IF($C$2="学級ごと",$A120,IF($C$2="前の単元と同じ",単元02!$E120&amp;"",$D120&amp;"")))</f>
        <v/>
      </c>
      <c r="F120" s="150"/>
      <c r="G120" s="150"/>
      <c r="H120" s="150"/>
      <c r="I120" s="151"/>
      <c r="J120" s="41" t="str">
        <f aca="false">IF($E120="","",$E120&amp;"|"&amp;COUNTIF($E$5:$E120,$E120))</f>
        <v/>
      </c>
      <c r="K120" s="40" t="str">
        <f aca="false">IF($I120="","",LEN($I120))</f>
        <v/>
      </c>
      <c r="L120" s="13"/>
      <c r="M120" s="13"/>
      <c r="N120" s="13"/>
      <c r="O120" s="13"/>
      <c r="P120" s="152"/>
      <c r="Q120" s="149"/>
      <c r="R120" s="152"/>
      <c r="S120" s="152"/>
      <c r="T120" s="62" t="str">
        <f aca="false">IF(OR($C120="",R120=""),"",IF(R120/IF($R$2="",100,$R$2)&gt;=設定!$I$28,設定!$G$8,IF(R120/IF($R$2="",100,$R$2)&lt;設定!$I$29,設定!$G$10,設定!$G$9)))</f>
        <v/>
      </c>
      <c r="U120" s="62" t="str">
        <f aca="false">IF(OR($C120="",S120=""),"",IF(S120/IF($S$2="",100,$S$2)&gt;=設定!$I$28,設定!$G$8,IF(S120/IF($S$2="",100,$S$2)&lt;設定!$I$29,設定!$G$10,設定!$G$9)))</f>
        <v/>
      </c>
    </row>
    <row r="121" customFormat="false" ht="21" hidden="false" customHeight="true" outlineLevel="0" collapsed="false">
      <c r="A121" s="91" t="str">
        <f aca="false">IF(名簿!$D121="","",名簿!$B121&amp;"")</f>
        <v/>
      </c>
      <c r="B121" s="91" t="str">
        <f aca="false">IF(名簿!$D121="","",名簿!$C121)</f>
        <v/>
      </c>
      <c r="C121" s="59" t="str">
        <f aca="false">IF(名簿!$D121="","",名簿!$D121&amp;IF(名簿!$F121="転出","（転出）",""))</f>
        <v/>
      </c>
      <c r="D121" s="149"/>
      <c r="E121" s="61" t="str">
        <f aca="false">IF(OR($C121="",名簿!$F121="転出"),"",IF($C$2="学級ごと",$A121,IF($C$2="前の単元と同じ",単元02!$E121&amp;"",$D121&amp;"")))</f>
        <v/>
      </c>
      <c r="F121" s="150"/>
      <c r="G121" s="150"/>
      <c r="H121" s="150"/>
      <c r="I121" s="151"/>
      <c r="J121" s="41" t="str">
        <f aca="false">IF($E121="","",$E121&amp;"|"&amp;COUNTIF($E$5:$E121,$E121))</f>
        <v/>
      </c>
      <c r="K121" s="40" t="str">
        <f aca="false">IF($I121="","",LEN($I121))</f>
        <v/>
      </c>
      <c r="L121" s="13"/>
      <c r="M121" s="13"/>
      <c r="N121" s="13"/>
      <c r="O121" s="13"/>
      <c r="P121" s="152"/>
      <c r="Q121" s="149"/>
      <c r="R121" s="152"/>
      <c r="S121" s="152"/>
      <c r="T121" s="62" t="str">
        <f aca="false">IF(OR($C121="",R121=""),"",IF(R121/IF($R$2="",100,$R$2)&gt;=設定!$I$28,設定!$G$8,IF(R121/IF($R$2="",100,$R$2)&lt;設定!$I$29,設定!$G$10,設定!$G$9)))</f>
        <v/>
      </c>
      <c r="U121" s="62" t="str">
        <f aca="false">IF(OR($C121="",S121=""),"",IF(S121/IF($S$2="",100,$S$2)&gt;=設定!$I$28,設定!$G$8,IF(S121/IF($S$2="",100,$S$2)&lt;設定!$I$29,設定!$G$10,設定!$G$9)))</f>
        <v/>
      </c>
    </row>
    <row r="122" customFormat="false" ht="21" hidden="false" customHeight="true" outlineLevel="0" collapsed="false">
      <c r="A122" s="91" t="str">
        <f aca="false">IF(名簿!$D122="","",名簿!$B122&amp;"")</f>
        <v/>
      </c>
      <c r="B122" s="91" t="str">
        <f aca="false">IF(名簿!$D122="","",名簿!$C122)</f>
        <v/>
      </c>
      <c r="C122" s="59" t="str">
        <f aca="false">IF(名簿!$D122="","",名簿!$D122&amp;IF(名簿!$F122="転出","（転出）",""))</f>
        <v/>
      </c>
      <c r="D122" s="149"/>
      <c r="E122" s="61" t="str">
        <f aca="false">IF(OR($C122="",名簿!$F122="転出"),"",IF($C$2="学級ごと",$A122,IF($C$2="前の単元と同じ",単元02!$E122&amp;"",$D122&amp;"")))</f>
        <v/>
      </c>
      <c r="F122" s="150"/>
      <c r="G122" s="150"/>
      <c r="H122" s="150"/>
      <c r="I122" s="151"/>
      <c r="J122" s="41" t="str">
        <f aca="false">IF($E122="","",$E122&amp;"|"&amp;COUNTIF($E$5:$E122,$E122))</f>
        <v/>
      </c>
      <c r="K122" s="40" t="str">
        <f aca="false">IF($I122="","",LEN($I122))</f>
        <v/>
      </c>
      <c r="L122" s="13"/>
      <c r="M122" s="13"/>
      <c r="N122" s="13"/>
      <c r="O122" s="13"/>
      <c r="P122" s="152"/>
      <c r="Q122" s="149"/>
      <c r="R122" s="152"/>
      <c r="S122" s="152"/>
      <c r="T122" s="62" t="str">
        <f aca="false">IF(OR($C122="",R122=""),"",IF(R122/IF($R$2="",100,$R$2)&gt;=設定!$I$28,設定!$G$8,IF(R122/IF($R$2="",100,$R$2)&lt;設定!$I$29,設定!$G$10,設定!$G$9)))</f>
        <v/>
      </c>
      <c r="U122" s="62" t="str">
        <f aca="false">IF(OR($C122="",S122=""),"",IF(S122/IF($S$2="",100,$S$2)&gt;=設定!$I$28,設定!$G$8,IF(S122/IF($S$2="",100,$S$2)&lt;設定!$I$29,設定!$G$10,設定!$G$9)))</f>
        <v/>
      </c>
    </row>
    <row r="123" customFormat="false" ht="21" hidden="false" customHeight="true" outlineLevel="0" collapsed="false">
      <c r="A123" s="91" t="str">
        <f aca="false">IF(名簿!$D123="","",名簿!$B123&amp;"")</f>
        <v/>
      </c>
      <c r="B123" s="91" t="str">
        <f aca="false">IF(名簿!$D123="","",名簿!$C123)</f>
        <v/>
      </c>
      <c r="C123" s="59" t="str">
        <f aca="false">IF(名簿!$D123="","",名簿!$D123&amp;IF(名簿!$F123="転出","（転出）",""))</f>
        <v/>
      </c>
      <c r="D123" s="149"/>
      <c r="E123" s="61" t="str">
        <f aca="false">IF(OR($C123="",名簿!$F123="転出"),"",IF($C$2="学級ごと",$A123,IF($C$2="前の単元と同じ",単元02!$E123&amp;"",$D123&amp;"")))</f>
        <v/>
      </c>
      <c r="F123" s="150"/>
      <c r="G123" s="150"/>
      <c r="H123" s="150"/>
      <c r="I123" s="151"/>
      <c r="J123" s="41" t="str">
        <f aca="false">IF($E123="","",$E123&amp;"|"&amp;COUNTIF($E$5:$E123,$E123))</f>
        <v/>
      </c>
      <c r="K123" s="40" t="str">
        <f aca="false">IF($I123="","",LEN($I123))</f>
        <v/>
      </c>
      <c r="L123" s="13"/>
      <c r="M123" s="13"/>
      <c r="N123" s="13"/>
      <c r="O123" s="13"/>
      <c r="P123" s="152"/>
      <c r="Q123" s="149"/>
      <c r="R123" s="152"/>
      <c r="S123" s="152"/>
      <c r="T123" s="62" t="str">
        <f aca="false">IF(OR($C123="",R123=""),"",IF(R123/IF($R$2="",100,$R$2)&gt;=設定!$I$28,設定!$G$8,IF(R123/IF($R$2="",100,$R$2)&lt;設定!$I$29,設定!$G$10,設定!$G$9)))</f>
        <v/>
      </c>
      <c r="U123" s="62" t="str">
        <f aca="false">IF(OR($C123="",S123=""),"",IF(S123/IF($S$2="",100,$S$2)&gt;=設定!$I$28,設定!$G$8,IF(S123/IF($S$2="",100,$S$2)&lt;設定!$I$29,設定!$G$10,設定!$G$9)))</f>
        <v/>
      </c>
    </row>
    <row r="124" customFormat="false" ht="21" hidden="false" customHeight="true" outlineLevel="0" collapsed="false">
      <c r="A124" s="91" t="str">
        <f aca="false">IF(名簿!$D124="","",名簿!$B124&amp;"")</f>
        <v/>
      </c>
      <c r="B124" s="91" t="str">
        <f aca="false">IF(名簿!$D124="","",名簿!$C124)</f>
        <v/>
      </c>
      <c r="C124" s="59" t="str">
        <f aca="false">IF(名簿!$D124="","",名簿!$D124&amp;IF(名簿!$F124="転出","（転出）",""))</f>
        <v/>
      </c>
      <c r="D124" s="149"/>
      <c r="E124" s="61" t="str">
        <f aca="false">IF(OR($C124="",名簿!$F124="転出"),"",IF($C$2="学級ごと",$A124,IF($C$2="前の単元と同じ",単元02!$E124&amp;"",$D124&amp;"")))</f>
        <v/>
      </c>
      <c r="F124" s="150"/>
      <c r="G124" s="150"/>
      <c r="H124" s="150"/>
      <c r="I124" s="151"/>
      <c r="J124" s="41" t="str">
        <f aca="false">IF($E124="","",$E124&amp;"|"&amp;COUNTIF($E$5:$E124,$E124))</f>
        <v/>
      </c>
      <c r="K124" s="40" t="str">
        <f aca="false">IF($I124="","",LEN($I124))</f>
        <v/>
      </c>
      <c r="L124" s="13"/>
      <c r="M124" s="13"/>
      <c r="N124" s="13"/>
      <c r="O124" s="13"/>
      <c r="P124" s="152"/>
      <c r="Q124" s="149"/>
      <c r="R124" s="152"/>
      <c r="S124" s="152"/>
      <c r="T124" s="62" t="str">
        <f aca="false">IF(OR($C124="",R124=""),"",IF(R124/IF($R$2="",100,$R$2)&gt;=設定!$I$28,設定!$G$8,IF(R124/IF($R$2="",100,$R$2)&lt;設定!$I$29,設定!$G$10,設定!$G$9)))</f>
        <v/>
      </c>
      <c r="U124" s="62" t="str">
        <f aca="false">IF(OR($C124="",S124=""),"",IF(S124/IF($S$2="",100,$S$2)&gt;=設定!$I$28,設定!$G$8,IF(S124/IF($S$2="",100,$S$2)&lt;設定!$I$29,設定!$G$10,設定!$G$9)))</f>
        <v/>
      </c>
    </row>
    <row r="125" customFormat="false" ht="21" hidden="false" customHeight="true" outlineLevel="0" collapsed="false">
      <c r="A125" s="91" t="str">
        <f aca="false">IF(名簿!$D125="","",名簿!$B125&amp;"")</f>
        <v/>
      </c>
      <c r="B125" s="91" t="str">
        <f aca="false">IF(名簿!$D125="","",名簿!$C125)</f>
        <v/>
      </c>
      <c r="C125" s="59" t="str">
        <f aca="false">IF(名簿!$D125="","",名簿!$D125&amp;IF(名簿!$F125="転出","（転出）",""))</f>
        <v/>
      </c>
      <c r="D125" s="149"/>
      <c r="E125" s="61" t="str">
        <f aca="false">IF(OR($C125="",名簿!$F125="転出"),"",IF($C$2="学級ごと",$A125,IF($C$2="前の単元と同じ",単元02!$E125&amp;"",$D125&amp;"")))</f>
        <v/>
      </c>
      <c r="F125" s="150"/>
      <c r="G125" s="150"/>
      <c r="H125" s="150"/>
      <c r="I125" s="151"/>
      <c r="J125" s="41" t="str">
        <f aca="false">IF($E125="","",$E125&amp;"|"&amp;COUNTIF($E$5:$E125,$E125))</f>
        <v/>
      </c>
      <c r="K125" s="40" t="str">
        <f aca="false">IF($I125="","",LEN($I125))</f>
        <v/>
      </c>
      <c r="L125" s="13"/>
      <c r="M125" s="13"/>
      <c r="N125" s="13"/>
      <c r="O125" s="13"/>
      <c r="P125" s="152"/>
      <c r="Q125" s="149"/>
      <c r="R125" s="152"/>
      <c r="S125" s="152"/>
      <c r="T125" s="62" t="str">
        <f aca="false">IF(OR($C125="",R125=""),"",IF(R125/IF($R$2="",100,$R$2)&gt;=設定!$I$28,設定!$G$8,IF(R125/IF($R$2="",100,$R$2)&lt;設定!$I$29,設定!$G$10,設定!$G$9)))</f>
        <v/>
      </c>
      <c r="U125" s="62" t="str">
        <f aca="false">IF(OR($C125="",S125=""),"",IF(S125/IF($S$2="",100,$S$2)&gt;=設定!$I$28,設定!$G$8,IF(S125/IF($S$2="",100,$S$2)&lt;設定!$I$29,設定!$G$10,設定!$G$9)))</f>
        <v/>
      </c>
    </row>
    <row r="126" customFormat="false" ht="21" hidden="false" customHeight="true" outlineLevel="0" collapsed="false">
      <c r="A126" s="91" t="str">
        <f aca="false">IF(名簿!$D126="","",名簿!$B126&amp;"")</f>
        <v/>
      </c>
      <c r="B126" s="91" t="str">
        <f aca="false">IF(名簿!$D126="","",名簿!$C126)</f>
        <v/>
      </c>
      <c r="C126" s="59" t="str">
        <f aca="false">IF(名簿!$D126="","",名簿!$D126&amp;IF(名簿!$F126="転出","（転出）",""))</f>
        <v/>
      </c>
      <c r="D126" s="149"/>
      <c r="E126" s="61" t="str">
        <f aca="false">IF(OR($C126="",名簿!$F126="転出"),"",IF($C$2="学級ごと",$A126,IF($C$2="前の単元と同じ",単元02!$E126&amp;"",$D126&amp;"")))</f>
        <v/>
      </c>
      <c r="F126" s="150"/>
      <c r="G126" s="150"/>
      <c r="H126" s="150"/>
      <c r="I126" s="151"/>
      <c r="J126" s="41" t="str">
        <f aca="false">IF($E126="","",$E126&amp;"|"&amp;COUNTIF($E$5:$E126,$E126))</f>
        <v/>
      </c>
      <c r="K126" s="40" t="str">
        <f aca="false">IF($I126="","",LEN($I126))</f>
        <v/>
      </c>
      <c r="L126" s="13"/>
      <c r="M126" s="13"/>
      <c r="N126" s="13"/>
      <c r="O126" s="13"/>
      <c r="P126" s="152"/>
      <c r="Q126" s="149"/>
      <c r="R126" s="152"/>
      <c r="S126" s="152"/>
      <c r="T126" s="62" t="str">
        <f aca="false">IF(OR($C126="",R126=""),"",IF(R126/IF($R$2="",100,$R$2)&gt;=設定!$I$28,設定!$G$8,IF(R126/IF($R$2="",100,$R$2)&lt;設定!$I$29,設定!$G$10,設定!$G$9)))</f>
        <v/>
      </c>
      <c r="U126" s="62" t="str">
        <f aca="false">IF(OR($C126="",S126=""),"",IF(S126/IF($S$2="",100,$S$2)&gt;=設定!$I$28,設定!$G$8,IF(S126/IF($S$2="",100,$S$2)&lt;設定!$I$29,設定!$G$10,設定!$G$9)))</f>
        <v/>
      </c>
    </row>
    <row r="127" customFormat="false" ht="21" hidden="false" customHeight="true" outlineLevel="0" collapsed="false">
      <c r="A127" s="91" t="str">
        <f aca="false">IF(名簿!$D127="","",名簿!$B127&amp;"")</f>
        <v/>
      </c>
      <c r="B127" s="91" t="str">
        <f aca="false">IF(名簿!$D127="","",名簿!$C127)</f>
        <v/>
      </c>
      <c r="C127" s="59" t="str">
        <f aca="false">IF(名簿!$D127="","",名簿!$D127&amp;IF(名簿!$F127="転出","（転出）",""))</f>
        <v/>
      </c>
      <c r="D127" s="149"/>
      <c r="E127" s="61" t="str">
        <f aca="false">IF(OR($C127="",名簿!$F127="転出"),"",IF($C$2="学級ごと",$A127,IF($C$2="前の単元と同じ",単元02!$E127&amp;"",$D127&amp;"")))</f>
        <v/>
      </c>
      <c r="F127" s="150"/>
      <c r="G127" s="150"/>
      <c r="H127" s="150"/>
      <c r="I127" s="151"/>
      <c r="J127" s="41" t="str">
        <f aca="false">IF($E127="","",$E127&amp;"|"&amp;COUNTIF($E$5:$E127,$E127))</f>
        <v/>
      </c>
      <c r="K127" s="40" t="str">
        <f aca="false">IF($I127="","",LEN($I127))</f>
        <v/>
      </c>
      <c r="L127" s="13"/>
      <c r="M127" s="13"/>
      <c r="N127" s="13"/>
      <c r="O127" s="13"/>
      <c r="P127" s="152"/>
      <c r="Q127" s="149"/>
      <c r="R127" s="152"/>
      <c r="S127" s="152"/>
      <c r="T127" s="62" t="str">
        <f aca="false">IF(OR($C127="",R127=""),"",IF(R127/IF($R$2="",100,$R$2)&gt;=設定!$I$28,設定!$G$8,IF(R127/IF($R$2="",100,$R$2)&lt;設定!$I$29,設定!$G$10,設定!$G$9)))</f>
        <v/>
      </c>
      <c r="U127" s="62" t="str">
        <f aca="false">IF(OR($C127="",S127=""),"",IF(S127/IF($S$2="",100,$S$2)&gt;=設定!$I$28,設定!$G$8,IF(S127/IF($S$2="",100,$S$2)&lt;設定!$I$29,設定!$G$10,設定!$G$9)))</f>
        <v/>
      </c>
    </row>
    <row r="128" customFormat="false" ht="21" hidden="false" customHeight="true" outlineLevel="0" collapsed="false">
      <c r="A128" s="91" t="str">
        <f aca="false">IF(名簿!$D128="","",名簿!$B128&amp;"")</f>
        <v/>
      </c>
      <c r="B128" s="91" t="str">
        <f aca="false">IF(名簿!$D128="","",名簿!$C128)</f>
        <v/>
      </c>
      <c r="C128" s="59" t="str">
        <f aca="false">IF(名簿!$D128="","",名簿!$D128&amp;IF(名簿!$F128="転出","（転出）",""))</f>
        <v/>
      </c>
      <c r="D128" s="149"/>
      <c r="E128" s="61" t="str">
        <f aca="false">IF(OR($C128="",名簿!$F128="転出"),"",IF($C$2="学級ごと",$A128,IF($C$2="前の単元と同じ",単元02!$E128&amp;"",$D128&amp;"")))</f>
        <v/>
      </c>
      <c r="F128" s="150"/>
      <c r="G128" s="150"/>
      <c r="H128" s="150"/>
      <c r="I128" s="151"/>
      <c r="J128" s="41" t="str">
        <f aca="false">IF($E128="","",$E128&amp;"|"&amp;COUNTIF($E$5:$E128,$E128))</f>
        <v/>
      </c>
      <c r="K128" s="40" t="str">
        <f aca="false">IF($I128="","",LEN($I128))</f>
        <v/>
      </c>
      <c r="L128" s="13"/>
      <c r="M128" s="13"/>
      <c r="N128" s="13"/>
      <c r="O128" s="13"/>
      <c r="P128" s="152"/>
      <c r="Q128" s="149"/>
      <c r="R128" s="152"/>
      <c r="S128" s="152"/>
      <c r="T128" s="62" t="str">
        <f aca="false">IF(OR($C128="",R128=""),"",IF(R128/IF($R$2="",100,$R$2)&gt;=設定!$I$28,設定!$G$8,IF(R128/IF($R$2="",100,$R$2)&lt;設定!$I$29,設定!$G$10,設定!$G$9)))</f>
        <v/>
      </c>
      <c r="U128" s="62" t="str">
        <f aca="false">IF(OR($C128="",S128=""),"",IF(S128/IF($S$2="",100,$S$2)&gt;=設定!$I$28,設定!$G$8,IF(S128/IF($S$2="",100,$S$2)&lt;設定!$I$29,設定!$G$10,設定!$G$9)))</f>
        <v/>
      </c>
    </row>
    <row r="129" customFormat="false" ht="21" hidden="false" customHeight="true" outlineLevel="0" collapsed="false">
      <c r="A129" s="91" t="str">
        <f aca="false">IF(名簿!$D129="","",名簿!$B129&amp;"")</f>
        <v/>
      </c>
      <c r="B129" s="91" t="str">
        <f aca="false">IF(名簿!$D129="","",名簿!$C129)</f>
        <v/>
      </c>
      <c r="C129" s="59" t="str">
        <f aca="false">IF(名簿!$D129="","",名簿!$D129&amp;IF(名簿!$F129="転出","（転出）",""))</f>
        <v/>
      </c>
      <c r="D129" s="149"/>
      <c r="E129" s="61" t="str">
        <f aca="false">IF(OR($C129="",名簿!$F129="転出"),"",IF($C$2="学級ごと",$A129,IF($C$2="前の単元と同じ",単元02!$E129&amp;"",$D129&amp;"")))</f>
        <v/>
      </c>
      <c r="F129" s="150"/>
      <c r="G129" s="150"/>
      <c r="H129" s="150"/>
      <c r="I129" s="151"/>
      <c r="J129" s="41" t="str">
        <f aca="false">IF($E129="","",$E129&amp;"|"&amp;COUNTIF($E$5:$E129,$E129))</f>
        <v/>
      </c>
      <c r="K129" s="40" t="str">
        <f aca="false">IF($I129="","",LEN($I129))</f>
        <v/>
      </c>
      <c r="L129" s="13"/>
      <c r="M129" s="13"/>
      <c r="N129" s="13"/>
      <c r="O129" s="13"/>
      <c r="P129" s="152"/>
      <c r="Q129" s="149"/>
      <c r="R129" s="152"/>
      <c r="S129" s="152"/>
      <c r="T129" s="62" t="str">
        <f aca="false">IF(OR($C129="",R129=""),"",IF(R129/IF($R$2="",100,$R$2)&gt;=設定!$I$28,設定!$G$8,IF(R129/IF($R$2="",100,$R$2)&lt;設定!$I$29,設定!$G$10,設定!$G$9)))</f>
        <v/>
      </c>
      <c r="U129" s="62" t="str">
        <f aca="false">IF(OR($C129="",S129=""),"",IF(S129/IF($S$2="",100,$S$2)&gt;=設定!$I$28,設定!$G$8,IF(S129/IF($S$2="",100,$S$2)&lt;設定!$I$29,設定!$G$10,設定!$G$9)))</f>
        <v/>
      </c>
    </row>
    <row r="130" customFormat="false" ht="21" hidden="false" customHeight="true" outlineLevel="0" collapsed="false">
      <c r="A130" s="91" t="str">
        <f aca="false">IF(名簿!$D130="","",名簿!$B130&amp;"")</f>
        <v/>
      </c>
      <c r="B130" s="91" t="str">
        <f aca="false">IF(名簿!$D130="","",名簿!$C130)</f>
        <v/>
      </c>
      <c r="C130" s="59" t="str">
        <f aca="false">IF(名簿!$D130="","",名簿!$D130&amp;IF(名簿!$F130="転出","（転出）",""))</f>
        <v/>
      </c>
      <c r="D130" s="149"/>
      <c r="E130" s="61" t="str">
        <f aca="false">IF(OR($C130="",名簿!$F130="転出"),"",IF($C$2="学級ごと",$A130,IF($C$2="前の単元と同じ",単元02!$E130&amp;"",$D130&amp;"")))</f>
        <v/>
      </c>
      <c r="F130" s="150"/>
      <c r="G130" s="150"/>
      <c r="H130" s="150"/>
      <c r="I130" s="151"/>
      <c r="J130" s="41" t="str">
        <f aca="false">IF($E130="","",$E130&amp;"|"&amp;COUNTIF($E$5:$E130,$E130))</f>
        <v/>
      </c>
      <c r="K130" s="40" t="str">
        <f aca="false">IF($I130="","",LEN($I130))</f>
        <v/>
      </c>
      <c r="L130" s="13"/>
      <c r="M130" s="13"/>
      <c r="N130" s="13"/>
      <c r="O130" s="13"/>
      <c r="P130" s="152"/>
      <c r="Q130" s="149"/>
      <c r="R130" s="152"/>
      <c r="S130" s="152"/>
      <c r="T130" s="62" t="str">
        <f aca="false">IF(OR($C130="",R130=""),"",IF(R130/IF($R$2="",100,$R$2)&gt;=設定!$I$28,設定!$G$8,IF(R130/IF($R$2="",100,$R$2)&lt;設定!$I$29,設定!$G$10,設定!$G$9)))</f>
        <v/>
      </c>
      <c r="U130" s="62" t="str">
        <f aca="false">IF(OR($C130="",S130=""),"",IF(S130/IF($S$2="",100,$S$2)&gt;=設定!$I$28,設定!$G$8,IF(S130/IF($S$2="",100,$S$2)&lt;設定!$I$29,設定!$G$10,設定!$G$9)))</f>
        <v/>
      </c>
    </row>
    <row r="131" customFormat="false" ht="21" hidden="false" customHeight="true" outlineLevel="0" collapsed="false">
      <c r="A131" s="91" t="str">
        <f aca="false">IF(名簿!$D131="","",名簿!$B131&amp;"")</f>
        <v/>
      </c>
      <c r="B131" s="91" t="str">
        <f aca="false">IF(名簿!$D131="","",名簿!$C131)</f>
        <v/>
      </c>
      <c r="C131" s="59" t="str">
        <f aca="false">IF(名簿!$D131="","",名簿!$D131&amp;IF(名簿!$F131="転出","（転出）",""))</f>
        <v/>
      </c>
      <c r="D131" s="149"/>
      <c r="E131" s="61" t="str">
        <f aca="false">IF(OR($C131="",名簿!$F131="転出"),"",IF($C$2="学級ごと",$A131,IF($C$2="前の単元と同じ",単元02!$E131&amp;"",$D131&amp;"")))</f>
        <v/>
      </c>
      <c r="F131" s="150"/>
      <c r="G131" s="150"/>
      <c r="H131" s="150"/>
      <c r="I131" s="151"/>
      <c r="J131" s="41" t="str">
        <f aca="false">IF($E131="","",$E131&amp;"|"&amp;COUNTIF($E$5:$E131,$E131))</f>
        <v/>
      </c>
      <c r="K131" s="40" t="str">
        <f aca="false">IF($I131="","",LEN($I131))</f>
        <v/>
      </c>
      <c r="L131" s="13"/>
      <c r="M131" s="13"/>
      <c r="N131" s="13"/>
      <c r="O131" s="13"/>
      <c r="P131" s="152"/>
      <c r="Q131" s="149"/>
      <c r="R131" s="152"/>
      <c r="S131" s="152"/>
      <c r="T131" s="62" t="str">
        <f aca="false">IF(OR($C131="",R131=""),"",IF(R131/IF($R$2="",100,$R$2)&gt;=設定!$I$28,設定!$G$8,IF(R131/IF($R$2="",100,$R$2)&lt;設定!$I$29,設定!$G$10,設定!$G$9)))</f>
        <v/>
      </c>
      <c r="U131" s="62" t="str">
        <f aca="false">IF(OR($C131="",S131=""),"",IF(S131/IF($S$2="",100,$S$2)&gt;=設定!$I$28,設定!$G$8,IF(S131/IF($S$2="",100,$S$2)&lt;設定!$I$29,設定!$G$10,設定!$G$9)))</f>
        <v/>
      </c>
    </row>
    <row r="132" customFormat="false" ht="21" hidden="false" customHeight="true" outlineLevel="0" collapsed="false">
      <c r="A132" s="91" t="str">
        <f aca="false">IF(名簿!$D132="","",名簿!$B132&amp;"")</f>
        <v/>
      </c>
      <c r="B132" s="91" t="str">
        <f aca="false">IF(名簿!$D132="","",名簿!$C132)</f>
        <v/>
      </c>
      <c r="C132" s="59" t="str">
        <f aca="false">IF(名簿!$D132="","",名簿!$D132&amp;IF(名簿!$F132="転出","（転出）",""))</f>
        <v/>
      </c>
      <c r="D132" s="149"/>
      <c r="E132" s="61" t="str">
        <f aca="false">IF(OR($C132="",名簿!$F132="転出"),"",IF($C$2="学級ごと",$A132,IF($C$2="前の単元と同じ",単元02!$E132&amp;"",$D132&amp;"")))</f>
        <v/>
      </c>
      <c r="F132" s="150"/>
      <c r="G132" s="150"/>
      <c r="H132" s="150"/>
      <c r="I132" s="151"/>
      <c r="J132" s="41" t="str">
        <f aca="false">IF($E132="","",$E132&amp;"|"&amp;COUNTIF($E$5:$E132,$E132))</f>
        <v/>
      </c>
      <c r="K132" s="40" t="str">
        <f aca="false">IF($I132="","",LEN($I132))</f>
        <v/>
      </c>
      <c r="L132" s="13"/>
      <c r="M132" s="13"/>
      <c r="N132" s="13"/>
      <c r="O132" s="13"/>
      <c r="P132" s="152"/>
      <c r="Q132" s="149"/>
      <c r="R132" s="152"/>
      <c r="S132" s="152"/>
      <c r="T132" s="62" t="str">
        <f aca="false">IF(OR($C132="",R132=""),"",IF(R132/IF($R$2="",100,$R$2)&gt;=設定!$I$28,設定!$G$8,IF(R132/IF($R$2="",100,$R$2)&lt;設定!$I$29,設定!$G$10,設定!$G$9)))</f>
        <v/>
      </c>
      <c r="U132" s="62" t="str">
        <f aca="false">IF(OR($C132="",S132=""),"",IF(S132/IF($S$2="",100,$S$2)&gt;=設定!$I$28,設定!$G$8,IF(S132/IF($S$2="",100,$S$2)&lt;設定!$I$29,設定!$G$10,設定!$G$9)))</f>
        <v/>
      </c>
    </row>
    <row r="133" customFormat="false" ht="21" hidden="false" customHeight="true" outlineLevel="0" collapsed="false">
      <c r="A133" s="91" t="str">
        <f aca="false">IF(名簿!$D133="","",名簿!$B133&amp;"")</f>
        <v/>
      </c>
      <c r="B133" s="91" t="str">
        <f aca="false">IF(名簿!$D133="","",名簿!$C133)</f>
        <v/>
      </c>
      <c r="C133" s="59" t="str">
        <f aca="false">IF(名簿!$D133="","",名簿!$D133&amp;IF(名簿!$F133="転出","（転出）",""))</f>
        <v/>
      </c>
      <c r="D133" s="149"/>
      <c r="E133" s="61" t="str">
        <f aca="false">IF(OR($C133="",名簿!$F133="転出"),"",IF($C$2="学級ごと",$A133,IF($C$2="前の単元と同じ",単元02!$E133&amp;"",$D133&amp;"")))</f>
        <v/>
      </c>
      <c r="F133" s="150"/>
      <c r="G133" s="150"/>
      <c r="H133" s="150"/>
      <c r="I133" s="151"/>
      <c r="J133" s="41" t="str">
        <f aca="false">IF($E133="","",$E133&amp;"|"&amp;COUNTIF($E$5:$E133,$E133))</f>
        <v/>
      </c>
      <c r="K133" s="40" t="str">
        <f aca="false">IF($I133="","",LEN($I133))</f>
        <v/>
      </c>
      <c r="L133" s="13"/>
      <c r="M133" s="13"/>
      <c r="N133" s="13"/>
      <c r="O133" s="13"/>
      <c r="P133" s="152"/>
      <c r="Q133" s="149"/>
      <c r="R133" s="152"/>
      <c r="S133" s="152"/>
      <c r="T133" s="62" t="str">
        <f aca="false">IF(OR($C133="",R133=""),"",IF(R133/IF($R$2="",100,$R$2)&gt;=設定!$I$28,設定!$G$8,IF(R133/IF($R$2="",100,$R$2)&lt;設定!$I$29,設定!$G$10,設定!$G$9)))</f>
        <v/>
      </c>
      <c r="U133" s="62" t="str">
        <f aca="false">IF(OR($C133="",S133=""),"",IF(S133/IF($S$2="",100,$S$2)&gt;=設定!$I$28,設定!$G$8,IF(S133/IF($S$2="",100,$S$2)&lt;設定!$I$29,設定!$G$10,設定!$G$9)))</f>
        <v/>
      </c>
    </row>
    <row r="134" customFormat="false" ht="21" hidden="false" customHeight="true" outlineLevel="0" collapsed="false">
      <c r="A134" s="91" t="str">
        <f aca="false">IF(名簿!$D134="","",名簿!$B134&amp;"")</f>
        <v/>
      </c>
      <c r="B134" s="91" t="str">
        <f aca="false">IF(名簿!$D134="","",名簿!$C134)</f>
        <v/>
      </c>
      <c r="C134" s="59" t="str">
        <f aca="false">IF(名簿!$D134="","",名簿!$D134&amp;IF(名簿!$F134="転出","（転出）",""))</f>
        <v/>
      </c>
      <c r="D134" s="149"/>
      <c r="E134" s="61" t="str">
        <f aca="false">IF(OR($C134="",名簿!$F134="転出"),"",IF($C$2="学級ごと",$A134,IF($C$2="前の単元と同じ",単元02!$E134&amp;"",$D134&amp;"")))</f>
        <v/>
      </c>
      <c r="F134" s="150"/>
      <c r="G134" s="150"/>
      <c r="H134" s="150"/>
      <c r="I134" s="151"/>
      <c r="J134" s="41" t="str">
        <f aca="false">IF($E134="","",$E134&amp;"|"&amp;COUNTIF($E$5:$E134,$E134))</f>
        <v/>
      </c>
      <c r="K134" s="40" t="str">
        <f aca="false">IF($I134="","",LEN($I134))</f>
        <v/>
      </c>
      <c r="L134" s="13"/>
      <c r="M134" s="13"/>
      <c r="N134" s="13"/>
      <c r="O134" s="13"/>
      <c r="P134" s="152"/>
      <c r="Q134" s="149"/>
      <c r="R134" s="152"/>
      <c r="S134" s="152"/>
      <c r="T134" s="62" t="str">
        <f aca="false">IF(OR($C134="",R134=""),"",IF(R134/IF($R$2="",100,$R$2)&gt;=設定!$I$28,設定!$G$8,IF(R134/IF($R$2="",100,$R$2)&lt;設定!$I$29,設定!$G$10,設定!$G$9)))</f>
        <v/>
      </c>
      <c r="U134" s="62" t="str">
        <f aca="false">IF(OR($C134="",S134=""),"",IF(S134/IF($S$2="",100,$S$2)&gt;=設定!$I$28,設定!$G$8,IF(S134/IF($S$2="",100,$S$2)&lt;設定!$I$29,設定!$G$10,設定!$G$9)))</f>
        <v/>
      </c>
    </row>
    <row r="135" customFormat="false" ht="21" hidden="false" customHeight="true" outlineLevel="0" collapsed="false">
      <c r="A135" s="91" t="str">
        <f aca="false">IF(名簿!$D135="","",名簿!$B135&amp;"")</f>
        <v/>
      </c>
      <c r="B135" s="91" t="str">
        <f aca="false">IF(名簿!$D135="","",名簿!$C135)</f>
        <v/>
      </c>
      <c r="C135" s="59" t="str">
        <f aca="false">IF(名簿!$D135="","",名簿!$D135&amp;IF(名簿!$F135="転出","（転出）",""))</f>
        <v/>
      </c>
      <c r="D135" s="149"/>
      <c r="E135" s="61" t="str">
        <f aca="false">IF(OR($C135="",名簿!$F135="転出"),"",IF($C$2="学級ごと",$A135,IF($C$2="前の単元と同じ",単元02!$E135&amp;"",$D135&amp;"")))</f>
        <v/>
      </c>
      <c r="F135" s="150"/>
      <c r="G135" s="150"/>
      <c r="H135" s="150"/>
      <c r="I135" s="151"/>
      <c r="J135" s="41" t="str">
        <f aca="false">IF($E135="","",$E135&amp;"|"&amp;COUNTIF($E$5:$E135,$E135))</f>
        <v/>
      </c>
      <c r="K135" s="40" t="str">
        <f aca="false">IF($I135="","",LEN($I135))</f>
        <v/>
      </c>
      <c r="L135" s="13"/>
      <c r="M135" s="13"/>
      <c r="N135" s="13"/>
      <c r="O135" s="13"/>
      <c r="P135" s="152"/>
      <c r="Q135" s="149"/>
      <c r="R135" s="152"/>
      <c r="S135" s="152"/>
      <c r="T135" s="62" t="str">
        <f aca="false">IF(OR($C135="",R135=""),"",IF(R135/IF($R$2="",100,$R$2)&gt;=設定!$I$28,設定!$G$8,IF(R135/IF($R$2="",100,$R$2)&lt;設定!$I$29,設定!$G$10,設定!$G$9)))</f>
        <v/>
      </c>
      <c r="U135" s="62" t="str">
        <f aca="false">IF(OR($C135="",S135=""),"",IF(S135/IF($S$2="",100,$S$2)&gt;=設定!$I$28,設定!$G$8,IF(S135/IF($S$2="",100,$S$2)&lt;設定!$I$29,設定!$G$10,設定!$G$9)))</f>
        <v/>
      </c>
    </row>
    <row r="136" customFormat="false" ht="21" hidden="false" customHeight="true" outlineLevel="0" collapsed="false">
      <c r="A136" s="91" t="str">
        <f aca="false">IF(名簿!$D136="","",名簿!$B136&amp;"")</f>
        <v/>
      </c>
      <c r="B136" s="91" t="str">
        <f aca="false">IF(名簿!$D136="","",名簿!$C136)</f>
        <v/>
      </c>
      <c r="C136" s="59" t="str">
        <f aca="false">IF(名簿!$D136="","",名簿!$D136&amp;IF(名簿!$F136="転出","（転出）",""))</f>
        <v/>
      </c>
      <c r="D136" s="149"/>
      <c r="E136" s="61" t="str">
        <f aca="false">IF(OR($C136="",名簿!$F136="転出"),"",IF($C$2="学級ごと",$A136,IF($C$2="前の単元と同じ",単元02!$E136&amp;"",$D136&amp;"")))</f>
        <v/>
      </c>
      <c r="F136" s="150"/>
      <c r="G136" s="150"/>
      <c r="H136" s="150"/>
      <c r="I136" s="151"/>
      <c r="J136" s="41" t="str">
        <f aca="false">IF($E136="","",$E136&amp;"|"&amp;COUNTIF($E$5:$E136,$E136))</f>
        <v/>
      </c>
      <c r="K136" s="40" t="str">
        <f aca="false">IF($I136="","",LEN($I136))</f>
        <v/>
      </c>
      <c r="L136" s="13"/>
      <c r="M136" s="13"/>
      <c r="N136" s="13"/>
      <c r="O136" s="13"/>
      <c r="P136" s="152"/>
      <c r="Q136" s="149"/>
      <c r="R136" s="152"/>
      <c r="S136" s="152"/>
      <c r="T136" s="62" t="str">
        <f aca="false">IF(OR($C136="",R136=""),"",IF(R136/IF($R$2="",100,$R$2)&gt;=設定!$I$28,設定!$G$8,IF(R136/IF($R$2="",100,$R$2)&lt;設定!$I$29,設定!$G$10,設定!$G$9)))</f>
        <v/>
      </c>
      <c r="U136" s="62" t="str">
        <f aca="false">IF(OR($C136="",S136=""),"",IF(S136/IF($S$2="",100,$S$2)&gt;=設定!$I$28,設定!$G$8,IF(S136/IF($S$2="",100,$S$2)&lt;設定!$I$29,設定!$G$10,設定!$G$9)))</f>
        <v/>
      </c>
    </row>
    <row r="137" customFormat="false" ht="21" hidden="false" customHeight="true" outlineLevel="0" collapsed="false">
      <c r="A137" s="91" t="str">
        <f aca="false">IF(名簿!$D137="","",名簿!$B137&amp;"")</f>
        <v/>
      </c>
      <c r="B137" s="91" t="str">
        <f aca="false">IF(名簿!$D137="","",名簿!$C137)</f>
        <v/>
      </c>
      <c r="C137" s="59" t="str">
        <f aca="false">IF(名簿!$D137="","",名簿!$D137&amp;IF(名簿!$F137="転出","（転出）",""))</f>
        <v/>
      </c>
      <c r="D137" s="149"/>
      <c r="E137" s="61" t="str">
        <f aca="false">IF(OR($C137="",名簿!$F137="転出"),"",IF($C$2="学級ごと",$A137,IF($C$2="前の単元と同じ",単元02!$E137&amp;"",$D137&amp;"")))</f>
        <v/>
      </c>
      <c r="F137" s="150"/>
      <c r="G137" s="150"/>
      <c r="H137" s="150"/>
      <c r="I137" s="151"/>
      <c r="J137" s="41" t="str">
        <f aca="false">IF($E137="","",$E137&amp;"|"&amp;COUNTIF($E$5:$E137,$E137))</f>
        <v/>
      </c>
      <c r="K137" s="40" t="str">
        <f aca="false">IF($I137="","",LEN($I137))</f>
        <v/>
      </c>
      <c r="L137" s="13"/>
      <c r="M137" s="13"/>
      <c r="N137" s="13"/>
      <c r="O137" s="13"/>
      <c r="P137" s="152"/>
      <c r="Q137" s="149"/>
      <c r="R137" s="152"/>
      <c r="S137" s="152"/>
      <c r="T137" s="62" t="str">
        <f aca="false">IF(OR($C137="",R137=""),"",IF(R137/IF($R$2="",100,$R$2)&gt;=設定!$I$28,設定!$G$8,IF(R137/IF($R$2="",100,$R$2)&lt;設定!$I$29,設定!$G$10,設定!$G$9)))</f>
        <v/>
      </c>
      <c r="U137" s="62" t="str">
        <f aca="false">IF(OR($C137="",S137=""),"",IF(S137/IF($S$2="",100,$S$2)&gt;=設定!$I$28,設定!$G$8,IF(S137/IF($S$2="",100,$S$2)&lt;設定!$I$29,設定!$G$10,設定!$G$9)))</f>
        <v/>
      </c>
    </row>
    <row r="138" customFormat="false" ht="21" hidden="false" customHeight="true" outlineLevel="0" collapsed="false">
      <c r="A138" s="91" t="str">
        <f aca="false">IF(名簿!$D138="","",名簿!$B138&amp;"")</f>
        <v/>
      </c>
      <c r="B138" s="91" t="str">
        <f aca="false">IF(名簿!$D138="","",名簿!$C138)</f>
        <v/>
      </c>
      <c r="C138" s="59" t="str">
        <f aca="false">IF(名簿!$D138="","",名簿!$D138&amp;IF(名簿!$F138="転出","（転出）",""))</f>
        <v/>
      </c>
      <c r="D138" s="149"/>
      <c r="E138" s="61" t="str">
        <f aca="false">IF(OR($C138="",名簿!$F138="転出"),"",IF($C$2="学級ごと",$A138,IF($C$2="前の単元と同じ",単元02!$E138&amp;"",$D138&amp;"")))</f>
        <v/>
      </c>
      <c r="F138" s="150"/>
      <c r="G138" s="150"/>
      <c r="H138" s="150"/>
      <c r="I138" s="151"/>
      <c r="J138" s="41" t="str">
        <f aca="false">IF($E138="","",$E138&amp;"|"&amp;COUNTIF($E$5:$E138,$E138))</f>
        <v/>
      </c>
      <c r="K138" s="40" t="str">
        <f aca="false">IF($I138="","",LEN($I138))</f>
        <v/>
      </c>
      <c r="L138" s="13"/>
      <c r="M138" s="13"/>
      <c r="N138" s="13"/>
      <c r="O138" s="13"/>
      <c r="P138" s="152"/>
      <c r="Q138" s="149"/>
      <c r="R138" s="152"/>
      <c r="S138" s="152"/>
      <c r="T138" s="62" t="str">
        <f aca="false">IF(OR($C138="",R138=""),"",IF(R138/IF($R$2="",100,$R$2)&gt;=設定!$I$28,設定!$G$8,IF(R138/IF($R$2="",100,$R$2)&lt;設定!$I$29,設定!$G$10,設定!$G$9)))</f>
        <v/>
      </c>
      <c r="U138" s="62" t="str">
        <f aca="false">IF(OR($C138="",S138=""),"",IF(S138/IF($S$2="",100,$S$2)&gt;=設定!$I$28,設定!$G$8,IF(S138/IF($S$2="",100,$S$2)&lt;設定!$I$29,設定!$G$10,設定!$G$9)))</f>
        <v/>
      </c>
    </row>
    <row r="139" customFormat="false" ht="21" hidden="false" customHeight="true" outlineLevel="0" collapsed="false">
      <c r="A139" s="91" t="str">
        <f aca="false">IF(名簿!$D139="","",名簿!$B139&amp;"")</f>
        <v/>
      </c>
      <c r="B139" s="91" t="str">
        <f aca="false">IF(名簿!$D139="","",名簿!$C139)</f>
        <v/>
      </c>
      <c r="C139" s="59" t="str">
        <f aca="false">IF(名簿!$D139="","",名簿!$D139&amp;IF(名簿!$F139="転出","（転出）",""))</f>
        <v/>
      </c>
      <c r="D139" s="149"/>
      <c r="E139" s="61" t="str">
        <f aca="false">IF(OR($C139="",名簿!$F139="転出"),"",IF($C$2="学級ごと",$A139,IF($C$2="前の単元と同じ",単元02!$E139&amp;"",$D139&amp;"")))</f>
        <v/>
      </c>
      <c r="F139" s="150"/>
      <c r="G139" s="150"/>
      <c r="H139" s="150"/>
      <c r="I139" s="151"/>
      <c r="J139" s="41" t="str">
        <f aca="false">IF($E139="","",$E139&amp;"|"&amp;COUNTIF($E$5:$E139,$E139))</f>
        <v/>
      </c>
      <c r="K139" s="40" t="str">
        <f aca="false">IF($I139="","",LEN($I139))</f>
        <v/>
      </c>
      <c r="L139" s="13"/>
      <c r="M139" s="13"/>
      <c r="N139" s="13"/>
      <c r="O139" s="13"/>
      <c r="P139" s="152"/>
      <c r="Q139" s="149"/>
      <c r="R139" s="152"/>
      <c r="S139" s="152"/>
      <c r="T139" s="62" t="str">
        <f aca="false">IF(OR($C139="",R139=""),"",IF(R139/IF($R$2="",100,$R$2)&gt;=設定!$I$28,設定!$G$8,IF(R139/IF($R$2="",100,$R$2)&lt;設定!$I$29,設定!$G$10,設定!$G$9)))</f>
        <v/>
      </c>
      <c r="U139" s="62" t="str">
        <f aca="false">IF(OR($C139="",S139=""),"",IF(S139/IF($S$2="",100,$S$2)&gt;=設定!$I$28,設定!$G$8,IF(S139/IF($S$2="",100,$S$2)&lt;設定!$I$29,設定!$G$10,設定!$G$9)))</f>
        <v/>
      </c>
    </row>
    <row r="140" customFormat="false" ht="21" hidden="false" customHeight="true" outlineLevel="0" collapsed="false">
      <c r="A140" s="91" t="str">
        <f aca="false">IF(名簿!$D140="","",名簿!$B140&amp;"")</f>
        <v/>
      </c>
      <c r="B140" s="91" t="str">
        <f aca="false">IF(名簿!$D140="","",名簿!$C140)</f>
        <v/>
      </c>
      <c r="C140" s="59" t="str">
        <f aca="false">IF(名簿!$D140="","",名簿!$D140&amp;IF(名簿!$F140="転出","（転出）",""))</f>
        <v/>
      </c>
      <c r="D140" s="149"/>
      <c r="E140" s="61" t="str">
        <f aca="false">IF(OR($C140="",名簿!$F140="転出"),"",IF($C$2="学級ごと",$A140,IF($C$2="前の単元と同じ",単元02!$E140&amp;"",$D140&amp;"")))</f>
        <v/>
      </c>
      <c r="F140" s="150"/>
      <c r="G140" s="150"/>
      <c r="H140" s="150"/>
      <c r="I140" s="151"/>
      <c r="J140" s="41" t="str">
        <f aca="false">IF($E140="","",$E140&amp;"|"&amp;COUNTIF($E$5:$E140,$E140))</f>
        <v/>
      </c>
      <c r="K140" s="40" t="str">
        <f aca="false">IF($I140="","",LEN($I140))</f>
        <v/>
      </c>
      <c r="L140" s="13"/>
      <c r="M140" s="13"/>
      <c r="N140" s="13"/>
      <c r="O140" s="13"/>
      <c r="P140" s="152"/>
      <c r="Q140" s="149"/>
      <c r="R140" s="152"/>
      <c r="S140" s="152"/>
      <c r="T140" s="62" t="str">
        <f aca="false">IF(OR($C140="",R140=""),"",IF(R140/IF($R$2="",100,$R$2)&gt;=設定!$I$28,設定!$G$8,IF(R140/IF($R$2="",100,$R$2)&lt;設定!$I$29,設定!$G$10,設定!$G$9)))</f>
        <v/>
      </c>
      <c r="U140" s="62" t="str">
        <f aca="false">IF(OR($C140="",S140=""),"",IF(S140/IF($S$2="",100,$S$2)&gt;=設定!$I$28,設定!$G$8,IF(S140/IF($S$2="",100,$S$2)&lt;設定!$I$29,設定!$G$10,設定!$G$9)))</f>
        <v/>
      </c>
    </row>
    <row r="141" customFormat="false" ht="21" hidden="false" customHeight="true" outlineLevel="0" collapsed="false">
      <c r="A141" s="91" t="str">
        <f aca="false">IF(名簿!$D141="","",名簿!$B141&amp;"")</f>
        <v/>
      </c>
      <c r="B141" s="91" t="str">
        <f aca="false">IF(名簿!$D141="","",名簿!$C141)</f>
        <v/>
      </c>
      <c r="C141" s="59" t="str">
        <f aca="false">IF(名簿!$D141="","",名簿!$D141&amp;IF(名簿!$F141="転出","（転出）",""))</f>
        <v/>
      </c>
      <c r="D141" s="149"/>
      <c r="E141" s="61" t="str">
        <f aca="false">IF(OR($C141="",名簿!$F141="転出"),"",IF($C$2="学級ごと",$A141,IF($C$2="前の単元と同じ",単元02!$E141&amp;"",$D141&amp;"")))</f>
        <v/>
      </c>
      <c r="F141" s="150"/>
      <c r="G141" s="150"/>
      <c r="H141" s="150"/>
      <c r="I141" s="151"/>
      <c r="J141" s="41" t="str">
        <f aca="false">IF($E141="","",$E141&amp;"|"&amp;COUNTIF($E$5:$E141,$E141))</f>
        <v/>
      </c>
      <c r="K141" s="40" t="str">
        <f aca="false">IF($I141="","",LEN($I141))</f>
        <v/>
      </c>
      <c r="L141" s="13"/>
      <c r="M141" s="13"/>
      <c r="N141" s="13"/>
      <c r="O141" s="13"/>
      <c r="P141" s="152"/>
      <c r="Q141" s="149"/>
      <c r="R141" s="152"/>
      <c r="S141" s="152"/>
      <c r="T141" s="62" t="str">
        <f aca="false">IF(OR($C141="",R141=""),"",IF(R141/IF($R$2="",100,$R$2)&gt;=設定!$I$28,設定!$G$8,IF(R141/IF($R$2="",100,$R$2)&lt;設定!$I$29,設定!$G$10,設定!$G$9)))</f>
        <v/>
      </c>
      <c r="U141" s="62" t="str">
        <f aca="false">IF(OR($C141="",S141=""),"",IF(S141/IF($S$2="",100,$S$2)&gt;=設定!$I$28,設定!$G$8,IF(S141/IF($S$2="",100,$S$2)&lt;設定!$I$29,設定!$G$10,設定!$G$9)))</f>
        <v/>
      </c>
    </row>
    <row r="142" customFormat="false" ht="21" hidden="false" customHeight="true" outlineLevel="0" collapsed="false">
      <c r="A142" s="91" t="str">
        <f aca="false">IF(名簿!$D142="","",名簿!$B142&amp;"")</f>
        <v/>
      </c>
      <c r="B142" s="91" t="str">
        <f aca="false">IF(名簿!$D142="","",名簿!$C142)</f>
        <v/>
      </c>
      <c r="C142" s="59" t="str">
        <f aca="false">IF(名簿!$D142="","",名簿!$D142&amp;IF(名簿!$F142="転出","（転出）",""))</f>
        <v/>
      </c>
      <c r="D142" s="149"/>
      <c r="E142" s="61" t="str">
        <f aca="false">IF(OR($C142="",名簿!$F142="転出"),"",IF($C$2="学級ごと",$A142,IF($C$2="前の単元と同じ",単元02!$E142&amp;"",$D142&amp;"")))</f>
        <v/>
      </c>
      <c r="F142" s="150"/>
      <c r="G142" s="150"/>
      <c r="H142" s="150"/>
      <c r="I142" s="151"/>
      <c r="J142" s="41" t="str">
        <f aca="false">IF($E142="","",$E142&amp;"|"&amp;COUNTIF($E$5:$E142,$E142))</f>
        <v/>
      </c>
      <c r="K142" s="40" t="str">
        <f aca="false">IF($I142="","",LEN($I142))</f>
        <v/>
      </c>
      <c r="L142" s="13"/>
      <c r="M142" s="13"/>
      <c r="N142" s="13"/>
      <c r="O142" s="13"/>
      <c r="P142" s="152"/>
      <c r="Q142" s="149"/>
      <c r="R142" s="152"/>
      <c r="S142" s="152"/>
      <c r="T142" s="62" t="str">
        <f aca="false">IF(OR($C142="",R142=""),"",IF(R142/IF($R$2="",100,$R$2)&gt;=設定!$I$28,設定!$G$8,IF(R142/IF($R$2="",100,$R$2)&lt;設定!$I$29,設定!$G$10,設定!$G$9)))</f>
        <v/>
      </c>
      <c r="U142" s="62" t="str">
        <f aca="false">IF(OR($C142="",S142=""),"",IF(S142/IF($S$2="",100,$S$2)&gt;=設定!$I$28,設定!$G$8,IF(S142/IF($S$2="",100,$S$2)&lt;設定!$I$29,設定!$G$10,設定!$G$9)))</f>
        <v/>
      </c>
    </row>
    <row r="143" customFormat="false" ht="21" hidden="false" customHeight="true" outlineLevel="0" collapsed="false">
      <c r="A143" s="91" t="str">
        <f aca="false">IF(名簿!$D143="","",名簿!$B143&amp;"")</f>
        <v/>
      </c>
      <c r="B143" s="91" t="str">
        <f aca="false">IF(名簿!$D143="","",名簿!$C143)</f>
        <v/>
      </c>
      <c r="C143" s="59" t="str">
        <f aca="false">IF(名簿!$D143="","",名簿!$D143&amp;IF(名簿!$F143="転出","（転出）",""))</f>
        <v/>
      </c>
      <c r="D143" s="149"/>
      <c r="E143" s="61" t="str">
        <f aca="false">IF(OR($C143="",名簿!$F143="転出"),"",IF($C$2="学級ごと",$A143,IF($C$2="前の単元と同じ",単元02!$E143&amp;"",$D143&amp;"")))</f>
        <v/>
      </c>
      <c r="F143" s="150"/>
      <c r="G143" s="150"/>
      <c r="H143" s="150"/>
      <c r="I143" s="151"/>
      <c r="J143" s="41" t="str">
        <f aca="false">IF($E143="","",$E143&amp;"|"&amp;COUNTIF($E$5:$E143,$E143))</f>
        <v/>
      </c>
      <c r="K143" s="40" t="str">
        <f aca="false">IF($I143="","",LEN($I143))</f>
        <v/>
      </c>
      <c r="L143" s="13"/>
      <c r="M143" s="13"/>
      <c r="N143" s="13"/>
      <c r="O143" s="13"/>
      <c r="P143" s="152"/>
      <c r="Q143" s="149"/>
      <c r="R143" s="152"/>
      <c r="S143" s="152"/>
      <c r="T143" s="62" t="str">
        <f aca="false">IF(OR($C143="",R143=""),"",IF(R143/IF($R$2="",100,$R$2)&gt;=設定!$I$28,設定!$G$8,IF(R143/IF($R$2="",100,$R$2)&lt;設定!$I$29,設定!$G$10,設定!$G$9)))</f>
        <v/>
      </c>
      <c r="U143" s="62" t="str">
        <f aca="false">IF(OR($C143="",S143=""),"",IF(S143/IF($S$2="",100,$S$2)&gt;=設定!$I$28,設定!$G$8,IF(S143/IF($S$2="",100,$S$2)&lt;設定!$I$29,設定!$G$10,設定!$G$9)))</f>
        <v/>
      </c>
    </row>
    <row r="144" customFormat="false" ht="21" hidden="false" customHeight="true" outlineLevel="0" collapsed="false">
      <c r="A144" s="91" t="str">
        <f aca="false">IF(名簿!$D144="","",名簿!$B144&amp;"")</f>
        <v/>
      </c>
      <c r="B144" s="91" t="str">
        <f aca="false">IF(名簿!$D144="","",名簿!$C144)</f>
        <v/>
      </c>
      <c r="C144" s="59" t="str">
        <f aca="false">IF(名簿!$D144="","",名簿!$D144&amp;IF(名簿!$F144="転出","（転出）",""))</f>
        <v/>
      </c>
      <c r="D144" s="149"/>
      <c r="E144" s="61" t="str">
        <f aca="false">IF(OR($C144="",名簿!$F144="転出"),"",IF($C$2="学級ごと",$A144,IF($C$2="前の単元と同じ",単元02!$E144&amp;"",$D144&amp;"")))</f>
        <v/>
      </c>
      <c r="F144" s="150"/>
      <c r="G144" s="150"/>
      <c r="H144" s="150"/>
      <c r="I144" s="151"/>
      <c r="J144" s="41" t="str">
        <f aca="false">IF($E144="","",$E144&amp;"|"&amp;COUNTIF($E$5:$E144,$E144))</f>
        <v/>
      </c>
      <c r="K144" s="40" t="str">
        <f aca="false">IF($I144="","",LEN($I144))</f>
        <v/>
      </c>
      <c r="L144" s="13"/>
      <c r="M144" s="13"/>
      <c r="N144" s="13"/>
      <c r="O144" s="13"/>
      <c r="P144" s="152"/>
      <c r="Q144" s="149"/>
      <c r="R144" s="152"/>
      <c r="S144" s="152"/>
      <c r="T144" s="62" t="str">
        <f aca="false">IF(OR($C144="",R144=""),"",IF(R144/IF($R$2="",100,$R$2)&gt;=設定!$I$28,設定!$G$8,IF(R144/IF($R$2="",100,$R$2)&lt;設定!$I$29,設定!$G$10,設定!$G$9)))</f>
        <v/>
      </c>
      <c r="U144" s="62" t="str">
        <f aca="false">IF(OR($C144="",S144=""),"",IF(S144/IF($S$2="",100,$S$2)&gt;=設定!$I$28,設定!$G$8,IF(S144/IF($S$2="",100,$S$2)&lt;設定!$I$29,設定!$G$10,設定!$G$9)))</f>
        <v/>
      </c>
    </row>
    <row r="145" customFormat="false" ht="21" hidden="false" customHeight="true" outlineLevel="0" collapsed="false">
      <c r="A145" s="91" t="str">
        <f aca="false">IF(名簿!$D145="","",名簿!$B145&amp;"")</f>
        <v/>
      </c>
      <c r="B145" s="91" t="str">
        <f aca="false">IF(名簿!$D145="","",名簿!$C145)</f>
        <v/>
      </c>
      <c r="C145" s="59" t="str">
        <f aca="false">IF(名簿!$D145="","",名簿!$D145&amp;IF(名簿!$F145="転出","（転出）",""))</f>
        <v/>
      </c>
      <c r="D145" s="149"/>
      <c r="E145" s="61" t="str">
        <f aca="false">IF(OR($C145="",名簿!$F145="転出"),"",IF($C$2="学級ごと",$A145,IF($C$2="前の単元と同じ",単元02!$E145&amp;"",$D145&amp;"")))</f>
        <v/>
      </c>
      <c r="F145" s="150"/>
      <c r="G145" s="150"/>
      <c r="H145" s="150"/>
      <c r="I145" s="151"/>
      <c r="J145" s="41" t="str">
        <f aca="false">IF($E145="","",$E145&amp;"|"&amp;COUNTIF($E$5:$E145,$E145))</f>
        <v/>
      </c>
      <c r="K145" s="40" t="str">
        <f aca="false">IF($I145="","",LEN($I145))</f>
        <v/>
      </c>
      <c r="L145" s="13"/>
      <c r="M145" s="13"/>
      <c r="N145" s="13"/>
      <c r="O145" s="13"/>
      <c r="P145" s="152"/>
      <c r="Q145" s="149"/>
      <c r="R145" s="152"/>
      <c r="S145" s="152"/>
      <c r="T145" s="62" t="str">
        <f aca="false">IF(OR($C145="",R145=""),"",IF(R145/IF($R$2="",100,$R$2)&gt;=設定!$I$28,設定!$G$8,IF(R145/IF($R$2="",100,$R$2)&lt;設定!$I$29,設定!$G$10,設定!$G$9)))</f>
        <v/>
      </c>
      <c r="U145" s="62" t="str">
        <f aca="false">IF(OR($C145="",S145=""),"",IF(S145/IF($S$2="",100,$S$2)&gt;=設定!$I$28,設定!$G$8,IF(S145/IF($S$2="",100,$S$2)&lt;設定!$I$29,設定!$G$10,設定!$G$9)))</f>
        <v/>
      </c>
    </row>
    <row r="146" customFormat="false" ht="21" hidden="false" customHeight="true" outlineLevel="0" collapsed="false">
      <c r="A146" s="91" t="str">
        <f aca="false">IF(名簿!$D146="","",名簿!$B146&amp;"")</f>
        <v/>
      </c>
      <c r="B146" s="91" t="str">
        <f aca="false">IF(名簿!$D146="","",名簿!$C146)</f>
        <v/>
      </c>
      <c r="C146" s="59" t="str">
        <f aca="false">IF(名簿!$D146="","",名簿!$D146&amp;IF(名簿!$F146="転出","（転出）",""))</f>
        <v/>
      </c>
      <c r="D146" s="149"/>
      <c r="E146" s="61" t="str">
        <f aca="false">IF(OR($C146="",名簿!$F146="転出"),"",IF($C$2="学級ごと",$A146,IF($C$2="前の単元と同じ",単元02!$E146&amp;"",$D146&amp;"")))</f>
        <v/>
      </c>
      <c r="F146" s="150"/>
      <c r="G146" s="150"/>
      <c r="H146" s="150"/>
      <c r="I146" s="151"/>
      <c r="J146" s="41" t="str">
        <f aca="false">IF($E146="","",$E146&amp;"|"&amp;COUNTIF($E$5:$E146,$E146))</f>
        <v/>
      </c>
      <c r="K146" s="40" t="str">
        <f aca="false">IF($I146="","",LEN($I146))</f>
        <v/>
      </c>
      <c r="L146" s="13"/>
      <c r="M146" s="13"/>
      <c r="N146" s="13"/>
      <c r="O146" s="13"/>
      <c r="P146" s="152"/>
      <c r="Q146" s="149"/>
      <c r="R146" s="152"/>
      <c r="S146" s="152"/>
      <c r="T146" s="62" t="str">
        <f aca="false">IF(OR($C146="",R146=""),"",IF(R146/IF($R$2="",100,$R$2)&gt;=設定!$I$28,設定!$G$8,IF(R146/IF($R$2="",100,$R$2)&lt;設定!$I$29,設定!$G$10,設定!$G$9)))</f>
        <v/>
      </c>
      <c r="U146" s="62" t="str">
        <f aca="false">IF(OR($C146="",S146=""),"",IF(S146/IF($S$2="",100,$S$2)&gt;=設定!$I$28,設定!$G$8,IF(S146/IF($S$2="",100,$S$2)&lt;設定!$I$29,設定!$G$10,設定!$G$9)))</f>
        <v/>
      </c>
    </row>
    <row r="147" customFormat="false" ht="21" hidden="false" customHeight="true" outlineLevel="0" collapsed="false">
      <c r="A147" s="91" t="str">
        <f aca="false">IF(名簿!$D147="","",名簿!$B147&amp;"")</f>
        <v/>
      </c>
      <c r="B147" s="91" t="str">
        <f aca="false">IF(名簿!$D147="","",名簿!$C147)</f>
        <v/>
      </c>
      <c r="C147" s="59" t="str">
        <f aca="false">IF(名簿!$D147="","",名簿!$D147&amp;IF(名簿!$F147="転出","（転出）",""))</f>
        <v/>
      </c>
      <c r="D147" s="149"/>
      <c r="E147" s="61" t="str">
        <f aca="false">IF(OR($C147="",名簿!$F147="転出"),"",IF($C$2="学級ごと",$A147,IF($C$2="前の単元と同じ",単元02!$E147&amp;"",$D147&amp;"")))</f>
        <v/>
      </c>
      <c r="F147" s="150"/>
      <c r="G147" s="150"/>
      <c r="H147" s="150"/>
      <c r="I147" s="151"/>
      <c r="J147" s="41" t="str">
        <f aca="false">IF($E147="","",$E147&amp;"|"&amp;COUNTIF($E$5:$E147,$E147))</f>
        <v/>
      </c>
      <c r="K147" s="40" t="str">
        <f aca="false">IF($I147="","",LEN($I147))</f>
        <v/>
      </c>
      <c r="L147" s="13"/>
      <c r="M147" s="13"/>
      <c r="N147" s="13"/>
      <c r="O147" s="13"/>
      <c r="P147" s="152"/>
      <c r="Q147" s="149"/>
      <c r="R147" s="152"/>
      <c r="S147" s="152"/>
      <c r="T147" s="62" t="str">
        <f aca="false">IF(OR($C147="",R147=""),"",IF(R147/IF($R$2="",100,$R$2)&gt;=設定!$I$28,設定!$G$8,IF(R147/IF($R$2="",100,$R$2)&lt;設定!$I$29,設定!$G$10,設定!$G$9)))</f>
        <v/>
      </c>
      <c r="U147" s="62" t="str">
        <f aca="false">IF(OR($C147="",S147=""),"",IF(S147/IF($S$2="",100,$S$2)&gt;=設定!$I$28,設定!$G$8,IF(S147/IF($S$2="",100,$S$2)&lt;設定!$I$29,設定!$G$10,設定!$G$9)))</f>
        <v/>
      </c>
    </row>
    <row r="148" customFormat="false" ht="21" hidden="false" customHeight="true" outlineLevel="0" collapsed="false">
      <c r="A148" s="91" t="str">
        <f aca="false">IF(名簿!$D148="","",名簿!$B148&amp;"")</f>
        <v/>
      </c>
      <c r="B148" s="91" t="str">
        <f aca="false">IF(名簿!$D148="","",名簿!$C148)</f>
        <v/>
      </c>
      <c r="C148" s="59" t="str">
        <f aca="false">IF(名簿!$D148="","",名簿!$D148&amp;IF(名簿!$F148="転出","（転出）",""))</f>
        <v/>
      </c>
      <c r="D148" s="149"/>
      <c r="E148" s="61" t="str">
        <f aca="false">IF(OR($C148="",名簿!$F148="転出"),"",IF($C$2="学級ごと",$A148,IF($C$2="前の単元と同じ",単元02!$E148&amp;"",$D148&amp;"")))</f>
        <v/>
      </c>
      <c r="F148" s="150"/>
      <c r="G148" s="150"/>
      <c r="H148" s="150"/>
      <c r="I148" s="151"/>
      <c r="J148" s="41" t="str">
        <f aca="false">IF($E148="","",$E148&amp;"|"&amp;COUNTIF($E$5:$E148,$E148))</f>
        <v/>
      </c>
      <c r="K148" s="40" t="str">
        <f aca="false">IF($I148="","",LEN($I148))</f>
        <v/>
      </c>
      <c r="L148" s="13"/>
      <c r="M148" s="13"/>
      <c r="N148" s="13"/>
      <c r="O148" s="13"/>
      <c r="P148" s="152"/>
      <c r="Q148" s="149"/>
      <c r="R148" s="152"/>
      <c r="S148" s="152"/>
      <c r="T148" s="62" t="str">
        <f aca="false">IF(OR($C148="",R148=""),"",IF(R148/IF($R$2="",100,$R$2)&gt;=設定!$I$28,設定!$G$8,IF(R148/IF($R$2="",100,$R$2)&lt;設定!$I$29,設定!$G$10,設定!$G$9)))</f>
        <v/>
      </c>
      <c r="U148" s="62" t="str">
        <f aca="false">IF(OR($C148="",S148=""),"",IF(S148/IF($S$2="",100,$S$2)&gt;=設定!$I$28,設定!$G$8,IF(S148/IF($S$2="",100,$S$2)&lt;設定!$I$29,設定!$G$10,設定!$G$9)))</f>
        <v/>
      </c>
    </row>
    <row r="149" customFormat="false" ht="21" hidden="false" customHeight="true" outlineLevel="0" collapsed="false">
      <c r="A149" s="91" t="str">
        <f aca="false">IF(名簿!$D149="","",名簿!$B149&amp;"")</f>
        <v/>
      </c>
      <c r="B149" s="91" t="str">
        <f aca="false">IF(名簿!$D149="","",名簿!$C149)</f>
        <v/>
      </c>
      <c r="C149" s="59" t="str">
        <f aca="false">IF(名簿!$D149="","",名簿!$D149&amp;IF(名簿!$F149="転出","（転出）",""))</f>
        <v/>
      </c>
      <c r="D149" s="149"/>
      <c r="E149" s="61" t="str">
        <f aca="false">IF(OR($C149="",名簿!$F149="転出"),"",IF($C$2="学級ごと",$A149,IF($C$2="前の単元と同じ",単元02!$E149&amp;"",$D149&amp;"")))</f>
        <v/>
      </c>
      <c r="F149" s="150"/>
      <c r="G149" s="150"/>
      <c r="H149" s="150"/>
      <c r="I149" s="151"/>
      <c r="J149" s="41" t="str">
        <f aca="false">IF($E149="","",$E149&amp;"|"&amp;COUNTIF($E$5:$E149,$E149))</f>
        <v/>
      </c>
      <c r="K149" s="40" t="str">
        <f aca="false">IF($I149="","",LEN($I149))</f>
        <v/>
      </c>
      <c r="L149" s="13"/>
      <c r="M149" s="13"/>
      <c r="N149" s="13"/>
      <c r="O149" s="13"/>
      <c r="P149" s="152"/>
      <c r="Q149" s="149"/>
      <c r="R149" s="152"/>
      <c r="S149" s="152"/>
      <c r="T149" s="62" t="str">
        <f aca="false">IF(OR($C149="",R149=""),"",IF(R149/IF($R$2="",100,$R$2)&gt;=設定!$I$28,設定!$G$8,IF(R149/IF($R$2="",100,$R$2)&lt;設定!$I$29,設定!$G$10,設定!$G$9)))</f>
        <v/>
      </c>
      <c r="U149" s="62" t="str">
        <f aca="false">IF(OR($C149="",S149=""),"",IF(S149/IF($S$2="",100,$S$2)&gt;=設定!$I$28,設定!$G$8,IF(S149/IF($S$2="",100,$S$2)&lt;設定!$I$29,設定!$G$10,設定!$G$9)))</f>
        <v/>
      </c>
    </row>
    <row r="150" customFormat="false" ht="21" hidden="false" customHeight="true" outlineLevel="0" collapsed="false">
      <c r="A150" s="91" t="str">
        <f aca="false">IF(名簿!$D150="","",名簿!$B150&amp;"")</f>
        <v/>
      </c>
      <c r="B150" s="91" t="str">
        <f aca="false">IF(名簿!$D150="","",名簿!$C150)</f>
        <v/>
      </c>
      <c r="C150" s="59" t="str">
        <f aca="false">IF(名簿!$D150="","",名簿!$D150&amp;IF(名簿!$F150="転出","（転出）",""))</f>
        <v/>
      </c>
      <c r="D150" s="149"/>
      <c r="E150" s="61" t="str">
        <f aca="false">IF(OR($C150="",名簿!$F150="転出"),"",IF($C$2="学級ごと",$A150,IF($C$2="前の単元と同じ",単元02!$E150&amp;"",$D150&amp;"")))</f>
        <v/>
      </c>
      <c r="F150" s="150"/>
      <c r="G150" s="150"/>
      <c r="H150" s="150"/>
      <c r="I150" s="151"/>
      <c r="J150" s="41" t="str">
        <f aca="false">IF($E150="","",$E150&amp;"|"&amp;COUNTIF($E$5:$E150,$E150))</f>
        <v/>
      </c>
      <c r="K150" s="40" t="str">
        <f aca="false">IF($I150="","",LEN($I150))</f>
        <v/>
      </c>
      <c r="L150" s="13"/>
      <c r="M150" s="13"/>
      <c r="N150" s="13"/>
      <c r="O150" s="13"/>
      <c r="P150" s="152"/>
      <c r="Q150" s="149"/>
      <c r="R150" s="152"/>
      <c r="S150" s="152"/>
      <c r="T150" s="62" t="str">
        <f aca="false">IF(OR($C150="",R150=""),"",IF(R150/IF($R$2="",100,$R$2)&gt;=設定!$I$28,設定!$G$8,IF(R150/IF($R$2="",100,$R$2)&lt;設定!$I$29,設定!$G$10,設定!$G$9)))</f>
        <v/>
      </c>
      <c r="U150" s="62" t="str">
        <f aca="false">IF(OR($C150="",S150=""),"",IF(S150/IF($S$2="",100,$S$2)&gt;=設定!$I$28,設定!$G$8,IF(S150/IF($S$2="",100,$S$2)&lt;設定!$I$29,設定!$G$10,設定!$G$9)))</f>
        <v/>
      </c>
    </row>
    <row r="151" customFormat="false" ht="21" hidden="false" customHeight="true" outlineLevel="0" collapsed="false">
      <c r="A151" s="91" t="str">
        <f aca="false">IF(名簿!$D151="","",名簿!$B151&amp;"")</f>
        <v/>
      </c>
      <c r="B151" s="91" t="str">
        <f aca="false">IF(名簿!$D151="","",名簿!$C151)</f>
        <v/>
      </c>
      <c r="C151" s="59" t="str">
        <f aca="false">IF(名簿!$D151="","",名簿!$D151&amp;IF(名簿!$F151="転出","（転出）",""))</f>
        <v/>
      </c>
      <c r="D151" s="149"/>
      <c r="E151" s="61" t="str">
        <f aca="false">IF(OR($C151="",名簿!$F151="転出"),"",IF($C$2="学級ごと",$A151,IF($C$2="前の単元と同じ",単元02!$E151&amp;"",$D151&amp;"")))</f>
        <v/>
      </c>
      <c r="F151" s="150"/>
      <c r="G151" s="150"/>
      <c r="H151" s="150"/>
      <c r="I151" s="151"/>
      <c r="J151" s="41" t="str">
        <f aca="false">IF($E151="","",$E151&amp;"|"&amp;COUNTIF($E$5:$E151,$E151))</f>
        <v/>
      </c>
      <c r="K151" s="40" t="str">
        <f aca="false">IF($I151="","",LEN($I151))</f>
        <v/>
      </c>
      <c r="L151" s="13"/>
      <c r="M151" s="13"/>
      <c r="N151" s="13"/>
      <c r="O151" s="13"/>
      <c r="P151" s="152"/>
      <c r="Q151" s="149"/>
      <c r="R151" s="152"/>
      <c r="S151" s="152"/>
      <c r="T151" s="62" t="str">
        <f aca="false">IF(OR($C151="",R151=""),"",IF(R151/IF($R$2="",100,$R$2)&gt;=設定!$I$28,設定!$G$8,IF(R151/IF($R$2="",100,$R$2)&lt;設定!$I$29,設定!$G$10,設定!$G$9)))</f>
        <v/>
      </c>
      <c r="U151" s="62" t="str">
        <f aca="false">IF(OR($C151="",S151=""),"",IF(S151/IF($S$2="",100,$S$2)&gt;=設定!$I$28,設定!$G$8,IF(S151/IF($S$2="",100,$S$2)&lt;設定!$I$29,設定!$G$10,設定!$G$9)))</f>
        <v/>
      </c>
    </row>
    <row r="152" customFormat="false" ht="21" hidden="false" customHeight="true" outlineLevel="0" collapsed="false">
      <c r="A152" s="91" t="str">
        <f aca="false">IF(名簿!$D152="","",名簿!$B152&amp;"")</f>
        <v/>
      </c>
      <c r="B152" s="91" t="str">
        <f aca="false">IF(名簿!$D152="","",名簿!$C152)</f>
        <v/>
      </c>
      <c r="C152" s="59" t="str">
        <f aca="false">IF(名簿!$D152="","",名簿!$D152&amp;IF(名簿!$F152="転出","（転出）",""))</f>
        <v/>
      </c>
      <c r="D152" s="149"/>
      <c r="E152" s="61" t="str">
        <f aca="false">IF(OR($C152="",名簿!$F152="転出"),"",IF($C$2="学級ごと",$A152,IF($C$2="前の単元と同じ",単元02!$E152&amp;"",$D152&amp;"")))</f>
        <v/>
      </c>
      <c r="F152" s="150"/>
      <c r="G152" s="150"/>
      <c r="H152" s="150"/>
      <c r="I152" s="151"/>
      <c r="J152" s="41" t="str">
        <f aca="false">IF($E152="","",$E152&amp;"|"&amp;COUNTIF($E$5:$E152,$E152))</f>
        <v/>
      </c>
      <c r="K152" s="40" t="str">
        <f aca="false">IF($I152="","",LEN($I152))</f>
        <v/>
      </c>
      <c r="L152" s="13"/>
      <c r="M152" s="13"/>
      <c r="N152" s="13"/>
      <c r="O152" s="13"/>
      <c r="P152" s="152"/>
      <c r="Q152" s="149"/>
      <c r="R152" s="152"/>
      <c r="S152" s="152"/>
      <c r="T152" s="62" t="str">
        <f aca="false">IF(OR($C152="",R152=""),"",IF(R152/IF($R$2="",100,$R$2)&gt;=設定!$I$28,設定!$G$8,IF(R152/IF($R$2="",100,$R$2)&lt;設定!$I$29,設定!$G$10,設定!$G$9)))</f>
        <v/>
      </c>
      <c r="U152" s="62" t="str">
        <f aca="false">IF(OR($C152="",S152=""),"",IF(S152/IF($S$2="",100,$S$2)&gt;=設定!$I$28,設定!$G$8,IF(S152/IF($S$2="",100,$S$2)&lt;設定!$I$29,設定!$G$10,設定!$G$9)))</f>
        <v/>
      </c>
    </row>
    <row r="153" customFormat="false" ht="21" hidden="false" customHeight="true" outlineLevel="0" collapsed="false">
      <c r="A153" s="91" t="str">
        <f aca="false">IF(名簿!$D153="","",名簿!$B153&amp;"")</f>
        <v/>
      </c>
      <c r="B153" s="91" t="str">
        <f aca="false">IF(名簿!$D153="","",名簿!$C153)</f>
        <v/>
      </c>
      <c r="C153" s="59" t="str">
        <f aca="false">IF(名簿!$D153="","",名簿!$D153&amp;IF(名簿!$F153="転出","（転出）",""))</f>
        <v/>
      </c>
      <c r="D153" s="149"/>
      <c r="E153" s="61" t="str">
        <f aca="false">IF(OR($C153="",名簿!$F153="転出"),"",IF($C$2="学級ごと",$A153,IF($C$2="前の単元と同じ",単元02!$E153&amp;"",$D153&amp;"")))</f>
        <v/>
      </c>
      <c r="F153" s="150"/>
      <c r="G153" s="150"/>
      <c r="H153" s="150"/>
      <c r="I153" s="151"/>
      <c r="J153" s="41" t="str">
        <f aca="false">IF($E153="","",$E153&amp;"|"&amp;COUNTIF($E$5:$E153,$E153))</f>
        <v/>
      </c>
      <c r="K153" s="40" t="str">
        <f aca="false">IF($I153="","",LEN($I153))</f>
        <v/>
      </c>
      <c r="L153" s="13"/>
      <c r="M153" s="13"/>
      <c r="N153" s="13"/>
      <c r="O153" s="13"/>
      <c r="P153" s="152"/>
      <c r="Q153" s="149"/>
      <c r="R153" s="152"/>
      <c r="S153" s="152"/>
      <c r="T153" s="62" t="str">
        <f aca="false">IF(OR($C153="",R153=""),"",IF(R153/IF($R$2="",100,$R$2)&gt;=設定!$I$28,設定!$G$8,IF(R153/IF($R$2="",100,$R$2)&lt;設定!$I$29,設定!$G$10,設定!$G$9)))</f>
        <v/>
      </c>
      <c r="U153" s="62" t="str">
        <f aca="false">IF(OR($C153="",S153=""),"",IF(S153/IF($S$2="",100,$S$2)&gt;=設定!$I$28,設定!$G$8,IF(S153/IF($S$2="",100,$S$2)&lt;設定!$I$29,設定!$G$10,設定!$G$9)))</f>
        <v/>
      </c>
    </row>
    <row r="154" customFormat="false" ht="21" hidden="false" customHeight="true" outlineLevel="0" collapsed="false">
      <c r="A154" s="91" t="str">
        <f aca="false">IF(名簿!$D154="","",名簿!$B154&amp;"")</f>
        <v/>
      </c>
      <c r="B154" s="91" t="str">
        <f aca="false">IF(名簿!$D154="","",名簿!$C154)</f>
        <v/>
      </c>
      <c r="C154" s="59" t="str">
        <f aca="false">IF(名簿!$D154="","",名簿!$D154&amp;IF(名簿!$F154="転出","（転出）",""))</f>
        <v/>
      </c>
      <c r="D154" s="149"/>
      <c r="E154" s="61" t="str">
        <f aca="false">IF(OR($C154="",名簿!$F154="転出"),"",IF($C$2="学級ごと",$A154,IF($C$2="前の単元と同じ",単元02!$E154&amp;"",$D154&amp;"")))</f>
        <v/>
      </c>
      <c r="F154" s="150"/>
      <c r="G154" s="150"/>
      <c r="H154" s="150"/>
      <c r="I154" s="151"/>
      <c r="J154" s="41" t="str">
        <f aca="false">IF($E154="","",$E154&amp;"|"&amp;COUNTIF($E$5:$E154,$E154))</f>
        <v/>
      </c>
      <c r="K154" s="40" t="str">
        <f aca="false">IF($I154="","",LEN($I154))</f>
        <v/>
      </c>
      <c r="L154" s="13"/>
      <c r="M154" s="13"/>
      <c r="N154" s="13"/>
      <c r="O154" s="13"/>
      <c r="P154" s="152"/>
      <c r="Q154" s="149"/>
      <c r="R154" s="152"/>
      <c r="S154" s="152"/>
      <c r="T154" s="62" t="str">
        <f aca="false">IF(OR($C154="",R154=""),"",IF(R154/IF($R$2="",100,$R$2)&gt;=設定!$I$28,設定!$G$8,IF(R154/IF($R$2="",100,$R$2)&lt;設定!$I$29,設定!$G$10,設定!$G$9)))</f>
        <v/>
      </c>
      <c r="U154" s="62" t="str">
        <f aca="false">IF(OR($C154="",S154=""),"",IF(S154/IF($S$2="",100,$S$2)&gt;=設定!$I$28,設定!$G$8,IF(S154/IF($S$2="",100,$S$2)&lt;設定!$I$29,設定!$G$10,設定!$G$9)))</f>
        <v/>
      </c>
    </row>
    <row r="155" customFormat="false" ht="21" hidden="false" customHeight="true" outlineLevel="0" collapsed="false">
      <c r="A155" s="91" t="str">
        <f aca="false">IF(名簿!$D155="","",名簿!$B155&amp;"")</f>
        <v/>
      </c>
      <c r="B155" s="91" t="str">
        <f aca="false">IF(名簿!$D155="","",名簿!$C155)</f>
        <v/>
      </c>
      <c r="C155" s="59" t="str">
        <f aca="false">IF(名簿!$D155="","",名簿!$D155&amp;IF(名簿!$F155="転出","（転出）",""))</f>
        <v/>
      </c>
      <c r="D155" s="149"/>
      <c r="E155" s="61" t="str">
        <f aca="false">IF(OR($C155="",名簿!$F155="転出"),"",IF($C$2="学級ごと",$A155,IF($C$2="前の単元と同じ",単元02!$E155&amp;"",$D155&amp;"")))</f>
        <v/>
      </c>
      <c r="F155" s="150"/>
      <c r="G155" s="150"/>
      <c r="H155" s="150"/>
      <c r="I155" s="151"/>
      <c r="J155" s="41" t="str">
        <f aca="false">IF($E155="","",$E155&amp;"|"&amp;COUNTIF($E$5:$E155,$E155))</f>
        <v/>
      </c>
      <c r="K155" s="40" t="str">
        <f aca="false">IF($I155="","",LEN($I155))</f>
        <v/>
      </c>
      <c r="L155" s="13"/>
      <c r="M155" s="13"/>
      <c r="N155" s="13"/>
      <c r="O155" s="13"/>
      <c r="P155" s="152"/>
      <c r="Q155" s="149"/>
      <c r="R155" s="152"/>
      <c r="S155" s="152"/>
      <c r="T155" s="62" t="str">
        <f aca="false">IF(OR($C155="",R155=""),"",IF(R155/IF($R$2="",100,$R$2)&gt;=設定!$I$28,設定!$G$8,IF(R155/IF($R$2="",100,$R$2)&lt;設定!$I$29,設定!$G$10,設定!$G$9)))</f>
        <v/>
      </c>
      <c r="U155" s="62" t="str">
        <f aca="false">IF(OR($C155="",S155=""),"",IF(S155/IF($S$2="",100,$S$2)&gt;=設定!$I$28,設定!$G$8,IF(S155/IF($S$2="",100,$S$2)&lt;設定!$I$29,設定!$G$10,設定!$G$9)))</f>
        <v/>
      </c>
    </row>
    <row r="156" customFormat="false" ht="21" hidden="false" customHeight="true" outlineLevel="0" collapsed="false">
      <c r="A156" s="91" t="str">
        <f aca="false">IF(名簿!$D156="","",名簿!$B156&amp;"")</f>
        <v/>
      </c>
      <c r="B156" s="91" t="str">
        <f aca="false">IF(名簿!$D156="","",名簿!$C156)</f>
        <v/>
      </c>
      <c r="C156" s="59" t="str">
        <f aca="false">IF(名簿!$D156="","",名簿!$D156&amp;IF(名簿!$F156="転出","（転出）",""))</f>
        <v/>
      </c>
      <c r="D156" s="149"/>
      <c r="E156" s="61" t="str">
        <f aca="false">IF(OR($C156="",名簿!$F156="転出"),"",IF($C$2="学級ごと",$A156,IF($C$2="前の単元と同じ",単元02!$E156&amp;"",$D156&amp;"")))</f>
        <v/>
      </c>
      <c r="F156" s="150"/>
      <c r="G156" s="150"/>
      <c r="H156" s="150"/>
      <c r="I156" s="151"/>
      <c r="J156" s="41" t="str">
        <f aca="false">IF($E156="","",$E156&amp;"|"&amp;COUNTIF($E$5:$E156,$E156))</f>
        <v/>
      </c>
      <c r="K156" s="40" t="str">
        <f aca="false">IF($I156="","",LEN($I156))</f>
        <v/>
      </c>
      <c r="L156" s="13"/>
      <c r="M156" s="13"/>
      <c r="N156" s="13"/>
      <c r="O156" s="13"/>
      <c r="P156" s="152"/>
      <c r="Q156" s="149"/>
      <c r="R156" s="152"/>
      <c r="S156" s="152"/>
      <c r="T156" s="62" t="str">
        <f aca="false">IF(OR($C156="",R156=""),"",IF(R156/IF($R$2="",100,$R$2)&gt;=設定!$I$28,設定!$G$8,IF(R156/IF($R$2="",100,$R$2)&lt;設定!$I$29,設定!$G$10,設定!$G$9)))</f>
        <v/>
      </c>
      <c r="U156" s="62" t="str">
        <f aca="false">IF(OR($C156="",S156=""),"",IF(S156/IF($S$2="",100,$S$2)&gt;=設定!$I$28,設定!$G$8,IF(S156/IF($S$2="",100,$S$2)&lt;設定!$I$29,設定!$G$10,設定!$G$9)))</f>
        <v/>
      </c>
    </row>
    <row r="157" customFormat="false" ht="21" hidden="false" customHeight="true" outlineLevel="0" collapsed="false">
      <c r="A157" s="91" t="str">
        <f aca="false">IF(名簿!$D157="","",名簿!$B157&amp;"")</f>
        <v/>
      </c>
      <c r="B157" s="91" t="str">
        <f aca="false">IF(名簿!$D157="","",名簿!$C157)</f>
        <v/>
      </c>
      <c r="C157" s="59" t="str">
        <f aca="false">IF(名簿!$D157="","",名簿!$D157&amp;IF(名簿!$F157="転出","（転出）",""))</f>
        <v/>
      </c>
      <c r="D157" s="149"/>
      <c r="E157" s="61" t="str">
        <f aca="false">IF(OR($C157="",名簿!$F157="転出"),"",IF($C$2="学級ごと",$A157,IF($C$2="前の単元と同じ",単元02!$E157&amp;"",$D157&amp;"")))</f>
        <v/>
      </c>
      <c r="F157" s="150"/>
      <c r="G157" s="150"/>
      <c r="H157" s="150"/>
      <c r="I157" s="151"/>
      <c r="J157" s="41" t="str">
        <f aca="false">IF($E157="","",$E157&amp;"|"&amp;COUNTIF($E$5:$E157,$E157))</f>
        <v/>
      </c>
      <c r="K157" s="40" t="str">
        <f aca="false">IF($I157="","",LEN($I157))</f>
        <v/>
      </c>
      <c r="L157" s="13"/>
      <c r="M157" s="13"/>
      <c r="N157" s="13"/>
      <c r="O157" s="13"/>
      <c r="P157" s="152"/>
      <c r="Q157" s="149"/>
      <c r="R157" s="152"/>
      <c r="S157" s="152"/>
      <c r="T157" s="62" t="str">
        <f aca="false">IF(OR($C157="",R157=""),"",IF(R157/IF($R$2="",100,$R$2)&gt;=設定!$I$28,設定!$G$8,IF(R157/IF($R$2="",100,$R$2)&lt;設定!$I$29,設定!$G$10,設定!$G$9)))</f>
        <v/>
      </c>
      <c r="U157" s="62" t="str">
        <f aca="false">IF(OR($C157="",S157=""),"",IF(S157/IF($S$2="",100,$S$2)&gt;=設定!$I$28,設定!$G$8,IF(S157/IF($S$2="",100,$S$2)&lt;設定!$I$29,設定!$G$10,設定!$G$9)))</f>
        <v/>
      </c>
    </row>
    <row r="158" customFormat="false" ht="21" hidden="false" customHeight="true" outlineLevel="0" collapsed="false">
      <c r="A158" s="91" t="str">
        <f aca="false">IF(名簿!$D158="","",名簿!$B158&amp;"")</f>
        <v/>
      </c>
      <c r="B158" s="91" t="str">
        <f aca="false">IF(名簿!$D158="","",名簿!$C158)</f>
        <v/>
      </c>
      <c r="C158" s="59" t="str">
        <f aca="false">IF(名簿!$D158="","",名簿!$D158&amp;IF(名簿!$F158="転出","（転出）",""))</f>
        <v/>
      </c>
      <c r="D158" s="149"/>
      <c r="E158" s="61" t="str">
        <f aca="false">IF(OR($C158="",名簿!$F158="転出"),"",IF($C$2="学級ごと",$A158,IF($C$2="前の単元と同じ",単元02!$E158&amp;"",$D158&amp;"")))</f>
        <v/>
      </c>
      <c r="F158" s="150"/>
      <c r="G158" s="150"/>
      <c r="H158" s="150"/>
      <c r="I158" s="151"/>
      <c r="J158" s="41" t="str">
        <f aca="false">IF($E158="","",$E158&amp;"|"&amp;COUNTIF($E$5:$E158,$E158))</f>
        <v/>
      </c>
      <c r="K158" s="40" t="str">
        <f aca="false">IF($I158="","",LEN($I158))</f>
        <v/>
      </c>
      <c r="L158" s="13"/>
      <c r="M158" s="13"/>
      <c r="N158" s="13"/>
      <c r="O158" s="13"/>
      <c r="P158" s="152"/>
      <c r="Q158" s="149"/>
      <c r="R158" s="152"/>
      <c r="S158" s="152"/>
      <c r="T158" s="62" t="str">
        <f aca="false">IF(OR($C158="",R158=""),"",IF(R158/IF($R$2="",100,$R$2)&gt;=設定!$I$28,設定!$G$8,IF(R158/IF($R$2="",100,$R$2)&lt;設定!$I$29,設定!$G$10,設定!$G$9)))</f>
        <v/>
      </c>
      <c r="U158" s="62" t="str">
        <f aca="false">IF(OR($C158="",S158=""),"",IF(S158/IF($S$2="",100,$S$2)&gt;=設定!$I$28,設定!$G$8,IF(S158/IF($S$2="",100,$S$2)&lt;設定!$I$29,設定!$G$10,設定!$G$9)))</f>
        <v/>
      </c>
    </row>
    <row r="159" customFormat="false" ht="21" hidden="false" customHeight="true" outlineLevel="0" collapsed="false">
      <c r="A159" s="91" t="str">
        <f aca="false">IF(名簿!$D159="","",名簿!$B159&amp;"")</f>
        <v/>
      </c>
      <c r="B159" s="91" t="str">
        <f aca="false">IF(名簿!$D159="","",名簿!$C159)</f>
        <v/>
      </c>
      <c r="C159" s="59" t="str">
        <f aca="false">IF(名簿!$D159="","",名簿!$D159&amp;IF(名簿!$F159="転出","（転出）",""))</f>
        <v/>
      </c>
      <c r="D159" s="149"/>
      <c r="E159" s="61" t="str">
        <f aca="false">IF(OR($C159="",名簿!$F159="転出"),"",IF($C$2="学級ごと",$A159,IF($C$2="前の単元と同じ",単元02!$E159&amp;"",$D159&amp;"")))</f>
        <v/>
      </c>
      <c r="F159" s="150"/>
      <c r="G159" s="150"/>
      <c r="H159" s="150"/>
      <c r="I159" s="151"/>
      <c r="J159" s="41" t="str">
        <f aca="false">IF($E159="","",$E159&amp;"|"&amp;COUNTIF($E$5:$E159,$E159))</f>
        <v/>
      </c>
      <c r="K159" s="40" t="str">
        <f aca="false">IF($I159="","",LEN($I159))</f>
        <v/>
      </c>
      <c r="L159" s="13"/>
      <c r="M159" s="13"/>
      <c r="N159" s="13"/>
      <c r="O159" s="13"/>
      <c r="P159" s="152"/>
      <c r="Q159" s="149"/>
      <c r="R159" s="152"/>
      <c r="S159" s="152"/>
      <c r="T159" s="62" t="str">
        <f aca="false">IF(OR($C159="",R159=""),"",IF(R159/IF($R$2="",100,$R$2)&gt;=設定!$I$28,設定!$G$8,IF(R159/IF($R$2="",100,$R$2)&lt;設定!$I$29,設定!$G$10,設定!$G$9)))</f>
        <v/>
      </c>
      <c r="U159" s="62" t="str">
        <f aca="false">IF(OR($C159="",S159=""),"",IF(S159/IF($S$2="",100,$S$2)&gt;=設定!$I$28,設定!$G$8,IF(S159/IF($S$2="",100,$S$2)&lt;設定!$I$29,設定!$G$10,設定!$G$9)))</f>
        <v/>
      </c>
    </row>
    <row r="160" customFormat="false" ht="21" hidden="false" customHeight="true" outlineLevel="0" collapsed="false">
      <c r="A160" s="91" t="str">
        <f aca="false">IF(名簿!$D160="","",名簿!$B160&amp;"")</f>
        <v/>
      </c>
      <c r="B160" s="91" t="str">
        <f aca="false">IF(名簿!$D160="","",名簿!$C160)</f>
        <v/>
      </c>
      <c r="C160" s="59" t="str">
        <f aca="false">IF(名簿!$D160="","",名簿!$D160&amp;IF(名簿!$F160="転出","（転出）",""))</f>
        <v/>
      </c>
      <c r="D160" s="149"/>
      <c r="E160" s="61" t="str">
        <f aca="false">IF(OR($C160="",名簿!$F160="転出"),"",IF($C$2="学級ごと",$A160,IF($C$2="前の単元と同じ",単元02!$E160&amp;"",$D160&amp;"")))</f>
        <v/>
      </c>
      <c r="F160" s="150"/>
      <c r="G160" s="150"/>
      <c r="H160" s="150"/>
      <c r="I160" s="151"/>
      <c r="J160" s="41" t="str">
        <f aca="false">IF($E160="","",$E160&amp;"|"&amp;COUNTIF($E$5:$E160,$E160))</f>
        <v/>
      </c>
      <c r="K160" s="40" t="str">
        <f aca="false">IF($I160="","",LEN($I160))</f>
        <v/>
      </c>
      <c r="L160" s="13"/>
      <c r="M160" s="13"/>
      <c r="N160" s="13"/>
      <c r="O160" s="13"/>
      <c r="P160" s="152"/>
      <c r="Q160" s="149"/>
      <c r="R160" s="152"/>
      <c r="S160" s="152"/>
      <c r="T160" s="62" t="str">
        <f aca="false">IF(OR($C160="",R160=""),"",IF(R160/IF($R$2="",100,$R$2)&gt;=設定!$I$28,設定!$G$8,IF(R160/IF($R$2="",100,$R$2)&lt;設定!$I$29,設定!$G$10,設定!$G$9)))</f>
        <v/>
      </c>
      <c r="U160" s="62" t="str">
        <f aca="false">IF(OR($C160="",S160=""),"",IF(S160/IF($S$2="",100,$S$2)&gt;=設定!$I$28,設定!$G$8,IF(S160/IF($S$2="",100,$S$2)&lt;設定!$I$29,設定!$G$10,設定!$G$9)))</f>
        <v/>
      </c>
    </row>
    <row r="161" customFormat="false" ht="21" hidden="false" customHeight="true" outlineLevel="0" collapsed="false">
      <c r="A161" s="91" t="str">
        <f aca="false">IF(名簿!$D161="","",名簿!$B161&amp;"")</f>
        <v/>
      </c>
      <c r="B161" s="91" t="str">
        <f aca="false">IF(名簿!$D161="","",名簿!$C161)</f>
        <v/>
      </c>
      <c r="C161" s="59" t="str">
        <f aca="false">IF(名簿!$D161="","",名簿!$D161&amp;IF(名簿!$F161="転出","（転出）",""))</f>
        <v/>
      </c>
      <c r="D161" s="149"/>
      <c r="E161" s="61" t="str">
        <f aca="false">IF(OR($C161="",名簿!$F161="転出"),"",IF($C$2="学級ごと",$A161,IF($C$2="前の単元と同じ",単元02!$E161&amp;"",$D161&amp;"")))</f>
        <v/>
      </c>
      <c r="F161" s="150"/>
      <c r="G161" s="150"/>
      <c r="H161" s="150"/>
      <c r="I161" s="151"/>
      <c r="J161" s="41" t="str">
        <f aca="false">IF($E161="","",$E161&amp;"|"&amp;COUNTIF($E$5:$E161,$E161))</f>
        <v/>
      </c>
      <c r="K161" s="40" t="str">
        <f aca="false">IF($I161="","",LEN($I161))</f>
        <v/>
      </c>
      <c r="L161" s="13"/>
      <c r="M161" s="13"/>
      <c r="N161" s="13"/>
      <c r="O161" s="13"/>
      <c r="P161" s="152"/>
      <c r="Q161" s="149"/>
      <c r="R161" s="152"/>
      <c r="S161" s="152"/>
      <c r="T161" s="62" t="str">
        <f aca="false">IF(OR($C161="",R161=""),"",IF(R161/IF($R$2="",100,$R$2)&gt;=設定!$I$28,設定!$G$8,IF(R161/IF($R$2="",100,$R$2)&lt;設定!$I$29,設定!$G$10,設定!$G$9)))</f>
        <v/>
      </c>
      <c r="U161" s="62" t="str">
        <f aca="false">IF(OR($C161="",S161=""),"",IF(S161/IF($S$2="",100,$S$2)&gt;=設定!$I$28,設定!$G$8,IF(S161/IF($S$2="",100,$S$2)&lt;設定!$I$29,設定!$G$10,設定!$G$9)))</f>
        <v/>
      </c>
    </row>
    <row r="162" customFormat="false" ht="21" hidden="false" customHeight="true" outlineLevel="0" collapsed="false">
      <c r="A162" s="91" t="str">
        <f aca="false">IF(名簿!$D162="","",名簿!$B162&amp;"")</f>
        <v/>
      </c>
      <c r="B162" s="91" t="str">
        <f aca="false">IF(名簿!$D162="","",名簿!$C162)</f>
        <v/>
      </c>
      <c r="C162" s="59" t="str">
        <f aca="false">IF(名簿!$D162="","",名簿!$D162&amp;IF(名簿!$F162="転出","（転出）",""))</f>
        <v/>
      </c>
      <c r="D162" s="149"/>
      <c r="E162" s="61" t="str">
        <f aca="false">IF(OR($C162="",名簿!$F162="転出"),"",IF($C$2="学級ごと",$A162,IF($C$2="前の単元と同じ",単元02!$E162&amp;"",$D162&amp;"")))</f>
        <v/>
      </c>
      <c r="F162" s="150"/>
      <c r="G162" s="150"/>
      <c r="H162" s="150"/>
      <c r="I162" s="151"/>
      <c r="J162" s="41" t="str">
        <f aca="false">IF($E162="","",$E162&amp;"|"&amp;COUNTIF($E$5:$E162,$E162))</f>
        <v/>
      </c>
      <c r="K162" s="40" t="str">
        <f aca="false">IF($I162="","",LEN($I162))</f>
        <v/>
      </c>
      <c r="L162" s="13"/>
      <c r="M162" s="13"/>
      <c r="N162" s="13"/>
      <c r="O162" s="13"/>
      <c r="P162" s="152"/>
      <c r="Q162" s="149"/>
      <c r="R162" s="152"/>
      <c r="S162" s="152"/>
      <c r="T162" s="62" t="str">
        <f aca="false">IF(OR($C162="",R162=""),"",IF(R162/IF($R$2="",100,$R$2)&gt;=設定!$I$28,設定!$G$8,IF(R162/IF($R$2="",100,$R$2)&lt;設定!$I$29,設定!$G$10,設定!$G$9)))</f>
        <v/>
      </c>
      <c r="U162" s="62" t="str">
        <f aca="false">IF(OR($C162="",S162=""),"",IF(S162/IF($S$2="",100,$S$2)&gt;=設定!$I$28,設定!$G$8,IF(S162/IF($S$2="",100,$S$2)&lt;設定!$I$29,設定!$G$10,設定!$G$9)))</f>
        <v/>
      </c>
    </row>
    <row r="163" customFormat="false" ht="21" hidden="false" customHeight="true" outlineLevel="0" collapsed="false">
      <c r="A163" s="91" t="str">
        <f aca="false">IF(名簿!$D163="","",名簿!$B163&amp;"")</f>
        <v/>
      </c>
      <c r="B163" s="91" t="str">
        <f aca="false">IF(名簿!$D163="","",名簿!$C163)</f>
        <v/>
      </c>
      <c r="C163" s="59" t="str">
        <f aca="false">IF(名簿!$D163="","",名簿!$D163&amp;IF(名簿!$F163="転出","（転出）",""))</f>
        <v/>
      </c>
      <c r="D163" s="149"/>
      <c r="E163" s="61" t="str">
        <f aca="false">IF(OR($C163="",名簿!$F163="転出"),"",IF($C$2="学級ごと",$A163,IF($C$2="前の単元と同じ",単元02!$E163&amp;"",$D163&amp;"")))</f>
        <v/>
      </c>
      <c r="F163" s="150"/>
      <c r="G163" s="150"/>
      <c r="H163" s="150"/>
      <c r="I163" s="151"/>
      <c r="J163" s="41" t="str">
        <f aca="false">IF($E163="","",$E163&amp;"|"&amp;COUNTIF($E$5:$E163,$E163))</f>
        <v/>
      </c>
      <c r="K163" s="40" t="str">
        <f aca="false">IF($I163="","",LEN($I163))</f>
        <v/>
      </c>
      <c r="L163" s="13"/>
      <c r="M163" s="13"/>
      <c r="N163" s="13"/>
      <c r="O163" s="13"/>
      <c r="P163" s="152"/>
      <c r="Q163" s="149"/>
      <c r="R163" s="152"/>
      <c r="S163" s="152"/>
      <c r="T163" s="62" t="str">
        <f aca="false">IF(OR($C163="",R163=""),"",IF(R163/IF($R$2="",100,$R$2)&gt;=設定!$I$28,設定!$G$8,IF(R163/IF($R$2="",100,$R$2)&lt;設定!$I$29,設定!$G$10,設定!$G$9)))</f>
        <v/>
      </c>
      <c r="U163" s="62" t="str">
        <f aca="false">IF(OR($C163="",S163=""),"",IF(S163/IF($S$2="",100,$S$2)&gt;=設定!$I$28,設定!$G$8,IF(S163/IF($S$2="",100,$S$2)&lt;設定!$I$29,設定!$G$10,設定!$G$9)))</f>
        <v/>
      </c>
    </row>
    <row r="164" customFormat="false" ht="21" hidden="false" customHeight="true" outlineLevel="0" collapsed="false">
      <c r="A164" s="91" t="str">
        <f aca="false">IF(名簿!$D164="","",名簿!$B164&amp;"")</f>
        <v/>
      </c>
      <c r="B164" s="91" t="str">
        <f aca="false">IF(名簿!$D164="","",名簿!$C164)</f>
        <v/>
      </c>
      <c r="C164" s="59" t="str">
        <f aca="false">IF(名簿!$D164="","",名簿!$D164&amp;IF(名簿!$F164="転出","（転出）",""))</f>
        <v/>
      </c>
      <c r="D164" s="149"/>
      <c r="E164" s="61" t="str">
        <f aca="false">IF(OR($C164="",名簿!$F164="転出"),"",IF($C$2="学級ごと",$A164,IF($C$2="前の単元と同じ",単元02!$E164&amp;"",$D164&amp;"")))</f>
        <v/>
      </c>
      <c r="F164" s="150"/>
      <c r="G164" s="150"/>
      <c r="H164" s="150"/>
      <c r="I164" s="151"/>
      <c r="J164" s="41" t="str">
        <f aca="false">IF($E164="","",$E164&amp;"|"&amp;COUNTIF($E$5:$E164,$E164))</f>
        <v/>
      </c>
      <c r="K164" s="40" t="str">
        <f aca="false">IF($I164="","",LEN($I164))</f>
        <v/>
      </c>
      <c r="L164" s="13"/>
      <c r="M164" s="13"/>
      <c r="N164" s="13"/>
      <c r="O164" s="13"/>
      <c r="P164" s="152"/>
      <c r="Q164" s="149"/>
      <c r="R164" s="152"/>
      <c r="S164" s="152"/>
      <c r="T164" s="62" t="str">
        <f aca="false">IF(OR($C164="",R164=""),"",IF(R164/IF($R$2="",100,$R$2)&gt;=設定!$I$28,設定!$G$8,IF(R164/IF($R$2="",100,$R$2)&lt;設定!$I$29,設定!$G$10,設定!$G$9)))</f>
        <v/>
      </c>
      <c r="U164" s="62" t="str">
        <f aca="false">IF(OR($C164="",S164=""),"",IF(S164/IF($S$2="",100,$S$2)&gt;=設定!$I$28,設定!$G$8,IF(S164/IF($S$2="",100,$S$2)&lt;設定!$I$29,設定!$G$10,設定!$G$9)))</f>
        <v/>
      </c>
    </row>
  </sheetData>
  <sheetProtection sheet="true" formatColumns="false" formatRows="false" autoFilter="false"/>
  <autoFilter ref="A4:I164"/>
  <mergeCells count="5">
    <mergeCell ref="A1:I1"/>
    <mergeCell ref="R1:U1"/>
    <mergeCell ref="A2:B2"/>
    <mergeCell ref="D2:I2"/>
    <mergeCell ref="T2:U2"/>
  </mergeCells>
  <conditionalFormatting sqref="A5:C164">
    <cfRule type="expression" priority="2" aboveAverage="0" equalAverage="0" bottom="0" percent="0" rank="0" text="" dxfId="37">
      <formula>RIGHT($C5,4)="（転出）"</formula>
    </cfRule>
    <cfRule type="expression" priority="3" aboveAverage="0" equalAverage="0" bottom="0" percent="0" rank="0" text="" dxfId="8">
      <formula>$C5&lt;&gt;""</formula>
    </cfRule>
  </conditionalFormatting>
  <conditionalFormatting sqref="D5:D164">
    <cfRule type="expression" priority="4" aboveAverage="0" equalAverage="0" bottom="0" percent="0" rank="0" text="" dxfId="37">
      <formula>RIGHT($C5,4)="（転出）"</formula>
    </cfRule>
    <cfRule type="expression" priority="5" aboveAverage="0" equalAverage="0" bottom="0" percent="0" rank="0" text="" dxfId="38">
      <formula>AND($C5&lt;&gt;"",$C$2&lt;&gt;"習熟度別")</formula>
    </cfRule>
    <cfRule type="expression" priority="6" aboveAverage="0" equalAverage="0" bottom="0" percent="0" rank="0" text="" dxfId="39">
      <formula>AND($C5&lt;&gt;"",$E5="")</formula>
    </cfRule>
    <cfRule type="expression" priority="7" aboveAverage="0" equalAverage="0" bottom="0" percent="0" rank="0" text="" dxfId="39">
      <formula>AND($C5&lt;&gt;"",$D5&lt;&gt;"",COUNTIF(コース一覧,$D5)=0)</formula>
    </cfRule>
    <cfRule type="expression" priority="8" aboveAverage="0" equalAverage="0" bottom="0" percent="0" rank="0" text="" dxfId="40">
      <formula>AND($C5&lt;&gt;"",$C$2="習熟度別",$Q5&lt;&gt;"",$E5&lt;&gt;"",$Q5&lt;&gt;$E5)</formula>
    </cfRule>
    <cfRule type="expression" priority="9" aboveAverage="0" equalAverage="0" bottom="0" percent="0" rank="0" text="" dxfId="41">
      <formula>$C5&lt;&gt;""</formula>
    </cfRule>
  </conditionalFormatting>
  <conditionalFormatting sqref="E5:E164">
    <cfRule type="expression" priority="10" aboveAverage="0" equalAverage="0" bottom="0" percent="0" rank="0" text="" dxfId="37">
      <formula>RIGHT($C5,4)="（転出）"</formula>
    </cfRule>
    <cfRule type="expression" priority="11" aboveAverage="0" equalAverage="0" bottom="0" percent="0" rank="0" text="" dxfId="42">
      <formula>AND($E5&lt;&gt;"",$E5=$L$2)</formula>
    </cfRule>
    <cfRule type="expression" priority="12" aboveAverage="0" equalAverage="0" bottom="0" percent="0" rank="0" text="" dxfId="43">
      <formula>AND($E5&lt;&gt;"",$E5=$L$3)</formula>
    </cfRule>
    <cfRule type="expression" priority="13" aboveAverage="0" equalAverage="0" bottom="0" percent="0" rank="0" text="" dxfId="44">
      <formula>AND($E5&lt;&gt;"",$E5=$L$4)</formula>
    </cfRule>
    <cfRule type="expression" priority="14" aboveAverage="0" equalAverage="0" bottom="0" percent="0" rank="0" text="" dxfId="45">
      <formula>AND($E5&lt;&gt;"",$E5=$L$5)</formula>
    </cfRule>
    <cfRule type="expression" priority="15" aboveAverage="0" equalAverage="0" bottom="0" percent="0" rank="0" text="" dxfId="46">
      <formula>AND($E5&lt;&gt;"",$E5=$L$6)</formula>
    </cfRule>
    <cfRule type="expression" priority="16" aboveAverage="0" equalAverage="0" bottom="0" percent="0" rank="0" text="" dxfId="8">
      <formula>$C5&lt;&gt;""</formula>
    </cfRule>
  </conditionalFormatting>
  <conditionalFormatting sqref="F5:H164">
    <cfRule type="expression" priority="17" aboveAverage="0" equalAverage="0" bottom="0" percent="0" rank="0" text="" dxfId="37">
      <formula>RIGHT($C5,4)="（転出）"</formula>
    </cfRule>
    <cfRule type="expression" priority="18" aboveAverage="0" equalAverage="0" bottom="0" percent="0" rank="0" text="" dxfId="12">
      <formula>AND(F5&lt;&gt;"",F5=設定!$G$10)</formula>
    </cfRule>
    <cfRule type="expression" priority="19" aboveAverage="0" equalAverage="0" bottom="0" percent="0" rank="0" text="" dxfId="47">
      <formula>AND(F5&lt;&gt;"",F5=設定!$G$8)</formula>
    </cfRule>
    <cfRule type="expression" priority="20" aboveAverage="0" equalAverage="0" bottom="0" percent="0" rank="0" text="" dxfId="41">
      <formula>AND($C5&lt;&gt;"",$E5&lt;&gt;"")</formula>
    </cfRule>
    <cfRule type="expression" priority="21" aboveAverage="0" equalAverage="0" bottom="0" percent="0" rank="0" text="" dxfId="8">
      <formula>$C5&lt;&gt;""</formula>
    </cfRule>
  </conditionalFormatting>
  <conditionalFormatting sqref="I5:I164">
    <cfRule type="expression" priority="22" aboveAverage="0" equalAverage="0" bottom="0" percent="0" rank="0" text="" dxfId="37">
      <formula>RIGHT($C5,4)="（転出）"</formula>
    </cfRule>
    <cfRule type="expression" priority="23" aboveAverage="0" equalAverage="0" bottom="0" percent="0" rank="0" text="" dxfId="48">
      <formula>AND($C5&lt;&gt;"",$I5&lt;&gt;"",ISNUMBER(設定!$I$22),LEN($I5)&gt;設定!$I$22)</formula>
    </cfRule>
    <cfRule type="expression" priority="24" aboveAverage="0" equalAverage="0" bottom="0" percent="0" rank="0" text="" dxfId="41">
      <formula>AND($C5&lt;&gt;"",$E5&lt;&gt;"")</formula>
    </cfRule>
    <cfRule type="expression" priority="25" aboveAverage="0" equalAverage="0" bottom="0" percent="0" rank="0" text="" dxfId="8">
      <formula>$C5&lt;&gt;""</formula>
    </cfRule>
  </conditionalFormatting>
  <conditionalFormatting sqref="K5:K164">
    <cfRule type="expression" priority="26" aboveAverage="0" equalAverage="0" bottom="0" percent="0" rank="0" text="" dxfId="49">
      <formula>AND($K5&lt;&gt;"",ISNUMBER(設定!$I$22),$K5&gt;設定!$I$22)</formula>
    </cfRule>
    <cfRule type="expression" priority="27" aboveAverage="0" equalAverage="0" bottom="0" percent="0" rank="0" text="" dxfId="50">
      <formula>$C5&lt;&gt;""</formula>
    </cfRule>
  </conditionalFormatting>
  <conditionalFormatting sqref="P5:P164">
    <cfRule type="expression" priority="28" aboveAverage="0" equalAverage="0" bottom="0" percent="0" rank="0" text="" dxfId="41">
      <formula>$C5&lt;&gt;""</formula>
    </cfRule>
  </conditionalFormatting>
  <conditionalFormatting sqref="R5:R164">
    <cfRule type="expression" priority="29" aboveAverage="0" equalAverage="0" bottom="0" percent="0" rank="0" text="" dxfId="49">
      <formula>AND($C5&lt;&gt;"",$R5&lt;&gt;"",$R$2&lt;&gt;"",$R5&gt;$R$2)</formula>
    </cfRule>
    <cfRule type="expression" priority="30" aboveAverage="0" equalAverage="0" bottom="0" percent="0" rank="0" text="" dxfId="41">
      <formula>$C5&lt;&gt;""</formula>
    </cfRule>
  </conditionalFormatting>
  <conditionalFormatting sqref="S5:S164">
    <cfRule type="expression" priority="31" aboveAverage="0" equalAverage="0" bottom="0" percent="0" rank="0" text="" dxfId="49">
      <formula>AND($C5&lt;&gt;"",$S5&lt;&gt;"",$S$2&lt;&gt;"",$S5&gt;$S$2)</formula>
    </cfRule>
    <cfRule type="expression" priority="32" aboveAverage="0" equalAverage="0" bottom="0" percent="0" rank="0" text="" dxfId="41">
      <formula>$C5&lt;&gt;""</formula>
    </cfRule>
  </conditionalFormatting>
  <conditionalFormatting sqref="T5:U164">
    <cfRule type="expression" priority="33" aboveAverage="0" equalAverage="0" bottom="0" percent="0" rank="0" text="" dxfId="12">
      <formula>AND(T5&lt;&gt;"",T5=設定!$G$10)</formula>
    </cfRule>
    <cfRule type="expression" priority="34" aboveAverage="0" equalAverage="0" bottom="0" percent="0" rank="0" text="" dxfId="51">
      <formula>AND(T5&lt;&gt;"",T5=設定!$G$8)</formula>
    </cfRule>
    <cfRule type="expression" priority="35" aboveAverage="0" equalAverage="0" bottom="0" percent="0" rank="0" text="" dxfId="19">
      <formula>$C5&lt;&gt;""</formula>
    </cfRule>
  </conditionalFormatting>
  <conditionalFormatting sqref="Q5:Q164">
    <cfRule type="expression" priority="36" aboveAverage="0" equalAverage="0" bottom="0" percent="0" rank="0" text="" dxfId="40">
      <formula>AND($C5&lt;&gt;"",$Q5&lt;&gt;"",$E5&lt;&gt;"",$Q5&lt;&gt;$E5)</formula>
    </cfRule>
    <cfRule type="expression" priority="37" aboveAverage="0" equalAverage="0" bottom="0" percent="0" rank="0" text="" dxfId="41">
      <formula>$C5&lt;&gt;""</formula>
    </cfRule>
  </conditionalFormatting>
  <conditionalFormatting sqref="L2:N2">
    <cfRule type="expression" priority="38" aboveAverage="0" equalAverage="0" bottom="0" percent="0" rank="0" text="" dxfId="14">
      <formula>$L2=""</formula>
    </cfRule>
  </conditionalFormatting>
  <conditionalFormatting sqref="L3:N3">
    <cfRule type="expression" priority="39" aboveAverage="0" equalAverage="0" bottom="0" percent="0" rank="0" text="" dxfId="14">
      <formula>$L3=""</formula>
    </cfRule>
  </conditionalFormatting>
  <conditionalFormatting sqref="L4:N4">
    <cfRule type="expression" priority="40" aboveAverage="0" equalAverage="0" bottom="0" percent="0" rank="0" text="" dxfId="14">
      <formula>$L4=""</formula>
    </cfRule>
  </conditionalFormatting>
  <conditionalFormatting sqref="L5:N5">
    <cfRule type="expression" priority="41" aboveAverage="0" equalAverage="0" bottom="0" percent="0" rank="0" text="" dxfId="14">
      <formula>$L5=""</formula>
    </cfRule>
  </conditionalFormatting>
  <conditionalFormatting sqref="L6:N6">
    <cfRule type="expression" priority="42" aboveAverage="0" equalAverage="0" bottom="0" percent="0" rank="0" text="" dxfId="14">
      <formula>$L6=""</formula>
    </cfRule>
  </conditionalFormatting>
  <conditionalFormatting sqref="N7">
    <cfRule type="expression" priority="43" aboveAverage="0" equalAverage="0" bottom="0" percent="0" rank="0" text="" dxfId="52">
      <formula>$N$7=0</formula>
    </cfRule>
  </conditionalFormatting>
  <dataValidations count="6">
    <dataValidation allowBlank="true" error="点数（数字）を入力してください。" errorStyle="stop" operator="between" showDropDown="false" showErrorMessage="true" showInputMessage="false" sqref="R2:S2 P5:P164 R5:S164" type="decimal">
      <formula1>0</formula1>
      <formula2>1000</formula2>
    </dataValidation>
    <dataValidation allowBlank="false" error="一覧から選んでください。" errorStyle="stop" errorTitle="入力エラー" operator="between" showDropDown="false" showErrorMessage="true" showInputMessage="false" sqref="C2" type="list">
      <formula1>"習熟度別,前の単元と同じ,学級ごと"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D5:D164" type="list">
      <formula1>コース一覧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Q5:Q164" type="list">
      <formula1>コース一覧</formula1>
      <formula2>0</formula2>
    </dataValidation>
    <dataValidation allowBlank="true" error="設定シートの評価記号（A/B/C）から選んでください。" errorStyle="stop" errorTitle="入力エラー" operator="between" showDropDown="false" showErrorMessage="true" showInputMessage="false" sqref="F5:H164" type="list">
      <formula1>評価記号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M2:M6" type="list">
      <formula1>担当者一覧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U16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5"/>
    <col collapsed="false" customWidth="true" hidden="false" outlineLevel="0" max="3" min="3" style="0" width="17"/>
    <col collapsed="false" customWidth="true" hidden="false" outlineLevel="0" max="4" min="4" style="0" width="11"/>
    <col collapsed="false" customWidth="true" hidden="false" outlineLevel="0" max="5" min="5" style="0" width="12"/>
    <col collapsed="false" customWidth="true" hidden="false" outlineLevel="0" max="8" min="6" style="0" width="6"/>
    <col collapsed="false" customWidth="true" hidden="false" outlineLevel="0" max="9" min="9" style="0" width="55"/>
    <col collapsed="false" customWidth="true" hidden="true" outlineLevel="0" max="10" min="10" style="0" width="3"/>
    <col collapsed="false" customWidth="true" hidden="false" outlineLevel="0" max="11" min="11" style="0" width="5"/>
    <col collapsed="false" customWidth="true" hidden="false" outlineLevel="0" max="12" min="12" style="0" width="14"/>
    <col collapsed="false" customWidth="true" hidden="false" outlineLevel="0" max="13" min="13" style="0" width="13"/>
    <col collapsed="false" customWidth="true" hidden="false" outlineLevel="0" max="14" min="14" style="0" width="7"/>
    <col collapsed="false" customWidth="true" hidden="false" outlineLevel="0" max="15" min="15" style="0" width="2"/>
    <col collapsed="false" customWidth="true" hidden="false" outlineLevel="0" max="16" min="16" style="0" width="9"/>
    <col collapsed="false" customWidth="true" hidden="false" outlineLevel="0" max="17" min="17" style="0" width="12"/>
    <col collapsed="false" customWidth="true" hidden="false" outlineLevel="0" max="19" min="18" style="0" width="7"/>
    <col collapsed="false" customWidth="true" hidden="false" outlineLevel="0" max="21" min="20" style="0" width="6"/>
  </cols>
  <sheetData>
    <row r="1" customFormat="false" ht="33.75" hidden="false" customHeight="true" outlineLevel="0" collapsed="false">
      <c r="A1" s="14" t="str">
        <f aca="false">"単元4　"&amp;IF(設定!$D$20="","（設定シートで単元名を入力）",設定!$D$20)&amp;IF(設定!$C$20="","","　／　"&amp;設定!$C$20&amp;IF(ISNUMBER(設定!$C$20),"学期",""))</f>
        <v>単元4　（設定シートで単元名を入力）</v>
      </c>
      <c r="B1" s="14"/>
      <c r="C1" s="14"/>
      <c r="D1" s="14"/>
      <c r="E1" s="14"/>
      <c r="F1" s="14"/>
      <c r="G1" s="14"/>
      <c r="H1" s="14"/>
      <c r="I1" s="14"/>
      <c r="J1" s="13"/>
      <c r="K1" s="13"/>
      <c r="L1" s="16" t="s">
        <v>153</v>
      </c>
      <c r="M1" s="16" t="s">
        <v>68</v>
      </c>
      <c r="N1" s="16" t="s">
        <v>128</v>
      </c>
      <c r="O1" s="13"/>
      <c r="P1" s="13"/>
      <c r="Q1" s="13"/>
      <c r="R1" s="131" t="s">
        <v>154</v>
      </c>
      <c r="S1" s="131"/>
      <c r="T1" s="131"/>
      <c r="U1" s="131"/>
    </row>
    <row r="2" customFormat="false" ht="25.5" hidden="false" customHeight="true" outlineLevel="0" collapsed="false">
      <c r="A2" s="16" t="s">
        <v>131</v>
      </c>
      <c r="B2" s="16"/>
      <c r="C2" s="138" t="s">
        <v>164</v>
      </c>
      <c r="D2" s="139" t="str">
        <f aca="false">IF($C$2="習熟度別","← D列「コース」で一人ずつ選びます",IF($C$2="前の単元と同じ","← 前の単元のコースをそのまま使います","← 在籍学級のまま分かれます"))</f>
        <v>← D列「コース」で一人ずつ選びます</v>
      </c>
      <c r="E2" s="139"/>
      <c r="F2" s="139"/>
      <c r="G2" s="139"/>
      <c r="H2" s="139"/>
      <c r="I2" s="139"/>
      <c r="J2" s="13"/>
      <c r="K2" s="13"/>
      <c r="L2" s="119" t="str">
        <f aca="false">IF($C$2="前の単元と同じ",単元03!$L2&amp;"",IF($C$2="学級ごと",IF(設定!$B$8="","",設定!$B$8&amp;""),IF(設定!$D$8="","",設定!$D$8&amp;"")))</f>
        <v>深める</v>
      </c>
      <c r="M2" s="39"/>
      <c r="N2" s="140" t="n">
        <f aca="false">IF($L2="","",COUNTIF($E$5:$E$164,$L2))</f>
        <v>0</v>
      </c>
      <c r="O2" s="13"/>
      <c r="P2" s="13"/>
      <c r="Q2" s="13"/>
      <c r="R2" s="141" t="n">
        <v>100</v>
      </c>
      <c r="S2" s="141" t="n">
        <v>100</v>
      </c>
      <c r="T2" s="142" t="s">
        <v>165</v>
      </c>
      <c r="U2" s="142"/>
    </row>
    <row r="3" customFormat="false" ht="17.15" hidden="false" customHeight="false" outlineLevel="0" collapsed="false">
      <c r="A3" s="4" t="s">
        <v>166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23" t="str">
        <f aca="false">IF($C$2="前の単元と同じ",単元03!$L3&amp;"",IF($C$2="学級ごと",IF(設定!$B$9="","",設定!$B$9&amp;""),IF(設定!$D$9="","",設定!$D$9&amp;"")))</f>
        <v>広げるA</v>
      </c>
      <c r="M3" s="39"/>
      <c r="N3" s="140" t="n">
        <f aca="false">IF($L3="","",COUNTIF($E$5:$E$164,$L3))</f>
        <v>0</v>
      </c>
      <c r="O3" s="13"/>
      <c r="P3" s="143" t="s">
        <v>167</v>
      </c>
      <c r="Q3" s="13"/>
      <c r="R3" s="144" t="s">
        <v>168</v>
      </c>
      <c r="S3" s="13"/>
      <c r="T3" s="13"/>
      <c r="U3" s="13"/>
    </row>
    <row r="4" customFormat="false" ht="30" hidden="false" customHeight="true" outlineLevel="0" collapsed="false">
      <c r="A4" s="16" t="s">
        <v>121</v>
      </c>
      <c r="B4" s="16" t="s">
        <v>122</v>
      </c>
      <c r="C4" s="16" t="s">
        <v>123</v>
      </c>
      <c r="D4" s="145" t="s">
        <v>153</v>
      </c>
      <c r="E4" s="16" t="s">
        <v>169</v>
      </c>
      <c r="F4" s="146" t="str">
        <f aca="false">設定!$I$8</f>
        <v>知</v>
      </c>
      <c r="G4" s="146" t="str">
        <f aca="false">設定!$I$9</f>
        <v>思</v>
      </c>
      <c r="H4" s="146" t="str">
        <f aca="false">設定!$I$10</f>
        <v>態</v>
      </c>
      <c r="I4" s="146" t="s">
        <v>107</v>
      </c>
      <c r="J4" s="16"/>
      <c r="K4" s="110" t="s">
        <v>170</v>
      </c>
      <c r="L4" s="124" t="str">
        <f aca="false">IF($C$2="前の単元と同じ",単元03!$L4&amp;"",IF($C$2="学級ごと",IF(設定!$B$10="","",設定!$B$10&amp;""),IF(設定!$D$10="","",設定!$D$10&amp;"")))</f>
        <v>広げるB</v>
      </c>
      <c r="M4" s="39"/>
      <c r="N4" s="140" t="n">
        <f aca="false">IF($L4="","",COUNTIF($E$5:$E$164,$L4))</f>
        <v>0</v>
      </c>
      <c r="O4" s="13"/>
      <c r="P4" s="147" t="s">
        <v>171</v>
      </c>
      <c r="Q4" s="147" t="s">
        <v>172</v>
      </c>
      <c r="R4" s="131" t="str">
        <f aca="false">設定!$I$8&amp;"得点"</f>
        <v>知得点</v>
      </c>
      <c r="S4" s="131" t="str">
        <f aca="false">設定!$I$9&amp;"得点"</f>
        <v>思得点</v>
      </c>
      <c r="T4" s="148" t="str">
        <f aca="false">設定!$I$8&amp;"目安"</f>
        <v>知目安</v>
      </c>
      <c r="U4" s="148" t="str">
        <f aca="false">設定!$I$9&amp;"目安"</f>
        <v>思目安</v>
      </c>
    </row>
    <row r="5" customFormat="false" ht="21" hidden="false" customHeight="true" outlineLevel="0" collapsed="false">
      <c r="A5" s="91" t="str">
        <f aca="false">IF(名簿!$D5="","",名簿!$B5&amp;"")</f>
        <v/>
      </c>
      <c r="B5" s="91" t="str">
        <f aca="false">IF(名簿!$D5="","",名簿!$C5)</f>
        <v/>
      </c>
      <c r="C5" s="59" t="str">
        <f aca="false">IF(名簿!$D5="","",名簿!$D5&amp;IF(名簿!$F5="転出","（転出）",""))</f>
        <v/>
      </c>
      <c r="D5" s="149"/>
      <c r="E5" s="61" t="str">
        <f aca="false">IF(OR($C5="",名簿!$F5="転出"),"",IF($C$2="学級ごと",$A5,IF($C$2="前の単元と同じ",単元03!$E5&amp;"",$D5&amp;"")))</f>
        <v/>
      </c>
      <c r="F5" s="150"/>
      <c r="G5" s="150"/>
      <c r="H5" s="150"/>
      <c r="I5" s="151"/>
      <c r="J5" s="41" t="str">
        <f aca="false">IF($E5="","",$E5&amp;"|"&amp;COUNTIF($E$5:$E5,$E5))</f>
        <v/>
      </c>
      <c r="K5" s="40" t="str">
        <f aca="false">IF($I5="","",LEN($I5))</f>
        <v/>
      </c>
      <c r="L5" s="125" t="str">
        <f aca="false">IF($C$2="前の単元と同じ",単元03!$L5&amp;"",IF($C$2="学級ごと",IF(設定!$B$11="","",設定!$B$11&amp;""),IF(設定!$D$11="","",設定!$D$11&amp;"")))</f>
        <v>かためる</v>
      </c>
      <c r="M5" s="39"/>
      <c r="N5" s="140" t="n">
        <f aca="false">IF($L5="","",COUNTIF($E$5:$E$164,$L5))</f>
        <v>0</v>
      </c>
      <c r="O5" s="13"/>
      <c r="P5" s="152"/>
      <c r="Q5" s="149"/>
      <c r="R5" s="152"/>
      <c r="S5" s="152"/>
      <c r="T5" s="62" t="str">
        <f aca="false">IF(OR($C5="",R5=""),"",IF(R5/IF($R$2="",100,$R$2)&gt;=設定!$I$28,設定!$G$8,IF(R5/IF($R$2="",100,$R$2)&lt;設定!$I$29,設定!$G$10,設定!$G$9)))</f>
        <v/>
      </c>
      <c r="U5" s="62" t="str">
        <f aca="false">IF(OR($C5="",S5=""),"",IF(S5/IF($S$2="",100,$S$2)&gt;=設定!$I$28,設定!$G$8,IF(S5/IF($S$2="",100,$S$2)&lt;設定!$I$29,設定!$G$10,設定!$G$9)))</f>
        <v/>
      </c>
    </row>
    <row r="6" customFormat="false" ht="21" hidden="false" customHeight="true" outlineLevel="0" collapsed="false">
      <c r="A6" s="91" t="str">
        <f aca="false">IF(名簿!$D6="","",名簿!$B6&amp;"")</f>
        <v/>
      </c>
      <c r="B6" s="91" t="str">
        <f aca="false">IF(名簿!$D6="","",名簿!$C6)</f>
        <v/>
      </c>
      <c r="C6" s="59" t="str">
        <f aca="false">IF(名簿!$D6="","",名簿!$D6&amp;IF(名簿!$F6="転出","（転出）",""))</f>
        <v/>
      </c>
      <c r="D6" s="149"/>
      <c r="E6" s="61" t="str">
        <f aca="false">IF(OR($C6="",名簿!$F6="転出"),"",IF($C$2="学級ごと",$A6,IF($C$2="前の単元と同じ",単元03!$E6&amp;"",$D6&amp;"")))</f>
        <v/>
      </c>
      <c r="F6" s="150"/>
      <c r="G6" s="150"/>
      <c r="H6" s="150"/>
      <c r="I6" s="151"/>
      <c r="J6" s="41" t="str">
        <f aca="false">IF($E6="","",$E6&amp;"|"&amp;COUNTIF($E$5:$E6,$E6))</f>
        <v/>
      </c>
      <c r="K6" s="40" t="str">
        <f aca="false">IF($I6="","",LEN($I6))</f>
        <v/>
      </c>
      <c r="L6" s="126" t="str">
        <f aca="false">IF($C$2="前の単元と同じ",単元03!$L6&amp;"",IF($C$2="学級ごと",IF(設定!$B$12="","",設定!$B$12&amp;""),IF(設定!$D$12="","",設定!$D$12&amp;"")))</f>
        <v/>
      </c>
      <c r="M6" s="39"/>
      <c r="N6" s="153" t="str">
        <f aca="false">IF($L6="","",COUNTIF($E$5:$E$164,$L6))</f>
        <v/>
      </c>
      <c r="O6" s="13"/>
      <c r="P6" s="152"/>
      <c r="Q6" s="149"/>
      <c r="R6" s="152"/>
      <c r="S6" s="152"/>
      <c r="T6" s="62" t="str">
        <f aca="false">IF(OR($C6="",R6=""),"",IF(R6/IF($R$2="",100,$R$2)&gt;=設定!$I$28,設定!$G$8,IF(R6/IF($R$2="",100,$R$2)&lt;設定!$I$29,設定!$G$10,設定!$G$9)))</f>
        <v/>
      </c>
      <c r="U6" s="62" t="str">
        <f aca="false">IF(OR($C6="",S6=""),"",IF(S6/IF($S$2="",100,$S$2)&gt;=設定!$I$28,設定!$G$8,IF(S6/IF($S$2="",100,$S$2)&lt;設定!$I$29,設定!$G$10,設定!$G$9)))</f>
        <v/>
      </c>
    </row>
    <row r="7" customFormat="false" ht="21" hidden="false" customHeight="true" outlineLevel="0" collapsed="false">
      <c r="A7" s="91" t="str">
        <f aca="false">IF(名簿!$D7="","",名簿!$B7&amp;"")</f>
        <v/>
      </c>
      <c r="B7" s="91" t="str">
        <f aca="false">IF(名簿!$D7="","",名簿!$C7)</f>
        <v/>
      </c>
      <c r="C7" s="59" t="str">
        <f aca="false">IF(名簿!$D7="","",名簿!$D7&amp;IF(名簿!$F7="転出","（転出）",""))</f>
        <v/>
      </c>
      <c r="D7" s="149"/>
      <c r="E7" s="61" t="str">
        <f aca="false">IF(OR($C7="",名簿!$F7="転出"),"",IF($C$2="学級ごと",$A7,IF($C$2="前の単元と同じ",単元03!$E7&amp;"",$D7&amp;"")))</f>
        <v/>
      </c>
      <c r="F7" s="150"/>
      <c r="G7" s="150"/>
      <c r="H7" s="150"/>
      <c r="I7" s="151"/>
      <c r="J7" s="41" t="str">
        <f aca="false">IF($E7="","",$E7&amp;"|"&amp;COUNTIF($E$5:$E7,$E7))</f>
        <v/>
      </c>
      <c r="K7" s="40" t="str">
        <f aca="false">IF($I7="","",LEN($I7))</f>
        <v/>
      </c>
      <c r="L7" s="154" t="s">
        <v>133</v>
      </c>
      <c r="M7" s="155" t="s">
        <v>173</v>
      </c>
      <c r="N7" s="156" t="n">
        <f aca="false">SUMPRODUCT(($C$5:$C$164&lt;&gt;"")*(名簿!$F$5:$F$164&lt;&gt;"転出")*($E$5:$E$164=""))</f>
        <v>0</v>
      </c>
      <c r="O7" s="13"/>
      <c r="P7" s="152"/>
      <c r="Q7" s="149"/>
      <c r="R7" s="152"/>
      <c r="S7" s="152"/>
      <c r="T7" s="62" t="str">
        <f aca="false">IF(OR($C7="",R7=""),"",IF(R7/IF($R$2="",100,$R$2)&gt;=設定!$I$28,設定!$G$8,IF(R7/IF($R$2="",100,$R$2)&lt;設定!$I$29,設定!$G$10,設定!$G$9)))</f>
        <v/>
      </c>
      <c r="U7" s="62" t="str">
        <f aca="false">IF(OR($C7="",S7=""),"",IF(S7/IF($S$2="",100,$S$2)&gt;=設定!$I$28,設定!$G$8,IF(S7/IF($S$2="",100,$S$2)&lt;設定!$I$29,設定!$G$10,設定!$G$9)))</f>
        <v/>
      </c>
    </row>
    <row r="8" customFormat="false" ht="21" hidden="false" customHeight="true" outlineLevel="0" collapsed="false">
      <c r="A8" s="91" t="str">
        <f aca="false">IF(名簿!$D8="","",名簿!$B8&amp;"")</f>
        <v/>
      </c>
      <c r="B8" s="91" t="str">
        <f aca="false">IF(名簿!$D8="","",名簿!$C8)</f>
        <v/>
      </c>
      <c r="C8" s="59" t="str">
        <f aca="false">IF(名簿!$D8="","",名簿!$D8&amp;IF(名簿!$F8="転出","（転出）",""))</f>
        <v/>
      </c>
      <c r="D8" s="149"/>
      <c r="E8" s="61" t="str">
        <f aca="false">IF(OR($C8="",名簿!$F8="転出"),"",IF($C$2="学級ごと",$A8,IF($C$2="前の単元と同じ",単元03!$E8&amp;"",$D8&amp;"")))</f>
        <v/>
      </c>
      <c r="F8" s="150"/>
      <c r="G8" s="150"/>
      <c r="H8" s="150"/>
      <c r="I8" s="151"/>
      <c r="J8" s="41" t="str">
        <f aca="false">IF($E8="","",$E8&amp;"|"&amp;COUNTIF($E$5:$E8,$E8))</f>
        <v/>
      </c>
      <c r="K8" s="40" t="str">
        <f aca="false">IF($I8="","",LEN($I8))</f>
        <v/>
      </c>
      <c r="L8" s="157" t="s">
        <v>174</v>
      </c>
      <c r="M8" s="158" t="s">
        <v>175</v>
      </c>
      <c r="N8" s="159" t="n">
        <f aca="false">SUMPRODUCT(($E$5:$E$164&lt;&gt;"")*(($F$5:$F$164="")+($G$5:$G$164="")+($H$5:$H$164="")&gt;0))</f>
        <v>0</v>
      </c>
      <c r="O8" s="13"/>
      <c r="P8" s="152"/>
      <c r="Q8" s="149"/>
      <c r="R8" s="152"/>
      <c r="S8" s="152"/>
      <c r="T8" s="62" t="str">
        <f aca="false">IF(OR($C8="",R8=""),"",IF(R8/IF($R$2="",100,$R$2)&gt;=設定!$I$28,設定!$G$8,IF(R8/IF($R$2="",100,$R$2)&lt;設定!$I$29,設定!$G$10,設定!$G$9)))</f>
        <v/>
      </c>
      <c r="U8" s="62" t="str">
        <f aca="false">IF(OR($C8="",S8=""),"",IF(S8/IF($S$2="",100,$S$2)&gt;=設定!$I$28,設定!$G$8,IF(S8/IF($S$2="",100,$S$2)&lt;設定!$I$29,設定!$G$10,設定!$G$9)))</f>
        <v/>
      </c>
    </row>
    <row r="9" customFormat="false" ht="21" hidden="false" customHeight="true" outlineLevel="0" collapsed="false">
      <c r="A9" s="91" t="str">
        <f aca="false">IF(名簿!$D9="","",名簿!$B9&amp;"")</f>
        <v/>
      </c>
      <c r="B9" s="91" t="str">
        <f aca="false">IF(名簿!$D9="","",名簿!$C9)</f>
        <v/>
      </c>
      <c r="C9" s="59" t="str">
        <f aca="false">IF(名簿!$D9="","",名簿!$D9&amp;IF(名簿!$F9="転出","（転出）",""))</f>
        <v/>
      </c>
      <c r="D9" s="149"/>
      <c r="E9" s="61" t="str">
        <f aca="false">IF(OR($C9="",名簿!$F9="転出"),"",IF($C$2="学級ごと",$A9,IF($C$2="前の単元と同じ",単元03!$E9&amp;"",$D9&amp;"")))</f>
        <v/>
      </c>
      <c r="F9" s="150"/>
      <c r="G9" s="150"/>
      <c r="H9" s="150"/>
      <c r="I9" s="151"/>
      <c r="J9" s="41" t="str">
        <f aca="false">IF($E9="","",$E9&amp;"|"&amp;COUNTIF($E$5:$E9,$E9))</f>
        <v/>
      </c>
      <c r="K9" s="40" t="str">
        <f aca="false">IF($I9="","",LEN($I9))</f>
        <v/>
      </c>
      <c r="L9" s="13"/>
      <c r="M9" s="13"/>
      <c r="N9" s="13"/>
      <c r="O9" s="13"/>
      <c r="P9" s="152"/>
      <c r="Q9" s="149"/>
      <c r="R9" s="152"/>
      <c r="S9" s="152"/>
      <c r="T9" s="62" t="str">
        <f aca="false">IF(OR($C9="",R9=""),"",IF(R9/IF($R$2="",100,$R$2)&gt;=設定!$I$28,設定!$G$8,IF(R9/IF($R$2="",100,$R$2)&lt;設定!$I$29,設定!$G$10,設定!$G$9)))</f>
        <v/>
      </c>
      <c r="U9" s="62" t="str">
        <f aca="false">IF(OR($C9="",S9=""),"",IF(S9/IF($S$2="",100,$S$2)&gt;=設定!$I$28,設定!$G$8,IF(S9/IF($S$2="",100,$S$2)&lt;設定!$I$29,設定!$G$10,設定!$G$9)))</f>
        <v/>
      </c>
    </row>
    <row r="10" customFormat="false" ht="21" hidden="false" customHeight="true" outlineLevel="0" collapsed="false">
      <c r="A10" s="91" t="str">
        <f aca="false">IF(名簿!$D10="","",名簿!$B10&amp;"")</f>
        <v/>
      </c>
      <c r="B10" s="91" t="str">
        <f aca="false">IF(名簿!$D10="","",名簿!$C10)</f>
        <v/>
      </c>
      <c r="C10" s="59" t="str">
        <f aca="false">IF(名簿!$D10="","",名簿!$D10&amp;IF(名簿!$F10="転出","（転出）",""))</f>
        <v/>
      </c>
      <c r="D10" s="149"/>
      <c r="E10" s="61" t="str">
        <f aca="false">IF(OR($C10="",名簿!$F10="転出"),"",IF($C$2="学級ごと",$A10,IF($C$2="前の単元と同じ",単元03!$E10&amp;"",$D10&amp;"")))</f>
        <v/>
      </c>
      <c r="F10" s="150"/>
      <c r="G10" s="150"/>
      <c r="H10" s="150"/>
      <c r="I10" s="151"/>
      <c r="J10" s="41" t="str">
        <f aca="false">IF($E10="","",$E10&amp;"|"&amp;COUNTIF($E$5:$E10,$E10))</f>
        <v/>
      </c>
      <c r="K10" s="40" t="str">
        <f aca="false">IF($I10="","",LEN($I10))</f>
        <v/>
      </c>
      <c r="L10" s="13"/>
      <c r="M10" s="13"/>
      <c r="N10" s="13"/>
      <c r="O10" s="13"/>
      <c r="P10" s="152"/>
      <c r="Q10" s="149"/>
      <c r="R10" s="152"/>
      <c r="S10" s="152"/>
      <c r="T10" s="62" t="str">
        <f aca="false">IF(OR($C10="",R10=""),"",IF(R10/IF($R$2="",100,$R$2)&gt;=設定!$I$28,設定!$G$8,IF(R10/IF($R$2="",100,$R$2)&lt;設定!$I$29,設定!$G$10,設定!$G$9)))</f>
        <v/>
      </c>
      <c r="U10" s="62" t="str">
        <f aca="false">IF(OR($C10="",S10=""),"",IF(S10/IF($S$2="",100,$S$2)&gt;=設定!$I$28,設定!$G$8,IF(S10/IF($S$2="",100,$S$2)&lt;設定!$I$29,設定!$G$10,設定!$G$9)))</f>
        <v/>
      </c>
    </row>
    <row r="11" customFormat="false" ht="21" hidden="false" customHeight="true" outlineLevel="0" collapsed="false">
      <c r="A11" s="91" t="str">
        <f aca="false">IF(名簿!$D11="","",名簿!$B11&amp;"")</f>
        <v/>
      </c>
      <c r="B11" s="91" t="str">
        <f aca="false">IF(名簿!$D11="","",名簿!$C11)</f>
        <v/>
      </c>
      <c r="C11" s="59" t="str">
        <f aca="false">IF(名簿!$D11="","",名簿!$D11&amp;IF(名簿!$F11="転出","（転出）",""))</f>
        <v/>
      </c>
      <c r="D11" s="149"/>
      <c r="E11" s="61" t="str">
        <f aca="false">IF(OR($C11="",名簿!$F11="転出"),"",IF($C$2="学級ごと",$A11,IF($C$2="前の単元と同じ",単元03!$E11&amp;"",$D11&amp;"")))</f>
        <v/>
      </c>
      <c r="F11" s="150"/>
      <c r="G11" s="150"/>
      <c r="H11" s="150"/>
      <c r="I11" s="151"/>
      <c r="J11" s="41" t="str">
        <f aca="false">IF($E11="","",$E11&amp;"|"&amp;COUNTIF($E$5:$E11,$E11))</f>
        <v/>
      </c>
      <c r="K11" s="40" t="str">
        <f aca="false">IF($I11="","",LEN($I11))</f>
        <v/>
      </c>
      <c r="L11" s="13"/>
      <c r="M11" s="13"/>
      <c r="N11" s="13"/>
      <c r="O11" s="13"/>
      <c r="P11" s="152"/>
      <c r="Q11" s="149"/>
      <c r="R11" s="152"/>
      <c r="S11" s="152"/>
      <c r="T11" s="62" t="str">
        <f aca="false">IF(OR($C11="",R11=""),"",IF(R11/IF($R$2="",100,$R$2)&gt;=設定!$I$28,設定!$G$8,IF(R11/IF($R$2="",100,$R$2)&lt;設定!$I$29,設定!$G$10,設定!$G$9)))</f>
        <v/>
      </c>
      <c r="U11" s="62" t="str">
        <f aca="false">IF(OR($C11="",S11=""),"",IF(S11/IF($S$2="",100,$S$2)&gt;=設定!$I$28,設定!$G$8,IF(S11/IF($S$2="",100,$S$2)&lt;設定!$I$29,設定!$G$10,設定!$G$9)))</f>
        <v/>
      </c>
    </row>
    <row r="12" customFormat="false" ht="21" hidden="false" customHeight="true" outlineLevel="0" collapsed="false">
      <c r="A12" s="91" t="str">
        <f aca="false">IF(名簿!$D12="","",名簿!$B12&amp;"")</f>
        <v/>
      </c>
      <c r="B12" s="91" t="str">
        <f aca="false">IF(名簿!$D12="","",名簿!$C12)</f>
        <v/>
      </c>
      <c r="C12" s="59" t="str">
        <f aca="false">IF(名簿!$D12="","",名簿!$D12&amp;IF(名簿!$F12="転出","（転出）",""))</f>
        <v/>
      </c>
      <c r="D12" s="149"/>
      <c r="E12" s="61" t="str">
        <f aca="false">IF(OR($C12="",名簿!$F12="転出"),"",IF($C$2="学級ごと",$A12,IF($C$2="前の単元と同じ",単元03!$E12&amp;"",$D12&amp;"")))</f>
        <v/>
      </c>
      <c r="F12" s="150"/>
      <c r="G12" s="150"/>
      <c r="H12" s="150"/>
      <c r="I12" s="151"/>
      <c r="J12" s="41" t="str">
        <f aca="false">IF($E12="","",$E12&amp;"|"&amp;COUNTIF($E$5:$E12,$E12))</f>
        <v/>
      </c>
      <c r="K12" s="40" t="str">
        <f aca="false">IF($I12="","",LEN($I12))</f>
        <v/>
      </c>
      <c r="L12" s="13"/>
      <c r="M12" s="13"/>
      <c r="N12" s="13"/>
      <c r="O12" s="13"/>
      <c r="P12" s="152"/>
      <c r="Q12" s="149"/>
      <c r="R12" s="152"/>
      <c r="S12" s="152"/>
      <c r="T12" s="62" t="str">
        <f aca="false">IF(OR($C12="",R12=""),"",IF(R12/IF($R$2="",100,$R$2)&gt;=設定!$I$28,設定!$G$8,IF(R12/IF($R$2="",100,$R$2)&lt;設定!$I$29,設定!$G$10,設定!$G$9)))</f>
        <v/>
      </c>
      <c r="U12" s="62" t="str">
        <f aca="false">IF(OR($C12="",S12=""),"",IF(S12/IF($S$2="",100,$S$2)&gt;=設定!$I$28,設定!$G$8,IF(S12/IF($S$2="",100,$S$2)&lt;設定!$I$29,設定!$G$10,設定!$G$9)))</f>
        <v/>
      </c>
    </row>
    <row r="13" customFormat="false" ht="21" hidden="false" customHeight="true" outlineLevel="0" collapsed="false">
      <c r="A13" s="91" t="str">
        <f aca="false">IF(名簿!$D13="","",名簿!$B13&amp;"")</f>
        <v/>
      </c>
      <c r="B13" s="91" t="str">
        <f aca="false">IF(名簿!$D13="","",名簿!$C13)</f>
        <v/>
      </c>
      <c r="C13" s="59" t="str">
        <f aca="false">IF(名簿!$D13="","",名簿!$D13&amp;IF(名簿!$F13="転出","（転出）",""))</f>
        <v/>
      </c>
      <c r="D13" s="149"/>
      <c r="E13" s="61" t="str">
        <f aca="false">IF(OR($C13="",名簿!$F13="転出"),"",IF($C$2="学級ごと",$A13,IF($C$2="前の単元と同じ",単元03!$E13&amp;"",$D13&amp;"")))</f>
        <v/>
      </c>
      <c r="F13" s="150"/>
      <c r="G13" s="150"/>
      <c r="H13" s="150"/>
      <c r="I13" s="151"/>
      <c r="J13" s="41" t="str">
        <f aca="false">IF($E13="","",$E13&amp;"|"&amp;COUNTIF($E$5:$E13,$E13))</f>
        <v/>
      </c>
      <c r="K13" s="40" t="str">
        <f aca="false">IF($I13="","",LEN($I13))</f>
        <v/>
      </c>
      <c r="L13" s="13"/>
      <c r="M13" s="13"/>
      <c r="N13" s="13"/>
      <c r="O13" s="13"/>
      <c r="P13" s="152"/>
      <c r="Q13" s="149"/>
      <c r="R13" s="152"/>
      <c r="S13" s="152"/>
      <c r="T13" s="62" t="str">
        <f aca="false">IF(OR($C13="",R13=""),"",IF(R13/IF($R$2="",100,$R$2)&gt;=設定!$I$28,設定!$G$8,IF(R13/IF($R$2="",100,$R$2)&lt;設定!$I$29,設定!$G$10,設定!$G$9)))</f>
        <v/>
      </c>
      <c r="U13" s="62" t="str">
        <f aca="false">IF(OR($C13="",S13=""),"",IF(S13/IF($S$2="",100,$S$2)&gt;=設定!$I$28,設定!$G$8,IF(S13/IF($S$2="",100,$S$2)&lt;設定!$I$29,設定!$G$10,設定!$G$9)))</f>
        <v/>
      </c>
    </row>
    <row r="14" customFormat="false" ht="21" hidden="false" customHeight="true" outlineLevel="0" collapsed="false">
      <c r="A14" s="91" t="str">
        <f aca="false">IF(名簿!$D14="","",名簿!$B14&amp;"")</f>
        <v/>
      </c>
      <c r="B14" s="91" t="str">
        <f aca="false">IF(名簿!$D14="","",名簿!$C14)</f>
        <v/>
      </c>
      <c r="C14" s="59" t="str">
        <f aca="false">IF(名簿!$D14="","",名簿!$D14&amp;IF(名簿!$F14="転出","（転出）",""))</f>
        <v/>
      </c>
      <c r="D14" s="149"/>
      <c r="E14" s="61" t="str">
        <f aca="false">IF(OR($C14="",名簿!$F14="転出"),"",IF($C$2="学級ごと",$A14,IF($C$2="前の単元と同じ",単元03!$E14&amp;"",$D14&amp;"")))</f>
        <v/>
      </c>
      <c r="F14" s="150"/>
      <c r="G14" s="150"/>
      <c r="H14" s="150"/>
      <c r="I14" s="151"/>
      <c r="J14" s="41" t="str">
        <f aca="false">IF($E14="","",$E14&amp;"|"&amp;COUNTIF($E$5:$E14,$E14))</f>
        <v/>
      </c>
      <c r="K14" s="40" t="str">
        <f aca="false">IF($I14="","",LEN($I14))</f>
        <v/>
      </c>
      <c r="L14" s="13"/>
      <c r="M14" s="13"/>
      <c r="N14" s="13"/>
      <c r="O14" s="13"/>
      <c r="P14" s="152"/>
      <c r="Q14" s="149"/>
      <c r="R14" s="152"/>
      <c r="S14" s="152"/>
      <c r="T14" s="62" t="str">
        <f aca="false">IF(OR($C14="",R14=""),"",IF(R14/IF($R$2="",100,$R$2)&gt;=設定!$I$28,設定!$G$8,IF(R14/IF($R$2="",100,$R$2)&lt;設定!$I$29,設定!$G$10,設定!$G$9)))</f>
        <v/>
      </c>
      <c r="U14" s="62" t="str">
        <f aca="false">IF(OR($C14="",S14=""),"",IF(S14/IF($S$2="",100,$S$2)&gt;=設定!$I$28,設定!$G$8,IF(S14/IF($S$2="",100,$S$2)&lt;設定!$I$29,設定!$G$10,設定!$G$9)))</f>
        <v/>
      </c>
    </row>
    <row r="15" customFormat="false" ht="21" hidden="false" customHeight="true" outlineLevel="0" collapsed="false">
      <c r="A15" s="91" t="str">
        <f aca="false">IF(名簿!$D15="","",名簿!$B15&amp;"")</f>
        <v/>
      </c>
      <c r="B15" s="91" t="str">
        <f aca="false">IF(名簿!$D15="","",名簿!$C15)</f>
        <v/>
      </c>
      <c r="C15" s="59" t="str">
        <f aca="false">IF(名簿!$D15="","",名簿!$D15&amp;IF(名簿!$F15="転出","（転出）",""))</f>
        <v/>
      </c>
      <c r="D15" s="149"/>
      <c r="E15" s="61" t="str">
        <f aca="false">IF(OR($C15="",名簿!$F15="転出"),"",IF($C$2="学級ごと",$A15,IF($C$2="前の単元と同じ",単元03!$E15&amp;"",$D15&amp;"")))</f>
        <v/>
      </c>
      <c r="F15" s="150"/>
      <c r="G15" s="150"/>
      <c r="H15" s="150"/>
      <c r="I15" s="151"/>
      <c r="J15" s="41" t="str">
        <f aca="false">IF($E15="","",$E15&amp;"|"&amp;COUNTIF($E$5:$E15,$E15))</f>
        <v/>
      </c>
      <c r="K15" s="40" t="str">
        <f aca="false">IF($I15="","",LEN($I15))</f>
        <v/>
      </c>
      <c r="L15" s="13"/>
      <c r="M15" s="13"/>
      <c r="N15" s="13"/>
      <c r="O15" s="13"/>
      <c r="P15" s="152"/>
      <c r="Q15" s="149"/>
      <c r="R15" s="152"/>
      <c r="S15" s="152"/>
      <c r="T15" s="62" t="str">
        <f aca="false">IF(OR($C15="",R15=""),"",IF(R15/IF($R$2="",100,$R$2)&gt;=設定!$I$28,設定!$G$8,IF(R15/IF($R$2="",100,$R$2)&lt;設定!$I$29,設定!$G$10,設定!$G$9)))</f>
        <v/>
      </c>
      <c r="U15" s="62" t="str">
        <f aca="false">IF(OR($C15="",S15=""),"",IF(S15/IF($S$2="",100,$S$2)&gt;=設定!$I$28,設定!$G$8,IF(S15/IF($S$2="",100,$S$2)&lt;設定!$I$29,設定!$G$10,設定!$G$9)))</f>
        <v/>
      </c>
    </row>
    <row r="16" customFormat="false" ht="21" hidden="false" customHeight="true" outlineLevel="0" collapsed="false">
      <c r="A16" s="91" t="str">
        <f aca="false">IF(名簿!$D16="","",名簿!$B16&amp;"")</f>
        <v/>
      </c>
      <c r="B16" s="91" t="str">
        <f aca="false">IF(名簿!$D16="","",名簿!$C16)</f>
        <v/>
      </c>
      <c r="C16" s="59" t="str">
        <f aca="false">IF(名簿!$D16="","",名簿!$D16&amp;IF(名簿!$F16="転出","（転出）",""))</f>
        <v/>
      </c>
      <c r="D16" s="149"/>
      <c r="E16" s="61" t="str">
        <f aca="false">IF(OR($C16="",名簿!$F16="転出"),"",IF($C$2="学級ごと",$A16,IF($C$2="前の単元と同じ",単元03!$E16&amp;"",$D16&amp;"")))</f>
        <v/>
      </c>
      <c r="F16" s="150"/>
      <c r="G16" s="150"/>
      <c r="H16" s="150"/>
      <c r="I16" s="151"/>
      <c r="J16" s="41" t="str">
        <f aca="false">IF($E16="","",$E16&amp;"|"&amp;COUNTIF($E$5:$E16,$E16))</f>
        <v/>
      </c>
      <c r="K16" s="40" t="str">
        <f aca="false">IF($I16="","",LEN($I16))</f>
        <v/>
      </c>
      <c r="L16" s="13"/>
      <c r="M16" s="13"/>
      <c r="N16" s="13"/>
      <c r="O16" s="13"/>
      <c r="P16" s="152"/>
      <c r="Q16" s="149"/>
      <c r="R16" s="152"/>
      <c r="S16" s="152"/>
      <c r="T16" s="62" t="str">
        <f aca="false">IF(OR($C16="",R16=""),"",IF(R16/IF($R$2="",100,$R$2)&gt;=設定!$I$28,設定!$G$8,IF(R16/IF($R$2="",100,$R$2)&lt;設定!$I$29,設定!$G$10,設定!$G$9)))</f>
        <v/>
      </c>
      <c r="U16" s="62" t="str">
        <f aca="false">IF(OR($C16="",S16=""),"",IF(S16/IF($S$2="",100,$S$2)&gt;=設定!$I$28,設定!$G$8,IF(S16/IF($S$2="",100,$S$2)&lt;設定!$I$29,設定!$G$10,設定!$G$9)))</f>
        <v/>
      </c>
    </row>
    <row r="17" customFormat="false" ht="21" hidden="false" customHeight="true" outlineLevel="0" collapsed="false">
      <c r="A17" s="91" t="str">
        <f aca="false">IF(名簿!$D17="","",名簿!$B17&amp;"")</f>
        <v/>
      </c>
      <c r="B17" s="91" t="str">
        <f aca="false">IF(名簿!$D17="","",名簿!$C17)</f>
        <v/>
      </c>
      <c r="C17" s="59" t="str">
        <f aca="false">IF(名簿!$D17="","",名簿!$D17&amp;IF(名簿!$F17="転出","（転出）",""))</f>
        <v/>
      </c>
      <c r="D17" s="149"/>
      <c r="E17" s="61" t="str">
        <f aca="false">IF(OR($C17="",名簿!$F17="転出"),"",IF($C$2="学級ごと",$A17,IF($C$2="前の単元と同じ",単元03!$E17&amp;"",$D17&amp;"")))</f>
        <v/>
      </c>
      <c r="F17" s="150"/>
      <c r="G17" s="150"/>
      <c r="H17" s="150"/>
      <c r="I17" s="151"/>
      <c r="J17" s="41" t="str">
        <f aca="false">IF($E17="","",$E17&amp;"|"&amp;COUNTIF($E$5:$E17,$E17))</f>
        <v/>
      </c>
      <c r="K17" s="40" t="str">
        <f aca="false">IF($I17="","",LEN($I17))</f>
        <v/>
      </c>
      <c r="L17" s="13"/>
      <c r="M17" s="13"/>
      <c r="N17" s="13"/>
      <c r="O17" s="13"/>
      <c r="P17" s="152"/>
      <c r="Q17" s="149"/>
      <c r="R17" s="152"/>
      <c r="S17" s="152"/>
      <c r="T17" s="62" t="str">
        <f aca="false">IF(OR($C17="",R17=""),"",IF(R17/IF($R$2="",100,$R$2)&gt;=設定!$I$28,設定!$G$8,IF(R17/IF($R$2="",100,$R$2)&lt;設定!$I$29,設定!$G$10,設定!$G$9)))</f>
        <v/>
      </c>
      <c r="U17" s="62" t="str">
        <f aca="false">IF(OR($C17="",S17=""),"",IF(S17/IF($S$2="",100,$S$2)&gt;=設定!$I$28,設定!$G$8,IF(S17/IF($S$2="",100,$S$2)&lt;設定!$I$29,設定!$G$10,設定!$G$9)))</f>
        <v/>
      </c>
    </row>
    <row r="18" customFormat="false" ht="21" hidden="false" customHeight="true" outlineLevel="0" collapsed="false">
      <c r="A18" s="91" t="str">
        <f aca="false">IF(名簿!$D18="","",名簿!$B18&amp;"")</f>
        <v/>
      </c>
      <c r="B18" s="91" t="str">
        <f aca="false">IF(名簿!$D18="","",名簿!$C18)</f>
        <v/>
      </c>
      <c r="C18" s="59" t="str">
        <f aca="false">IF(名簿!$D18="","",名簿!$D18&amp;IF(名簿!$F18="転出","（転出）",""))</f>
        <v/>
      </c>
      <c r="D18" s="149"/>
      <c r="E18" s="61" t="str">
        <f aca="false">IF(OR($C18="",名簿!$F18="転出"),"",IF($C$2="学級ごと",$A18,IF($C$2="前の単元と同じ",単元03!$E18&amp;"",$D18&amp;"")))</f>
        <v/>
      </c>
      <c r="F18" s="150"/>
      <c r="G18" s="150"/>
      <c r="H18" s="150"/>
      <c r="I18" s="151"/>
      <c r="J18" s="41" t="str">
        <f aca="false">IF($E18="","",$E18&amp;"|"&amp;COUNTIF($E$5:$E18,$E18))</f>
        <v/>
      </c>
      <c r="K18" s="40" t="str">
        <f aca="false">IF($I18="","",LEN($I18))</f>
        <v/>
      </c>
      <c r="L18" s="13"/>
      <c r="M18" s="13"/>
      <c r="N18" s="13"/>
      <c r="O18" s="13"/>
      <c r="P18" s="152"/>
      <c r="Q18" s="149"/>
      <c r="R18" s="152"/>
      <c r="S18" s="152"/>
      <c r="T18" s="62" t="str">
        <f aca="false">IF(OR($C18="",R18=""),"",IF(R18/IF($R$2="",100,$R$2)&gt;=設定!$I$28,設定!$G$8,IF(R18/IF($R$2="",100,$R$2)&lt;設定!$I$29,設定!$G$10,設定!$G$9)))</f>
        <v/>
      </c>
      <c r="U18" s="62" t="str">
        <f aca="false">IF(OR($C18="",S18=""),"",IF(S18/IF($S$2="",100,$S$2)&gt;=設定!$I$28,設定!$G$8,IF(S18/IF($S$2="",100,$S$2)&lt;設定!$I$29,設定!$G$10,設定!$G$9)))</f>
        <v/>
      </c>
    </row>
    <row r="19" customFormat="false" ht="21" hidden="false" customHeight="true" outlineLevel="0" collapsed="false">
      <c r="A19" s="91" t="str">
        <f aca="false">IF(名簿!$D19="","",名簿!$B19&amp;"")</f>
        <v/>
      </c>
      <c r="B19" s="91" t="str">
        <f aca="false">IF(名簿!$D19="","",名簿!$C19)</f>
        <v/>
      </c>
      <c r="C19" s="59" t="str">
        <f aca="false">IF(名簿!$D19="","",名簿!$D19&amp;IF(名簿!$F19="転出","（転出）",""))</f>
        <v/>
      </c>
      <c r="D19" s="149"/>
      <c r="E19" s="61" t="str">
        <f aca="false">IF(OR($C19="",名簿!$F19="転出"),"",IF($C$2="学級ごと",$A19,IF($C$2="前の単元と同じ",単元03!$E19&amp;"",$D19&amp;"")))</f>
        <v/>
      </c>
      <c r="F19" s="150"/>
      <c r="G19" s="150"/>
      <c r="H19" s="150"/>
      <c r="I19" s="151"/>
      <c r="J19" s="41" t="str">
        <f aca="false">IF($E19="","",$E19&amp;"|"&amp;COUNTIF($E$5:$E19,$E19))</f>
        <v/>
      </c>
      <c r="K19" s="40" t="str">
        <f aca="false">IF($I19="","",LEN($I19))</f>
        <v/>
      </c>
      <c r="L19" s="13"/>
      <c r="M19" s="13"/>
      <c r="N19" s="13"/>
      <c r="O19" s="13"/>
      <c r="P19" s="152"/>
      <c r="Q19" s="149"/>
      <c r="R19" s="152"/>
      <c r="S19" s="152"/>
      <c r="T19" s="62" t="str">
        <f aca="false">IF(OR($C19="",R19=""),"",IF(R19/IF($R$2="",100,$R$2)&gt;=設定!$I$28,設定!$G$8,IF(R19/IF($R$2="",100,$R$2)&lt;設定!$I$29,設定!$G$10,設定!$G$9)))</f>
        <v/>
      </c>
      <c r="U19" s="62" t="str">
        <f aca="false">IF(OR($C19="",S19=""),"",IF(S19/IF($S$2="",100,$S$2)&gt;=設定!$I$28,設定!$G$8,IF(S19/IF($S$2="",100,$S$2)&lt;設定!$I$29,設定!$G$10,設定!$G$9)))</f>
        <v/>
      </c>
    </row>
    <row r="20" customFormat="false" ht="21" hidden="false" customHeight="true" outlineLevel="0" collapsed="false">
      <c r="A20" s="91" t="str">
        <f aca="false">IF(名簿!$D20="","",名簿!$B20&amp;"")</f>
        <v/>
      </c>
      <c r="B20" s="91" t="str">
        <f aca="false">IF(名簿!$D20="","",名簿!$C20)</f>
        <v/>
      </c>
      <c r="C20" s="59" t="str">
        <f aca="false">IF(名簿!$D20="","",名簿!$D20&amp;IF(名簿!$F20="転出","（転出）",""))</f>
        <v/>
      </c>
      <c r="D20" s="149"/>
      <c r="E20" s="61" t="str">
        <f aca="false">IF(OR($C20="",名簿!$F20="転出"),"",IF($C$2="学級ごと",$A20,IF($C$2="前の単元と同じ",単元03!$E20&amp;"",$D20&amp;"")))</f>
        <v/>
      </c>
      <c r="F20" s="150"/>
      <c r="G20" s="150"/>
      <c r="H20" s="150"/>
      <c r="I20" s="151"/>
      <c r="J20" s="41" t="str">
        <f aca="false">IF($E20="","",$E20&amp;"|"&amp;COUNTIF($E$5:$E20,$E20))</f>
        <v/>
      </c>
      <c r="K20" s="40" t="str">
        <f aca="false">IF($I20="","",LEN($I20))</f>
        <v/>
      </c>
      <c r="L20" s="13"/>
      <c r="M20" s="13"/>
      <c r="N20" s="13"/>
      <c r="O20" s="13"/>
      <c r="P20" s="152"/>
      <c r="Q20" s="149"/>
      <c r="R20" s="152"/>
      <c r="S20" s="152"/>
      <c r="T20" s="62" t="str">
        <f aca="false">IF(OR($C20="",R20=""),"",IF(R20/IF($R$2="",100,$R$2)&gt;=設定!$I$28,設定!$G$8,IF(R20/IF($R$2="",100,$R$2)&lt;設定!$I$29,設定!$G$10,設定!$G$9)))</f>
        <v/>
      </c>
      <c r="U20" s="62" t="str">
        <f aca="false">IF(OR($C20="",S20=""),"",IF(S20/IF($S$2="",100,$S$2)&gt;=設定!$I$28,設定!$G$8,IF(S20/IF($S$2="",100,$S$2)&lt;設定!$I$29,設定!$G$10,設定!$G$9)))</f>
        <v/>
      </c>
    </row>
    <row r="21" customFormat="false" ht="21" hidden="false" customHeight="true" outlineLevel="0" collapsed="false">
      <c r="A21" s="91" t="str">
        <f aca="false">IF(名簿!$D21="","",名簿!$B21&amp;"")</f>
        <v/>
      </c>
      <c r="B21" s="91" t="str">
        <f aca="false">IF(名簿!$D21="","",名簿!$C21)</f>
        <v/>
      </c>
      <c r="C21" s="59" t="str">
        <f aca="false">IF(名簿!$D21="","",名簿!$D21&amp;IF(名簿!$F21="転出","（転出）",""))</f>
        <v/>
      </c>
      <c r="D21" s="149"/>
      <c r="E21" s="61" t="str">
        <f aca="false">IF(OR($C21="",名簿!$F21="転出"),"",IF($C$2="学級ごと",$A21,IF($C$2="前の単元と同じ",単元03!$E21&amp;"",$D21&amp;"")))</f>
        <v/>
      </c>
      <c r="F21" s="150"/>
      <c r="G21" s="150"/>
      <c r="H21" s="150"/>
      <c r="I21" s="151"/>
      <c r="J21" s="41" t="str">
        <f aca="false">IF($E21="","",$E21&amp;"|"&amp;COUNTIF($E$5:$E21,$E21))</f>
        <v/>
      </c>
      <c r="K21" s="40" t="str">
        <f aca="false">IF($I21="","",LEN($I21))</f>
        <v/>
      </c>
      <c r="L21" s="13"/>
      <c r="M21" s="13"/>
      <c r="N21" s="13"/>
      <c r="O21" s="13"/>
      <c r="P21" s="152"/>
      <c r="Q21" s="149"/>
      <c r="R21" s="152"/>
      <c r="S21" s="152"/>
      <c r="T21" s="62" t="str">
        <f aca="false">IF(OR($C21="",R21=""),"",IF(R21/IF($R$2="",100,$R$2)&gt;=設定!$I$28,設定!$G$8,IF(R21/IF($R$2="",100,$R$2)&lt;設定!$I$29,設定!$G$10,設定!$G$9)))</f>
        <v/>
      </c>
      <c r="U21" s="62" t="str">
        <f aca="false">IF(OR($C21="",S21=""),"",IF(S21/IF($S$2="",100,$S$2)&gt;=設定!$I$28,設定!$G$8,IF(S21/IF($S$2="",100,$S$2)&lt;設定!$I$29,設定!$G$10,設定!$G$9)))</f>
        <v/>
      </c>
    </row>
    <row r="22" customFormat="false" ht="21" hidden="false" customHeight="true" outlineLevel="0" collapsed="false">
      <c r="A22" s="91" t="str">
        <f aca="false">IF(名簿!$D22="","",名簿!$B22&amp;"")</f>
        <v/>
      </c>
      <c r="B22" s="91" t="str">
        <f aca="false">IF(名簿!$D22="","",名簿!$C22)</f>
        <v/>
      </c>
      <c r="C22" s="59" t="str">
        <f aca="false">IF(名簿!$D22="","",名簿!$D22&amp;IF(名簿!$F22="転出","（転出）",""))</f>
        <v/>
      </c>
      <c r="D22" s="149"/>
      <c r="E22" s="61" t="str">
        <f aca="false">IF(OR($C22="",名簿!$F22="転出"),"",IF($C$2="学級ごと",$A22,IF($C$2="前の単元と同じ",単元03!$E22&amp;"",$D22&amp;"")))</f>
        <v/>
      </c>
      <c r="F22" s="150"/>
      <c r="G22" s="150"/>
      <c r="H22" s="150"/>
      <c r="I22" s="151"/>
      <c r="J22" s="41" t="str">
        <f aca="false">IF($E22="","",$E22&amp;"|"&amp;COUNTIF($E$5:$E22,$E22))</f>
        <v/>
      </c>
      <c r="K22" s="40" t="str">
        <f aca="false">IF($I22="","",LEN($I22))</f>
        <v/>
      </c>
      <c r="L22" s="13"/>
      <c r="M22" s="13"/>
      <c r="N22" s="13"/>
      <c r="O22" s="13"/>
      <c r="P22" s="152"/>
      <c r="Q22" s="149"/>
      <c r="R22" s="152"/>
      <c r="S22" s="152"/>
      <c r="T22" s="62" t="str">
        <f aca="false">IF(OR($C22="",R22=""),"",IF(R22/IF($R$2="",100,$R$2)&gt;=設定!$I$28,設定!$G$8,IF(R22/IF($R$2="",100,$R$2)&lt;設定!$I$29,設定!$G$10,設定!$G$9)))</f>
        <v/>
      </c>
      <c r="U22" s="62" t="str">
        <f aca="false">IF(OR($C22="",S22=""),"",IF(S22/IF($S$2="",100,$S$2)&gt;=設定!$I$28,設定!$G$8,IF(S22/IF($S$2="",100,$S$2)&lt;設定!$I$29,設定!$G$10,設定!$G$9)))</f>
        <v/>
      </c>
    </row>
    <row r="23" customFormat="false" ht="21" hidden="false" customHeight="true" outlineLevel="0" collapsed="false">
      <c r="A23" s="91" t="str">
        <f aca="false">IF(名簿!$D23="","",名簿!$B23&amp;"")</f>
        <v/>
      </c>
      <c r="B23" s="91" t="str">
        <f aca="false">IF(名簿!$D23="","",名簿!$C23)</f>
        <v/>
      </c>
      <c r="C23" s="59" t="str">
        <f aca="false">IF(名簿!$D23="","",名簿!$D23&amp;IF(名簿!$F23="転出","（転出）",""))</f>
        <v/>
      </c>
      <c r="D23" s="149"/>
      <c r="E23" s="61" t="str">
        <f aca="false">IF(OR($C23="",名簿!$F23="転出"),"",IF($C$2="学級ごと",$A23,IF($C$2="前の単元と同じ",単元03!$E23&amp;"",$D23&amp;"")))</f>
        <v/>
      </c>
      <c r="F23" s="150"/>
      <c r="G23" s="150"/>
      <c r="H23" s="150"/>
      <c r="I23" s="151"/>
      <c r="J23" s="41" t="str">
        <f aca="false">IF($E23="","",$E23&amp;"|"&amp;COUNTIF($E$5:$E23,$E23))</f>
        <v/>
      </c>
      <c r="K23" s="40" t="str">
        <f aca="false">IF($I23="","",LEN($I23))</f>
        <v/>
      </c>
      <c r="L23" s="13"/>
      <c r="M23" s="13"/>
      <c r="N23" s="13"/>
      <c r="O23" s="13"/>
      <c r="P23" s="152"/>
      <c r="Q23" s="149"/>
      <c r="R23" s="152"/>
      <c r="S23" s="152"/>
      <c r="T23" s="62" t="str">
        <f aca="false">IF(OR($C23="",R23=""),"",IF(R23/IF($R$2="",100,$R$2)&gt;=設定!$I$28,設定!$G$8,IF(R23/IF($R$2="",100,$R$2)&lt;設定!$I$29,設定!$G$10,設定!$G$9)))</f>
        <v/>
      </c>
      <c r="U23" s="62" t="str">
        <f aca="false">IF(OR($C23="",S23=""),"",IF(S23/IF($S$2="",100,$S$2)&gt;=設定!$I$28,設定!$G$8,IF(S23/IF($S$2="",100,$S$2)&lt;設定!$I$29,設定!$G$10,設定!$G$9)))</f>
        <v/>
      </c>
    </row>
    <row r="24" customFormat="false" ht="21" hidden="false" customHeight="true" outlineLevel="0" collapsed="false">
      <c r="A24" s="91" t="str">
        <f aca="false">IF(名簿!$D24="","",名簿!$B24&amp;"")</f>
        <v/>
      </c>
      <c r="B24" s="91" t="str">
        <f aca="false">IF(名簿!$D24="","",名簿!$C24)</f>
        <v/>
      </c>
      <c r="C24" s="59" t="str">
        <f aca="false">IF(名簿!$D24="","",名簿!$D24&amp;IF(名簿!$F24="転出","（転出）",""))</f>
        <v/>
      </c>
      <c r="D24" s="149"/>
      <c r="E24" s="61" t="str">
        <f aca="false">IF(OR($C24="",名簿!$F24="転出"),"",IF($C$2="学級ごと",$A24,IF($C$2="前の単元と同じ",単元03!$E24&amp;"",$D24&amp;"")))</f>
        <v/>
      </c>
      <c r="F24" s="150"/>
      <c r="G24" s="150"/>
      <c r="H24" s="150"/>
      <c r="I24" s="151"/>
      <c r="J24" s="41" t="str">
        <f aca="false">IF($E24="","",$E24&amp;"|"&amp;COUNTIF($E$5:$E24,$E24))</f>
        <v/>
      </c>
      <c r="K24" s="40" t="str">
        <f aca="false">IF($I24="","",LEN($I24))</f>
        <v/>
      </c>
      <c r="L24" s="13"/>
      <c r="M24" s="13"/>
      <c r="N24" s="13"/>
      <c r="O24" s="13"/>
      <c r="P24" s="152"/>
      <c r="Q24" s="149"/>
      <c r="R24" s="152"/>
      <c r="S24" s="152"/>
      <c r="T24" s="62" t="str">
        <f aca="false">IF(OR($C24="",R24=""),"",IF(R24/IF($R$2="",100,$R$2)&gt;=設定!$I$28,設定!$G$8,IF(R24/IF($R$2="",100,$R$2)&lt;設定!$I$29,設定!$G$10,設定!$G$9)))</f>
        <v/>
      </c>
      <c r="U24" s="62" t="str">
        <f aca="false">IF(OR($C24="",S24=""),"",IF(S24/IF($S$2="",100,$S$2)&gt;=設定!$I$28,設定!$G$8,IF(S24/IF($S$2="",100,$S$2)&lt;設定!$I$29,設定!$G$10,設定!$G$9)))</f>
        <v/>
      </c>
    </row>
    <row r="25" customFormat="false" ht="21" hidden="false" customHeight="true" outlineLevel="0" collapsed="false">
      <c r="A25" s="91" t="str">
        <f aca="false">IF(名簿!$D25="","",名簿!$B25&amp;"")</f>
        <v/>
      </c>
      <c r="B25" s="91" t="str">
        <f aca="false">IF(名簿!$D25="","",名簿!$C25)</f>
        <v/>
      </c>
      <c r="C25" s="59" t="str">
        <f aca="false">IF(名簿!$D25="","",名簿!$D25&amp;IF(名簿!$F25="転出","（転出）",""))</f>
        <v/>
      </c>
      <c r="D25" s="149"/>
      <c r="E25" s="61" t="str">
        <f aca="false">IF(OR($C25="",名簿!$F25="転出"),"",IF($C$2="学級ごと",$A25,IF($C$2="前の単元と同じ",単元03!$E25&amp;"",$D25&amp;"")))</f>
        <v/>
      </c>
      <c r="F25" s="150"/>
      <c r="G25" s="150"/>
      <c r="H25" s="150"/>
      <c r="I25" s="151"/>
      <c r="J25" s="41" t="str">
        <f aca="false">IF($E25="","",$E25&amp;"|"&amp;COUNTIF($E$5:$E25,$E25))</f>
        <v/>
      </c>
      <c r="K25" s="40" t="str">
        <f aca="false">IF($I25="","",LEN($I25))</f>
        <v/>
      </c>
      <c r="L25" s="13"/>
      <c r="M25" s="13"/>
      <c r="N25" s="13"/>
      <c r="O25" s="13"/>
      <c r="P25" s="152"/>
      <c r="Q25" s="149"/>
      <c r="R25" s="152"/>
      <c r="S25" s="152"/>
      <c r="T25" s="62" t="str">
        <f aca="false">IF(OR($C25="",R25=""),"",IF(R25/IF($R$2="",100,$R$2)&gt;=設定!$I$28,設定!$G$8,IF(R25/IF($R$2="",100,$R$2)&lt;設定!$I$29,設定!$G$10,設定!$G$9)))</f>
        <v/>
      </c>
      <c r="U25" s="62" t="str">
        <f aca="false">IF(OR($C25="",S25=""),"",IF(S25/IF($S$2="",100,$S$2)&gt;=設定!$I$28,設定!$G$8,IF(S25/IF($S$2="",100,$S$2)&lt;設定!$I$29,設定!$G$10,設定!$G$9)))</f>
        <v/>
      </c>
    </row>
    <row r="26" customFormat="false" ht="21" hidden="false" customHeight="true" outlineLevel="0" collapsed="false">
      <c r="A26" s="91" t="str">
        <f aca="false">IF(名簿!$D26="","",名簿!$B26&amp;"")</f>
        <v/>
      </c>
      <c r="B26" s="91" t="str">
        <f aca="false">IF(名簿!$D26="","",名簿!$C26)</f>
        <v/>
      </c>
      <c r="C26" s="59" t="str">
        <f aca="false">IF(名簿!$D26="","",名簿!$D26&amp;IF(名簿!$F26="転出","（転出）",""))</f>
        <v/>
      </c>
      <c r="D26" s="149"/>
      <c r="E26" s="61" t="str">
        <f aca="false">IF(OR($C26="",名簿!$F26="転出"),"",IF($C$2="学級ごと",$A26,IF($C$2="前の単元と同じ",単元03!$E26&amp;"",$D26&amp;"")))</f>
        <v/>
      </c>
      <c r="F26" s="150"/>
      <c r="G26" s="150"/>
      <c r="H26" s="150"/>
      <c r="I26" s="151"/>
      <c r="J26" s="41" t="str">
        <f aca="false">IF($E26="","",$E26&amp;"|"&amp;COUNTIF($E$5:$E26,$E26))</f>
        <v/>
      </c>
      <c r="K26" s="40" t="str">
        <f aca="false">IF($I26="","",LEN($I26))</f>
        <v/>
      </c>
      <c r="L26" s="13"/>
      <c r="M26" s="13"/>
      <c r="N26" s="13"/>
      <c r="O26" s="13"/>
      <c r="P26" s="152"/>
      <c r="Q26" s="149"/>
      <c r="R26" s="152"/>
      <c r="S26" s="152"/>
      <c r="T26" s="62" t="str">
        <f aca="false">IF(OR($C26="",R26=""),"",IF(R26/IF($R$2="",100,$R$2)&gt;=設定!$I$28,設定!$G$8,IF(R26/IF($R$2="",100,$R$2)&lt;設定!$I$29,設定!$G$10,設定!$G$9)))</f>
        <v/>
      </c>
      <c r="U26" s="62" t="str">
        <f aca="false">IF(OR($C26="",S26=""),"",IF(S26/IF($S$2="",100,$S$2)&gt;=設定!$I$28,設定!$G$8,IF(S26/IF($S$2="",100,$S$2)&lt;設定!$I$29,設定!$G$10,設定!$G$9)))</f>
        <v/>
      </c>
    </row>
    <row r="27" customFormat="false" ht="21" hidden="false" customHeight="true" outlineLevel="0" collapsed="false">
      <c r="A27" s="91" t="str">
        <f aca="false">IF(名簿!$D27="","",名簿!$B27&amp;"")</f>
        <v/>
      </c>
      <c r="B27" s="91" t="str">
        <f aca="false">IF(名簿!$D27="","",名簿!$C27)</f>
        <v/>
      </c>
      <c r="C27" s="59" t="str">
        <f aca="false">IF(名簿!$D27="","",名簿!$D27&amp;IF(名簿!$F27="転出","（転出）",""))</f>
        <v/>
      </c>
      <c r="D27" s="149"/>
      <c r="E27" s="61" t="str">
        <f aca="false">IF(OR($C27="",名簿!$F27="転出"),"",IF($C$2="学級ごと",$A27,IF($C$2="前の単元と同じ",単元03!$E27&amp;"",$D27&amp;"")))</f>
        <v/>
      </c>
      <c r="F27" s="150"/>
      <c r="G27" s="150"/>
      <c r="H27" s="150"/>
      <c r="I27" s="151"/>
      <c r="J27" s="41" t="str">
        <f aca="false">IF($E27="","",$E27&amp;"|"&amp;COUNTIF($E$5:$E27,$E27))</f>
        <v/>
      </c>
      <c r="K27" s="40" t="str">
        <f aca="false">IF($I27="","",LEN($I27))</f>
        <v/>
      </c>
      <c r="L27" s="13"/>
      <c r="M27" s="13"/>
      <c r="N27" s="13"/>
      <c r="O27" s="13"/>
      <c r="P27" s="152"/>
      <c r="Q27" s="149"/>
      <c r="R27" s="152"/>
      <c r="S27" s="152"/>
      <c r="T27" s="62" t="str">
        <f aca="false">IF(OR($C27="",R27=""),"",IF(R27/IF($R$2="",100,$R$2)&gt;=設定!$I$28,設定!$G$8,IF(R27/IF($R$2="",100,$R$2)&lt;設定!$I$29,設定!$G$10,設定!$G$9)))</f>
        <v/>
      </c>
      <c r="U27" s="62" t="str">
        <f aca="false">IF(OR($C27="",S27=""),"",IF(S27/IF($S$2="",100,$S$2)&gt;=設定!$I$28,設定!$G$8,IF(S27/IF($S$2="",100,$S$2)&lt;設定!$I$29,設定!$G$10,設定!$G$9)))</f>
        <v/>
      </c>
    </row>
    <row r="28" customFormat="false" ht="21" hidden="false" customHeight="true" outlineLevel="0" collapsed="false">
      <c r="A28" s="91" t="str">
        <f aca="false">IF(名簿!$D28="","",名簿!$B28&amp;"")</f>
        <v/>
      </c>
      <c r="B28" s="91" t="str">
        <f aca="false">IF(名簿!$D28="","",名簿!$C28)</f>
        <v/>
      </c>
      <c r="C28" s="59" t="str">
        <f aca="false">IF(名簿!$D28="","",名簿!$D28&amp;IF(名簿!$F28="転出","（転出）",""))</f>
        <v/>
      </c>
      <c r="D28" s="149"/>
      <c r="E28" s="61" t="str">
        <f aca="false">IF(OR($C28="",名簿!$F28="転出"),"",IF($C$2="学級ごと",$A28,IF($C$2="前の単元と同じ",単元03!$E28&amp;"",$D28&amp;"")))</f>
        <v/>
      </c>
      <c r="F28" s="150"/>
      <c r="G28" s="150"/>
      <c r="H28" s="150"/>
      <c r="I28" s="151"/>
      <c r="J28" s="41" t="str">
        <f aca="false">IF($E28="","",$E28&amp;"|"&amp;COUNTIF($E$5:$E28,$E28))</f>
        <v/>
      </c>
      <c r="K28" s="40" t="str">
        <f aca="false">IF($I28="","",LEN($I28))</f>
        <v/>
      </c>
      <c r="L28" s="13"/>
      <c r="M28" s="13"/>
      <c r="N28" s="13"/>
      <c r="O28" s="13"/>
      <c r="P28" s="152"/>
      <c r="Q28" s="149"/>
      <c r="R28" s="152"/>
      <c r="S28" s="152"/>
      <c r="T28" s="62" t="str">
        <f aca="false">IF(OR($C28="",R28=""),"",IF(R28/IF($R$2="",100,$R$2)&gt;=設定!$I$28,設定!$G$8,IF(R28/IF($R$2="",100,$R$2)&lt;設定!$I$29,設定!$G$10,設定!$G$9)))</f>
        <v/>
      </c>
      <c r="U28" s="62" t="str">
        <f aca="false">IF(OR($C28="",S28=""),"",IF(S28/IF($S$2="",100,$S$2)&gt;=設定!$I$28,設定!$G$8,IF(S28/IF($S$2="",100,$S$2)&lt;設定!$I$29,設定!$G$10,設定!$G$9)))</f>
        <v/>
      </c>
    </row>
    <row r="29" customFormat="false" ht="21" hidden="false" customHeight="true" outlineLevel="0" collapsed="false">
      <c r="A29" s="91" t="str">
        <f aca="false">IF(名簿!$D29="","",名簿!$B29&amp;"")</f>
        <v/>
      </c>
      <c r="B29" s="91" t="str">
        <f aca="false">IF(名簿!$D29="","",名簿!$C29)</f>
        <v/>
      </c>
      <c r="C29" s="59" t="str">
        <f aca="false">IF(名簿!$D29="","",名簿!$D29&amp;IF(名簿!$F29="転出","（転出）",""))</f>
        <v/>
      </c>
      <c r="D29" s="149"/>
      <c r="E29" s="61" t="str">
        <f aca="false">IF(OR($C29="",名簿!$F29="転出"),"",IF($C$2="学級ごと",$A29,IF($C$2="前の単元と同じ",単元03!$E29&amp;"",$D29&amp;"")))</f>
        <v/>
      </c>
      <c r="F29" s="150"/>
      <c r="G29" s="150"/>
      <c r="H29" s="150"/>
      <c r="I29" s="151"/>
      <c r="J29" s="41" t="str">
        <f aca="false">IF($E29="","",$E29&amp;"|"&amp;COUNTIF($E$5:$E29,$E29))</f>
        <v/>
      </c>
      <c r="K29" s="40" t="str">
        <f aca="false">IF($I29="","",LEN($I29))</f>
        <v/>
      </c>
      <c r="L29" s="13"/>
      <c r="M29" s="13"/>
      <c r="N29" s="13"/>
      <c r="O29" s="13"/>
      <c r="P29" s="152"/>
      <c r="Q29" s="149"/>
      <c r="R29" s="152"/>
      <c r="S29" s="152"/>
      <c r="T29" s="62" t="str">
        <f aca="false">IF(OR($C29="",R29=""),"",IF(R29/IF($R$2="",100,$R$2)&gt;=設定!$I$28,設定!$G$8,IF(R29/IF($R$2="",100,$R$2)&lt;設定!$I$29,設定!$G$10,設定!$G$9)))</f>
        <v/>
      </c>
      <c r="U29" s="62" t="str">
        <f aca="false">IF(OR($C29="",S29=""),"",IF(S29/IF($S$2="",100,$S$2)&gt;=設定!$I$28,設定!$G$8,IF(S29/IF($S$2="",100,$S$2)&lt;設定!$I$29,設定!$G$10,設定!$G$9)))</f>
        <v/>
      </c>
    </row>
    <row r="30" customFormat="false" ht="21" hidden="false" customHeight="true" outlineLevel="0" collapsed="false">
      <c r="A30" s="91" t="str">
        <f aca="false">IF(名簿!$D30="","",名簿!$B30&amp;"")</f>
        <v/>
      </c>
      <c r="B30" s="91" t="str">
        <f aca="false">IF(名簿!$D30="","",名簿!$C30)</f>
        <v/>
      </c>
      <c r="C30" s="59" t="str">
        <f aca="false">IF(名簿!$D30="","",名簿!$D30&amp;IF(名簿!$F30="転出","（転出）",""))</f>
        <v/>
      </c>
      <c r="D30" s="149"/>
      <c r="E30" s="61" t="str">
        <f aca="false">IF(OR($C30="",名簿!$F30="転出"),"",IF($C$2="学級ごと",$A30,IF($C$2="前の単元と同じ",単元03!$E30&amp;"",$D30&amp;"")))</f>
        <v/>
      </c>
      <c r="F30" s="150"/>
      <c r="G30" s="150"/>
      <c r="H30" s="150"/>
      <c r="I30" s="151"/>
      <c r="J30" s="41" t="str">
        <f aca="false">IF($E30="","",$E30&amp;"|"&amp;COUNTIF($E$5:$E30,$E30))</f>
        <v/>
      </c>
      <c r="K30" s="40" t="str">
        <f aca="false">IF($I30="","",LEN($I30))</f>
        <v/>
      </c>
      <c r="L30" s="13"/>
      <c r="M30" s="13"/>
      <c r="N30" s="13"/>
      <c r="O30" s="13"/>
      <c r="P30" s="152"/>
      <c r="Q30" s="149"/>
      <c r="R30" s="152"/>
      <c r="S30" s="152"/>
      <c r="T30" s="62" t="str">
        <f aca="false">IF(OR($C30="",R30=""),"",IF(R30/IF($R$2="",100,$R$2)&gt;=設定!$I$28,設定!$G$8,IF(R30/IF($R$2="",100,$R$2)&lt;設定!$I$29,設定!$G$10,設定!$G$9)))</f>
        <v/>
      </c>
      <c r="U30" s="62" t="str">
        <f aca="false">IF(OR($C30="",S30=""),"",IF(S30/IF($S$2="",100,$S$2)&gt;=設定!$I$28,設定!$G$8,IF(S30/IF($S$2="",100,$S$2)&lt;設定!$I$29,設定!$G$10,設定!$G$9)))</f>
        <v/>
      </c>
    </row>
    <row r="31" customFormat="false" ht="21" hidden="false" customHeight="true" outlineLevel="0" collapsed="false">
      <c r="A31" s="91" t="str">
        <f aca="false">IF(名簿!$D31="","",名簿!$B31&amp;"")</f>
        <v/>
      </c>
      <c r="B31" s="91" t="str">
        <f aca="false">IF(名簿!$D31="","",名簿!$C31)</f>
        <v/>
      </c>
      <c r="C31" s="59" t="str">
        <f aca="false">IF(名簿!$D31="","",名簿!$D31&amp;IF(名簿!$F31="転出","（転出）",""))</f>
        <v/>
      </c>
      <c r="D31" s="149"/>
      <c r="E31" s="61" t="str">
        <f aca="false">IF(OR($C31="",名簿!$F31="転出"),"",IF($C$2="学級ごと",$A31,IF($C$2="前の単元と同じ",単元03!$E31&amp;"",$D31&amp;"")))</f>
        <v/>
      </c>
      <c r="F31" s="150"/>
      <c r="G31" s="150"/>
      <c r="H31" s="150"/>
      <c r="I31" s="151"/>
      <c r="J31" s="41" t="str">
        <f aca="false">IF($E31="","",$E31&amp;"|"&amp;COUNTIF($E$5:$E31,$E31))</f>
        <v/>
      </c>
      <c r="K31" s="40" t="str">
        <f aca="false">IF($I31="","",LEN($I31))</f>
        <v/>
      </c>
      <c r="L31" s="13"/>
      <c r="M31" s="13"/>
      <c r="N31" s="13"/>
      <c r="O31" s="13"/>
      <c r="P31" s="152"/>
      <c r="Q31" s="149"/>
      <c r="R31" s="152"/>
      <c r="S31" s="152"/>
      <c r="T31" s="62" t="str">
        <f aca="false">IF(OR($C31="",R31=""),"",IF(R31/IF($R$2="",100,$R$2)&gt;=設定!$I$28,設定!$G$8,IF(R31/IF($R$2="",100,$R$2)&lt;設定!$I$29,設定!$G$10,設定!$G$9)))</f>
        <v/>
      </c>
      <c r="U31" s="62" t="str">
        <f aca="false">IF(OR($C31="",S31=""),"",IF(S31/IF($S$2="",100,$S$2)&gt;=設定!$I$28,設定!$G$8,IF(S31/IF($S$2="",100,$S$2)&lt;設定!$I$29,設定!$G$10,設定!$G$9)))</f>
        <v/>
      </c>
    </row>
    <row r="32" customFormat="false" ht="21" hidden="false" customHeight="true" outlineLevel="0" collapsed="false">
      <c r="A32" s="91" t="str">
        <f aca="false">IF(名簿!$D32="","",名簿!$B32&amp;"")</f>
        <v/>
      </c>
      <c r="B32" s="91" t="str">
        <f aca="false">IF(名簿!$D32="","",名簿!$C32)</f>
        <v/>
      </c>
      <c r="C32" s="59" t="str">
        <f aca="false">IF(名簿!$D32="","",名簿!$D32&amp;IF(名簿!$F32="転出","（転出）",""))</f>
        <v/>
      </c>
      <c r="D32" s="149"/>
      <c r="E32" s="61" t="str">
        <f aca="false">IF(OR($C32="",名簿!$F32="転出"),"",IF($C$2="学級ごと",$A32,IF($C$2="前の単元と同じ",単元03!$E32&amp;"",$D32&amp;"")))</f>
        <v/>
      </c>
      <c r="F32" s="150"/>
      <c r="G32" s="150"/>
      <c r="H32" s="150"/>
      <c r="I32" s="151"/>
      <c r="J32" s="41" t="str">
        <f aca="false">IF($E32="","",$E32&amp;"|"&amp;COUNTIF($E$5:$E32,$E32))</f>
        <v/>
      </c>
      <c r="K32" s="40" t="str">
        <f aca="false">IF($I32="","",LEN($I32))</f>
        <v/>
      </c>
      <c r="L32" s="13"/>
      <c r="M32" s="13"/>
      <c r="N32" s="13"/>
      <c r="O32" s="13"/>
      <c r="P32" s="152"/>
      <c r="Q32" s="149"/>
      <c r="R32" s="152"/>
      <c r="S32" s="152"/>
      <c r="T32" s="62" t="str">
        <f aca="false">IF(OR($C32="",R32=""),"",IF(R32/IF($R$2="",100,$R$2)&gt;=設定!$I$28,設定!$G$8,IF(R32/IF($R$2="",100,$R$2)&lt;設定!$I$29,設定!$G$10,設定!$G$9)))</f>
        <v/>
      </c>
      <c r="U32" s="62" t="str">
        <f aca="false">IF(OR($C32="",S32=""),"",IF(S32/IF($S$2="",100,$S$2)&gt;=設定!$I$28,設定!$G$8,IF(S32/IF($S$2="",100,$S$2)&lt;設定!$I$29,設定!$G$10,設定!$G$9)))</f>
        <v/>
      </c>
    </row>
    <row r="33" customFormat="false" ht="21" hidden="false" customHeight="true" outlineLevel="0" collapsed="false">
      <c r="A33" s="91" t="str">
        <f aca="false">IF(名簿!$D33="","",名簿!$B33&amp;"")</f>
        <v/>
      </c>
      <c r="B33" s="91" t="str">
        <f aca="false">IF(名簿!$D33="","",名簿!$C33)</f>
        <v/>
      </c>
      <c r="C33" s="59" t="str">
        <f aca="false">IF(名簿!$D33="","",名簿!$D33&amp;IF(名簿!$F33="転出","（転出）",""))</f>
        <v/>
      </c>
      <c r="D33" s="149"/>
      <c r="E33" s="61" t="str">
        <f aca="false">IF(OR($C33="",名簿!$F33="転出"),"",IF($C$2="学級ごと",$A33,IF($C$2="前の単元と同じ",単元03!$E33&amp;"",$D33&amp;"")))</f>
        <v/>
      </c>
      <c r="F33" s="150"/>
      <c r="G33" s="150"/>
      <c r="H33" s="150"/>
      <c r="I33" s="151"/>
      <c r="J33" s="41" t="str">
        <f aca="false">IF($E33="","",$E33&amp;"|"&amp;COUNTIF($E$5:$E33,$E33))</f>
        <v/>
      </c>
      <c r="K33" s="40" t="str">
        <f aca="false">IF($I33="","",LEN($I33))</f>
        <v/>
      </c>
      <c r="L33" s="13"/>
      <c r="M33" s="13"/>
      <c r="N33" s="13"/>
      <c r="O33" s="13"/>
      <c r="P33" s="152"/>
      <c r="Q33" s="149"/>
      <c r="R33" s="152"/>
      <c r="S33" s="152"/>
      <c r="T33" s="62" t="str">
        <f aca="false">IF(OR($C33="",R33=""),"",IF(R33/IF($R$2="",100,$R$2)&gt;=設定!$I$28,設定!$G$8,IF(R33/IF($R$2="",100,$R$2)&lt;設定!$I$29,設定!$G$10,設定!$G$9)))</f>
        <v/>
      </c>
      <c r="U33" s="62" t="str">
        <f aca="false">IF(OR($C33="",S33=""),"",IF(S33/IF($S$2="",100,$S$2)&gt;=設定!$I$28,設定!$G$8,IF(S33/IF($S$2="",100,$S$2)&lt;設定!$I$29,設定!$G$10,設定!$G$9)))</f>
        <v/>
      </c>
    </row>
    <row r="34" customFormat="false" ht="21" hidden="false" customHeight="true" outlineLevel="0" collapsed="false">
      <c r="A34" s="91" t="str">
        <f aca="false">IF(名簿!$D34="","",名簿!$B34&amp;"")</f>
        <v/>
      </c>
      <c r="B34" s="91" t="str">
        <f aca="false">IF(名簿!$D34="","",名簿!$C34)</f>
        <v/>
      </c>
      <c r="C34" s="59" t="str">
        <f aca="false">IF(名簿!$D34="","",名簿!$D34&amp;IF(名簿!$F34="転出","（転出）",""))</f>
        <v/>
      </c>
      <c r="D34" s="149"/>
      <c r="E34" s="61" t="str">
        <f aca="false">IF(OR($C34="",名簿!$F34="転出"),"",IF($C$2="学級ごと",$A34,IF($C$2="前の単元と同じ",単元03!$E34&amp;"",$D34&amp;"")))</f>
        <v/>
      </c>
      <c r="F34" s="150"/>
      <c r="G34" s="150"/>
      <c r="H34" s="150"/>
      <c r="I34" s="151"/>
      <c r="J34" s="41" t="str">
        <f aca="false">IF($E34="","",$E34&amp;"|"&amp;COUNTIF($E$5:$E34,$E34))</f>
        <v/>
      </c>
      <c r="K34" s="40" t="str">
        <f aca="false">IF($I34="","",LEN($I34))</f>
        <v/>
      </c>
      <c r="L34" s="13"/>
      <c r="M34" s="13"/>
      <c r="N34" s="13"/>
      <c r="O34" s="13"/>
      <c r="P34" s="152"/>
      <c r="Q34" s="149"/>
      <c r="R34" s="152"/>
      <c r="S34" s="152"/>
      <c r="T34" s="62" t="str">
        <f aca="false">IF(OR($C34="",R34=""),"",IF(R34/IF($R$2="",100,$R$2)&gt;=設定!$I$28,設定!$G$8,IF(R34/IF($R$2="",100,$R$2)&lt;設定!$I$29,設定!$G$10,設定!$G$9)))</f>
        <v/>
      </c>
      <c r="U34" s="62" t="str">
        <f aca="false">IF(OR($C34="",S34=""),"",IF(S34/IF($S$2="",100,$S$2)&gt;=設定!$I$28,設定!$G$8,IF(S34/IF($S$2="",100,$S$2)&lt;設定!$I$29,設定!$G$10,設定!$G$9)))</f>
        <v/>
      </c>
    </row>
    <row r="35" customFormat="false" ht="21" hidden="false" customHeight="true" outlineLevel="0" collapsed="false">
      <c r="A35" s="91" t="str">
        <f aca="false">IF(名簿!$D35="","",名簿!$B35&amp;"")</f>
        <v/>
      </c>
      <c r="B35" s="91" t="str">
        <f aca="false">IF(名簿!$D35="","",名簿!$C35)</f>
        <v/>
      </c>
      <c r="C35" s="59" t="str">
        <f aca="false">IF(名簿!$D35="","",名簿!$D35&amp;IF(名簿!$F35="転出","（転出）",""))</f>
        <v/>
      </c>
      <c r="D35" s="149"/>
      <c r="E35" s="61" t="str">
        <f aca="false">IF(OR($C35="",名簿!$F35="転出"),"",IF($C$2="学級ごと",$A35,IF($C$2="前の単元と同じ",単元03!$E35&amp;"",$D35&amp;"")))</f>
        <v/>
      </c>
      <c r="F35" s="150"/>
      <c r="G35" s="150"/>
      <c r="H35" s="150"/>
      <c r="I35" s="151"/>
      <c r="J35" s="41" t="str">
        <f aca="false">IF($E35="","",$E35&amp;"|"&amp;COUNTIF($E$5:$E35,$E35))</f>
        <v/>
      </c>
      <c r="K35" s="40" t="str">
        <f aca="false">IF($I35="","",LEN($I35))</f>
        <v/>
      </c>
      <c r="L35" s="13"/>
      <c r="M35" s="13"/>
      <c r="N35" s="13"/>
      <c r="O35" s="13"/>
      <c r="P35" s="152"/>
      <c r="Q35" s="149"/>
      <c r="R35" s="152"/>
      <c r="S35" s="152"/>
      <c r="T35" s="62" t="str">
        <f aca="false">IF(OR($C35="",R35=""),"",IF(R35/IF($R$2="",100,$R$2)&gt;=設定!$I$28,設定!$G$8,IF(R35/IF($R$2="",100,$R$2)&lt;設定!$I$29,設定!$G$10,設定!$G$9)))</f>
        <v/>
      </c>
      <c r="U35" s="62" t="str">
        <f aca="false">IF(OR($C35="",S35=""),"",IF(S35/IF($S$2="",100,$S$2)&gt;=設定!$I$28,設定!$G$8,IF(S35/IF($S$2="",100,$S$2)&lt;設定!$I$29,設定!$G$10,設定!$G$9)))</f>
        <v/>
      </c>
    </row>
    <row r="36" customFormat="false" ht="21" hidden="false" customHeight="true" outlineLevel="0" collapsed="false">
      <c r="A36" s="91" t="str">
        <f aca="false">IF(名簿!$D36="","",名簿!$B36&amp;"")</f>
        <v/>
      </c>
      <c r="B36" s="91" t="str">
        <f aca="false">IF(名簿!$D36="","",名簿!$C36)</f>
        <v/>
      </c>
      <c r="C36" s="59" t="str">
        <f aca="false">IF(名簿!$D36="","",名簿!$D36&amp;IF(名簿!$F36="転出","（転出）",""))</f>
        <v/>
      </c>
      <c r="D36" s="149"/>
      <c r="E36" s="61" t="str">
        <f aca="false">IF(OR($C36="",名簿!$F36="転出"),"",IF($C$2="学級ごと",$A36,IF($C$2="前の単元と同じ",単元03!$E36&amp;"",$D36&amp;"")))</f>
        <v/>
      </c>
      <c r="F36" s="150"/>
      <c r="G36" s="150"/>
      <c r="H36" s="150"/>
      <c r="I36" s="151"/>
      <c r="J36" s="41" t="str">
        <f aca="false">IF($E36="","",$E36&amp;"|"&amp;COUNTIF($E$5:$E36,$E36))</f>
        <v/>
      </c>
      <c r="K36" s="40" t="str">
        <f aca="false">IF($I36="","",LEN($I36))</f>
        <v/>
      </c>
      <c r="L36" s="13"/>
      <c r="M36" s="13"/>
      <c r="N36" s="13"/>
      <c r="O36" s="13"/>
      <c r="P36" s="152"/>
      <c r="Q36" s="149"/>
      <c r="R36" s="152"/>
      <c r="S36" s="152"/>
      <c r="T36" s="62" t="str">
        <f aca="false">IF(OR($C36="",R36=""),"",IF(R36/IF($R$2="",100,$R$2)&gt;=設定!$I$28,設定!$G$8,IF(R36/IF($R$2="",100,$R$2)&lt;設定!$I$29,設定!$G$10,設定!$G$9)))</f>
        <v/>
      </c>
      <c r="U36" s="62" t="str">
        <f aca="false">IF(OR($C36="",S36=""),"",IF(S36/IF($S$2="",100,$S$2)&gt;=設定!$I$28,設定!$G$8,IF(S36/IF($S$2="",100,$S$2)&lt;設定!$I$29,設定!$G$10,設定!$G$9)))</f>
        <v/>
      </c>
    </row>
    <row r="37" customFormat="false" ht="21" hidden="false" customHeight="true" outlineLevel="0" collapsed="false">
      <c r="A37" s="91" t="str">
        <f aca="false">IF(名簿!$D37="","",名簿!$B37&amp;"")</f>
        <v/>
      </c>
      <c r="B37" s="91" t="str">
        <f aca="false">IF(名簿!$D37="","",名簿!$C37)</f>
        <v/>
      </c>
      <c r="C37" s="59" t="str">
        <f aca="false">IF(名簿!$D37="","",名簿!$D37&amp;IF(名簿!$F37="転出","（転出）",""))</f>
        <v/>
      </c>
      <c r="D37" s="149"/>
      <c r="E37" s="61" t="str">
        <f aca="false">IF(OR($C37="",名簿!$F37="転出"),"",IF($C$2="学級ごと",$A37,IF($C$2="前の単元と同じ",単元03!$E37&amp;"",$D37&amp;"")))</f>
        <v/>
      </c>
      <c r="F37" s="150"/>
      <c r="G37" s="150"/>
      <c r="H37" s="150"/>
      <c r="I37" s="151"/>
      <c r="J37" s="41" t="str">
        <f aca="false">IF($E37="","",$E37&amp;"|"&amp;COUNTIF($E$5:$E37,$E37))</f>
        <v/>
      </c>
      <c r="K37" s="40" t="str">
        <f aca="false">IF($I37="","",LEN($I37))</f>
        <v/>
      </c>
      <c r="L37" s="13"/>
      <c r="M37" s="13"/>
      <c r="N37" s="13"/>
      <c r="O37" s="13"/>
      <c r="P37" s="152"/>
      <c r="Q37" s="149"/>
      <c r="R37" s="152"/>
      <c r="S37" s="152"/>
      <c r="T37" s="62" t="str">
        <f aca="false">IF(OR($C37="",R37=""),"",IF(R37/IF($R$2="",100,$R$2)&gt;=設定!$I$28,設定!$G$8,IF(R37/IF($R$2="",100,$R$2)&lt;設定!$I$29,設定!$G$10,設定!$G$9)))</f>
        <v/>
      </c>
      <c r="U37" s="62" t="str">
        <f aca="false">IF(OR($C37="",S37=""),"",IF(S37/IF($S$2="",100,$S$2)&gt;=設定!$I$28,設定!$G$8,IF(S37/IF($S$2="",100,$S$2)&lt;設定!$I$29,設定!$G$10,設定!$G$9)))</f>
        <v/>
      </c>
    </row>
    <row r="38" customFormat="false" ht="21" hidden="false" customHeight="true" outlineLevel="0" collapsed="false">
      <c r="A38" s="91" t="str">
        <f aca="false">IF(名簿!$D38="","",名簿!$B38&amp;"")</f>
        <v/>
      </c>
      <c r="B38" s="91" t="str">
        <f aca="false">IF(名簿!$D38="","",名簿!$C38)</f>
        <v/>
      </c>
      <c r="C38" s="59" t="str">
        <f aca="false">IF(名簿!$D38="","",名簿!$D38&amp;IF(名簿!$F38="転出","（転出）",""))</f>
        <v/>
      </c>
      <c r="D38" s="149"/>
      <c r="E38" s="61" t="str">
        <f aca="false">IF(OR($C38="",名簿!$F38="転出"),"",IF($C$2="学級ごと",$A38,IF($C$2="前の単元と同じ",単元03!$E38&amp;"",$D38&amp;"")))</f>
        <v/>
      </c>
      <c r="F38" s="150"/>
      <c r="G38" s="150"/>
      <c r="H38" s="150"/>
      <c r="I38" s="151"/>
      <c r="J38" s="41" t="str">
        <f aca="false">IF($E38="","",$E38&amp;"|"&amp;COUNTIF($E$5:$E38,$E38))</f>
        <v/>
      </c>
      <c r="K38" s="40" t="str">
        <f aca="false">IF($I38="","",LEN($I38))</f>
        <v/>
      </c>
      <c r="L38" s="13"/>
      <c r="M38" s="13"/>
      <c r="N38" s="13"/>
      <c r="O38" s="13"/>
      <c r="P38" s="152"/>
      <c r="Q38" s="149"/>
      <c r="R38" s="152"/>
      <c r="S38" s="152"/>
      <c r="T38" s="62" t="str">
        <f aca="false">IF(OR($C38="",R38=""),"",IF(R38/IF($R$2="",100,$R$2)&gt;=設定!$I$28,設定!$G$8,IF(R38/IF($R$2="",100,$R$2)&lt;設定!$I$29,設定!$G$10,設定!$G$9)))</f>
        <v/>
      </c>
      <c r="U38" s="62" t="str">
        <f aca="false">IF(OR($C38="",S38=""),"",IF(S38/IF($S$2="",100,$S$2)&gt;=設定!$I$28,設定!$G$8,IF(S38/IF($S$2="",100,$S$2)&lt;設定!$I$29,設定!$G$10,設定!$G$9)))</f>
        <v/>
      </c>
    </row>
    <row r="39" customFormat="false" ht="21" hidden="false" customHeight="true" outlineLevel="0" collapsed="false">
      <c r="A39" s="91" t="str">
        <f aca="false">IF(名簿!$D39="","",名簿!$B39&amp;"")</f>
        <v/>
      </c>
      <c r="B39" s="91" t="str">
        <f aca="false">IF(名簿!$D39="","",名簿!$C39)</f>
        <v/>
      </c>
      <c r="C39" s="59" t="str">
        <f aca="false">IF(名簿!$D39="","",名簿!$D39&amp;IF(名簿!$F39="転出","（転出）",""))</f>
        <v/>
      </c>
      <c r="D39" s="149"/>
      <c r="E39" s="61" t="str">
        <f aca="false">IF(OR($C39="",名簿!$F39="転出"),"",IF($C$2="学級ごと",$A39,IF($C$2="前の単元と同じ",単元03!$E39&amp;"",$D39&amp;"")))</f>
        <v/>
      </c>
      <c r="F39" s="150"/>
      <c r="G39" s="150"/>
      <c r="H39" s="150"/>
      <c r="I39" s="151"/>
      <c r="J39" s="41" t="str">
        <f aca="false">IF($E39="","",$E39&amp;"|"&amp;COUNTIF($E$5:$E39,$E39))</f>
        <v/>
      </c>
      <c r="K39" s="40" t="str">
        <f aca="false">IF($I39="","",LEN($I39))</f>
        <v/>
      </c>
      <c r="L39" s="13"/>
      <c r="M39" s="13"/>
      <c r="N39" s="13"/>
      <c r="O39" s="13"/>
      <c r="P39" s="152"/>
      <c r="Q39" s="149"/>
      <c r="R39" s="152"/>
      <c r="S39" s="152"/>
      <c r="T39" s="62" t="str">
        <f aca="false">IF(OR($C39="",R39=""),"",IF(R39/IF($R$2="",100,$R$2)&gt;=設定!$I$28,設定!$G$8,IF(R39/IF($R$2="",100,$R$2)&lt;設定!$I$29,設定!$G$10,設定!$G$9)))</f>
        <v/>
      </c>
      <c r="U39" s="62" t="str">
        <f aca="false">IF(OR($C39="",S39=""),"",IF(S39/IF($S$2="",100,$S$2)&gt;=設定!$I$28,設定!$G$8,IF(S39/IF($S$2="",100,$S$2)&lt;設定!$I$29,設定!$G$10,設定!$G$9)))</f>
        <v/>
      </c>
    </row>
    <row r="40" customFormat="false" ht="21" hidden="false" customHeight="true" outlineLevel="0" collapsed="false">
      <c r="A40" s="91" t="str">
        <f aca="false">IF(名簿!$D40="","",名簿!$B40&amp;"")</f>
        <v/>
      </c>
      <c r="B40" s="91" t="str">
        <f aca="false">IF(名簿!$D40="","",名簿!$C40)</f>
        <v/>
      </c>
      <c r="C40" s="59" t="str">
        <f aca="false">IF(名簿!$D40="","",名簿!$D40&amp;IF(名簿!$F40="転出","（転出）",""))</f>
        <v/>
      </c>
      <c r="D40" s="149"/>
      <c r="E40" s="61" t="str">
        <f aca="false">IF(OR($C40="",名簿!$F40="転出"),"",IF($C$2="学級ごと",$A40,IF($C$2="前の単元と同じ",単元03!$E40&amp;"",$D40&amp;"")))</f>
        <v/>
      </c>
      <c r="F40" s="150"/>
      <c r="G40" s="150"/>
      <c r="H40" s="150"/>
      <c r="I40" s="151"/>
      <c r="J40" s="41" t="str">
        <f aca="false">IF($E40="","",$E40&amp;"|"&amp;COUNTIF($E$5:$E40,$E40))</f>
        <v/>
      </c>
      <c r="K40" s="40" t="str">
        <f aca="false">IF($I40="","",LEN($I40))</f>
        <v/>
      </c>
      <c r="L40" s="13"/>
      <c r="M40" s="13"/>
      <c r="N40" s="13"/>
      <c r="O40" s="13"/>
      <c r="P40" s="152"/>
      <c r="Q40" s="149"/>
      <c r="R40" s="152"/>
      <c r="S40" s="152"/>
      <c r="T40" s="62" t="str">
        <f aca="false">IF(OR($C40="",R40=""),"",IF(R40/IF($R$2="",100,$R$2)&gt;=設定!$I$28,設定!$G$8,IF(R40/IF($R$2="",100,$R$2)&lt;設定!$I$29,設定!$G$10,設定!$G$9)))</f>
        <v/>
      </c>
      <c r="U40" s="62" t="str">
        <f aca="false">IF(OR($C40="",S40=""),"",IF(S40/IF($S$2="",100,$S$2)&gt;=設定!$I$28,設定!$G$8,IF(S40/IF($S$2="",100,$S$2)&lt;設定!$I$29,設定!$G$10,設定!$G$9)))</f>
        <v/>
      </c>
    </row>
    <row r="41" customFormat="false" ht="21" hidden="false" customHeight="true" outlineLevel="0" collapsed="false">
      <c r="A41" s="91" t="str">
        <f aca="false">IF(名簿!$D41="","",名簿!$B41&amp;"")</f>
        <v/>
      </c>
      <c r="B41" s="91" t="str">
        <f aca="false">IF(名簿!$D41="","",名簿!$C41)</f>
        <v/>
      </c>
      <c r="C41" s="59" t="str">
        <f aca="false">IF(名簿!$D41="","",名簿!$D41&amp;IF(名簿!$F41="転出","（転出）",""))</f>
        <v/>
      </c>
      <c r="D41" s="149"/>
      <c r="E41" s="61" t="str">
        <f aca="false">IF(OR($C41="",名簿!$F41="転出"),"",IF($C$2="学級ごと",$A41,IF($C$2="前の単元と同じ",単元03!$E41&amp;"",$D41&amp;"")))</f>
        <v/>
      </c>
      <c r="F41" s="150"/>
      <c r="G41" s="150"/>
      <c r="H41" s="150"/>
      <c r="I41" s="151"/>
      <c r="J41" s="41" t="str">
        <f aca="false">IF($E41="","",$E41&amp;"|"&amp;COUNTIF($E$5:$E41,$E41))</f>
        <v/>
      </c>
      <c r="K41" s="40" t="str">
        <f aca="false">IF($I41="","",LEN($I41))</f>
        <v/>
      </c>
      <c r="L41" s="13"/>
      <c r="M41" s="13"/>
      <c r="N41" s="13"/>
      <c r="O41" s="13"/>
      <c r="P41" s="152"/>
      <c r="Q41" s="149"/>
      <c r="R41" s="152"/>
      <c r="S41" s="152"/>
      <c r="T41" s="62" t="str">
        <f aca="false">IF(OR($C41="",R41=""),"",IF(R41/IF($R$2="",100,$R$2)&gt;=設定!$I$28,設定!$G$8,IF(R41/IF($R$2="",100,$R$2)&lt;設定!$I$29,設定!$G$10,設定!$G$9)))</f>
        <v/>
      </c>
      <c r="U41" s="62" t="str">
        <f aca="false">IF(OR($C41="",S41=""),"",IF(S41/IF($S$2="",100,$S$2)&gt;=設定!$I$28,設定!$G$8,IF(S41/IF($S$2="",100,$S$2)&lt;設定!$I$29,設定!$G$10,設定!$G$9)))</f>
        <v/>
      </c>
    </row>
    <row r="42" customFormat="false" ht="21" hidden="false" customHeight="true" outlineLevel="0" collapsed="false">
      <c r="A42" s="91" t="str">
        <f aca="false">IF(名簿!$D42="","",名簿!$B42&amp;"")</f>
        <v/>
      </c>
      <c r="B42" s="91" t="str">
        <f aca="false">IF(名簿!$D42="","",名簿!$C42)</f>
        <v/>
      </c>
      <c r="C42" s="59" t="str">
        <f aca="false">IF(名簿!$D42="","",名簿!$D42&amp;IF(名簿!$F42="転出","（転出）",""))</f>
        <v/>
      </c>
      <c r="D42" s="149"/>
      <c r="E42" s="61" t="str">
        <f aca="false">IF(OR($C42="",名簿!$F42="転出"),"",IF($C$2="学級ごと",$A42,IF($C$2="前の単元と同じ",単元03!$E42&amp;"",$D42&amp;"")))</f>
        <v/>
      </c>
      <c r="F42" s="150"/>
      <c r="G42" s="150"/>
      <c r="H42" s="150"/>
      <c r="I42" s="151"/>
      <c r="J42" s="41" t="str">
        <f aca="false">IF($E42="","",$E42&amp;"|"&amp;COUNTIF($E$5:$E42,$E42))</f>
        <v/>
      </c>
      <c r="K42" s="40" t="str">
        <f aca="false">IF($I42="","",LEN($I42))</f>
        <v/>
      </c>
      <c r="L42" s="13"/>
      <c r="M42" s="13"/>
      <c r="N42" s="13"/>
      <c r="O42" s="13"/>
      <c r="P42" s="152"/>
      <c r="Q42" s="149"/>
      <c r="R42" s="152"/>
      <c r="S42" s="152"/>
      <c r="T42" s="62" t="str">
        <f aca="false">IF(OR($C42="",R42=""),"",IF(R42/IF($R$2="",100,$R$2)&gt;=設定!$I$28,設定!$G$8,IF(R42/IF($R$2="",100,$R$2)&lt;設定!$I$29,設定!$G$10,設定!$G$9)))</f>
        <v/>
      </c>
      <c r="U42" s="62" t="str">
        <f aca="false">IF(OR($C42="",S42=""),"",IF(S42/IF($S$2="",100,$S$2)&gt;=設定!$I$28,設定!$G$8,IF(S42/IF($S$2="",100,$S$2)&lt;設定!$I$29,設定!$G$10,設定!$G$9)))</f>
        <v/>
      </c>
    </row>
    <row r="43" customFormat="false" ht="21" hidden="false" customHeight="true" outlineLevel="0" collapsed="false">
      <c r="A43" s="91" t="str">
        <f aca="false">IF(名簿!$D43="","",名簿!$B43&amp;"")</f>
        <v/>
      </c>
      <c r="B43" s="91" t="str">
        <f aca="false">IF(名簿!$D43="","",名簿!$C43)</f>
        <v/>
      </c>
      <c r="C43" s="59" t="str">
        <f aca="false">IF(名簿!$D43="","",名簿!$D43&amp;IF(名簿!$F43="転出","（転出）",""))</f>
        <v/>
      </c>
      <c r="D43" s="149"/>
      <c r="E43" s="61" t="str">
        <f aca="false">IF(OR($C43="",名簿!$F43="転出"),"",IF($C$2="学級ごと",$A43,IF($C$2="前の単元と同じ",単元03!$E43&amp;"",$D43&amp;"")))</f>
        <v/>
      </c>
      <c r="F43" s="150"/>
      <c r="G43" s="150"/>
      <c r="H43" s="150"/>
      <c r="I43" s="151"/>
      <c r="J43" s="41" t="str">
        <f aca="false">IF($E43="","",$E43&amp;"|"&amp;COUNTIF($E$5:$E43,$E43))</f>
        <v/>
      </c>
      <c r="K43" s="40" t="str">
        <f aca="false">IF($I43="","",LEN($I43))</f>
        <v/>
      </c>
      <c r="L43" s="13"/>
      <c r="M43" s="13"/>
      <c r="N43" s="13"/>
      <c r="O43" s="13"/>
      <c r="P43" s="152"/>
      <c r="Q43" s="149"/>
      <c r="R43" s="152"/>
      <c r="S43" s="152"/>
      <c r="T43" s="62" t="str">
        <f aca="false">IF(OR($C43="",R43=""),"",IF(R43/IF($R$2="",100,$R$2)&gt;=設定!$I$28,設定!$G$8,IF(R43/IF($R$2="",100,$R$2)&lt;設定!$I$29,設定!$G$10,設定!$G$9)))</f>
        <v/>
      </c>
      <c r="U43" s="62" t="str">
        <f aca="false">IF(OR($C43="",S43=""),"",IF(S43/IF($S$2="",100,$S$2)&gt;=設定!$I$28,設定!$G$8,IF(S43/IF($S$2="",100,$S$2)&lt;設定!$I$29,設定!$G$10,設定!$G$9)))</f>
        <v/>
      </c>
    </row>
    <row r="44" customFormat="false" ht="21" hidden="false" customHeight="true" outlineLevel="0" collapsed="false">
      <c r="A44" s="91" t="str">
        <f aca="false">IF(名簿!$D44="","",名簿!$B44&amp;"")</f>
        <v/>
      </c>
      <c r="B44" s="91" t="str">
        <f aca="false">IF(名簿!$D44="","",名簿!$C44)</f>
        <v/>
      </c>
      <c r="C44" s="59" t="str">
        <f aca="false">IF(名簿!$D44="","",名簿!$D44&amp;IF(名簿!$F44="転出","（転出）",""))</f>
        <v/>
      </c>
      <c r="D44" s="149"/>
      <c r="E44" s="61" t="str">
        <f aca="false">IF(OR($C44="",名簿!$F44="転出"),"",IF($C$2="学級ごと",$A44,IF($C$2="前の単元と同じ",単元03!$E44&amp;"",$D44&amp;"")))</f>
        <v/>
      </c>
      <c r="F44" s="150"/>
      <c r="G44" s="150"/>
      <c r="H44" s="150"/>
      <c r="I44" s="151"/>
      <c r="J44" s="41" t="str">
        <f aca="false">IF($E44="","",$E44&amp;"|"&amp;COUNTIF($E$5:$E44,$E44))</f>
        <v/>
      </c>
      <c r="K44" s="40" t="str">
        <f aca="false">IF($I44="","",LEN($I44))</f>
        <v/>
      </c>
      <c r="L44" s="13"/>
      <c r="M44" s="13"/>
      <c r="N44" s="13"/>
      <c r="O44" s="13"/>
      <c r="P44" s="152"/>
      <c r="Q44" s="149"/>
      <c r="R44" s="152"/>
      <c r="S44" s="152"/>
      <c r="T44" s="62" t="str">
        <f aca="false">IF(OR($C44="",R44=""),"",IF(R44/IF($R$2="",100,$R$2)&gt;=設定!$I$28,設定!$G$8,IF(R44/IF($R$2="",100,$R$2)&lt;設定!$I$29,設定!$G$10,設定!$G$9)))</f>
        <v/>
      </c>
      <c r="U44" s="62" t="str">
        <f aca="false">IF(OR($C44="",S44=""),"",IF(S44/IF($S$2="",100,$S$2)&gt;=設定!$I$28,設定!$G$8,IF(S44/IF($S$2="",100,$S$2)&lt;設定!$I$29,設定!$G$10,設定!$G$9)))</f>
        <v/>
      </c>
    </row>
    <row r="45" customFormat="false" ht="21" hidden="false" customHeight="true" outlineLevel="0" collapsed="false">
      <c r="A45" s="91" t="str">
        <f aca="false">IF(名簿!$D45="","",名簿!$B45&amp;"")</f>
        <v/>
      </c>
      <c r="B45" s="91" t="str">
        <f aca="false">IF(名簿!$D45="","",名簿!$C45)</f>
        <v/>
      </c>
      <c r="C45" s="59" t="str">
        <f aca="false">IF(名簿!$D45="","",名簿!$D45&amp;IF(名簿!$F45="転出","（転出）",""))</f>
        <v/>
      </c>
      <c r="D45" s="149"/>
      <c r="E45" s="61" t="str">
        <f aca="false">IF(OR($C45="",名簿!$F45="転出"),"",IF($C$2="学級ごと",$A45,IF($C$2="前の単元と同じ",単元03!$E45&amp;"",$D45&amp;"")))</f>
        <v/>
      </c>
      <c r="F45" s="150"/>
      <c r="G45" s="150"/>
      <c r="H45" s="150"/>
      <c r="I45" s="151"/>
      <c r="J45" s="41" t="str">
        <f aca="false">IF($E45="","",$E45&amp;"|"&amp;COUNTIF($E$5:$E45,$E45))</f>
        <v/>
      </c>
      <c r="K45" s="40" t="str">
        <f aca="false">IF($I45="","",LEN($I45))</f>
        <v/>
      </c>
      <c r="L45" s="13"/>
      <c r="M45" s="13"/>
      <c r="N45" s="13"/>
      <c r="O45" s="13"/>
      <c r="P45" s="152"/>
      <c r="Q45" s="149"/>
      <c r="R45" s="152"/>
      <c r="S45" s="152"/>
      <c r="T45" s="62" t="str">
        <f aca="false">IF(OR($C45="",R45=""),"",IF(R45/IF($R$2="",100,$R$2)&gt;=設定!$I$28,設定!$G$8,IF(R45/IF($R$2="",100,$R$2)&lt;設定!$I$29,設定!$G$10,設定!$G$9)))</f>
        <v/>
      </c>
      <c r="U45" s="62" t="str">
        <f aca="false">IF(OR($C45="",S45=""),"",IF(S45/IF($S$2="",100,$S$2)&gt;=設定!$I$28,設定!$G$8,IF(S45/IF($S$2="",100,$S$2)&lt;設定!$I$29,設定!$G$10,設定!$G$9)))</f>
        <v/>
      </c>
    </row>
    <row r="46" customFormat="false" ht="21" hidden="false" customHeight="true" outlineLevel="0" collapsed="false">
      <c r="A46" s="91" t="str">
        <f aca="false">IF(名簿!$D46="","",名簿!$B46&amp;"")</f>
        <v/>
      </c>
      <c r="B46" s="91" t="str">
        <f aca="false">IF(名簿!$D46="","",名簿!$C46)</f>
        <v/>
      </c>
      <c r="C46" s="59" t="str">
        <f aca="false">IF(名簿!$D46="","",名簿!$D46&amp;IF(名簿!$F46="転出","（転出）",""))</f>
        <v/>
      </c>
      <c r="D46" s="149"/>
      <c r="E46" s="61" t="str">
        <f aca="false">IF(OR($C46="",名簿!$F46="転出"),"",IF($C$2="学級ごと",$A46,IF($C$2="前の単元と同じ",単元03!$E46&amp;"",$D46&amp;"")))</f>
        <v/>
      </c>
      <c r="F46" s="150"/>
      <c r="G46" s="150"/>
      <c r="H46" s="150"/>
      <c r="I46" s="151"/>
      <c r="J46" s="41" t="str">
        <f aca="false">IF($E46="","",$E46&amp;"|"&amp;COUNTIF($E$5:$E46,$E46))</f>
        <v/>
      </c>
      <c r="K46" s="40" t="str">
        <f aca="false">IF($I46="","",LEN($I46))</f>
        <v/>
      </c>
      <c r="L46" s="13"/>
      <c r="M46" s="13"/>
      <c r="N46" s="13"/>
      <c r="O46" s="13"/>
      <c r="P46" s="152"/>
      <c r="Q46" s="149"/>
      <c r="R46" s="152"/>
      <c r="S46" s="152"/>
      <c r="T46" s="62" t="str">
        <f aca="false">IF(OR($C46="",R46=""),"",IF(R46/IF($R$2="",100,$R$2)&gt;=設定!$I$28,設定!$G$8,IF(R46/IF($R$2="",100,$R$2)&lt;設定!$I$29,設定!$G$10,設定!$G$9)))</f>
        <v/>
      </c>
      <c r="U46" s="62" t="str">
        <f aca="false">IF(OR($C46="",S46=""),"",IF(S46/IF($S$2="",100,$S$2)&gt;=設定!$I$28,設定!$G$8,IF(S46/IF($S$2="",100,$S$2)&lt;設定!$I$29,設定!$G$10,設定!$G$9)))</f>
        <v/>
      </c>
    </row>
    <row r="47" customFormat="false" ht="21" hidden="false" customHeight="true" outlineLevel="0" collapsed="false">
      <c r="A47" s="91" t="str">
        <f aca="false">IF(名簿!$D47="","",名簿!$B47&amp;"")</f>
        <v/>
      </c>
      <c r="B47" s="91" t="str">
        <f aca="false">IF(名簿!$D47="","",名簿!$C47)</f>
        <v/>
      </c>
      <c r="C47" s="59" t="str">
        <f aca="false">IF(名簿!$D47="","",名簿!$D47&amp;IF(名簿!$F47="転出","（転出）",""))</f>
        <v/>
      </c>
      <c r="D47" s="149"/>
      <c r="E47" s="61" t="str">
        <f aca="false">IF(OR($C47="",名簿!$F47="転出"),"",IF($C$2="学級ごと",$A47,IF($C$2="前の単元と同じ",単元03!$E47&amp;"",$D47&amp;"")))</f>
        <v/>
      </c>
      <c r="F47" s="150"/>
      <c r="G47" s="150"/>
      <c r="H47" s="150"/>
      <c r="I47" s="151"/>
      <c r="J47" s="41" t="str">
        <f aca="false">IF($E47="","",$E47&amp;"|"&amp;COUNTIF($E$5:$E47,$E47))</f>
        <v/>
      </c>
      <c r="K47" s="40" t="str">
        <f aca="false">IF($I47="","",LEN($I47))</f>
        <v/>
      </c>
      <c r="L47" s="13"/>
      <c r="M47" s="13"/>
      <c r="N47" s="13"/>
      <c r="O47" s="13"/>
      <c r="P47" s="152"/>
      <c r="Q47" s="149"/>
      <c r="R47" s="152"/>
      <c r="S47" s="152"/>
      <c r="T47" s="62" t="str">
        <f aca="false">IF(OR($C47="",R47=""),"",IF(R47/IF($R$2="",100,$R$2)&gt;=設定!$I$28,設定!$G$8,IF(R47/IF($R$2="",100,$R$2)&lt;設定!$I$29,設定!$G$10,設定!$G$9)))</f>
        <v/>
      </c>
      <c r="U47" s="62" t="str">
        <f aca="false">IF(OR($C47="",S47=""),"",IF(S47/IF($S$2="",100,$S$2)&gt;=設定!$I$28,設定!$G$8,IF(S47/IF($S$2="",100,$S$2)&lt;設定!$I$29,設定!$G$10,設定!$G$9)))</f>
        <v/>
      </c>
    </row>
    <row r="48" customFormat="false" ht="21" hidden="false" customHeight="true" outlineLevel="0" collapsed="false">
      <c r="A48" s="91" t="str">
        <f aca="false">IF(名簿!$D48="","",名簿!$B48&amp;"")</f>
        <v/>
      </c>
      <c r="B48" s="91" t="str">
        <f aca="false">IF(名簿!$D48="","",名簿!$C48)</f>
        <v/>
      </c>
      <c r="C48" s="59" t="str">
        <f aca="false">IF(名簿!$D48="","",名簿!$D48&amp;IF(名簿!$F48="転出","（転出）",""))</f>
        <v/>
      </c>
      <c r="D48" s="149"/>
      <c r="E48" s="61" t="str">
        <f aca="false">IF(OR($C48="",名簿!$F48="転出"),"",IF($C$2="学級ごと",$A48,IF($C$2="前の単元と同じ",単元03!$E48&amp;"",$D48&amp;"")))</f>
        <v/>
      </c>
      <c r="F48" s="150"/>
      <c r="G48" s="150"/>
      <c r="H48" s="150"/>
      <c r="I48" s="151"/>
      <c r="J48" s="41" t="str">
        <f aca="false">IF($E48="","",$E48&amp;"|"&amp;COUNTIF($E$5:$E48,$E48))</f>
        <v/>
      </c>
      <c r="K48" s="40" t="str">
        <f aca="false">IF($I48="","",LEN($I48))</f>
        <v/>
      </c>
      <c r="L48" s="13"/>
      <c r="M48" s="13"/>
      <c r="N48" s="13"/>
      <c r="O48" s="13"/>
      <c r="P48" s="152"/>
      <c r="Q48" s="149"/>
      <c r="R48" s="152"/>
      <c r="S48" s="152"/>
      <c r="T48" s="62" t="str">
        <f aca="false">IF(OR($C48="",R48=""),"",IF(R48/IF($R$2="",100,$R$2)&gt;=設定!$I$28,設定!$G$8,IF(R48/IF($R$2="",100,$R$2)&lt;設定!$I$29,設定!$G$10,設定!$G$9)))</f>
        <v/>
      </c>
      <c r="U48" s="62" t="str">
        <f aca="false">IF(OR($C48="",S48=""),"",IF(S48/IF($S$2="",100,$S$2)&gt;=設定!$I$28,設定!$G$8,IF(S48/IF($S$2="",100,$S$2)&lt;設定!$I$29,設定!$G$10,設定!$G$9)))</f>
        <v/>
      </c>
    </row>
    <row r="49" customFormat="false" ht="21" hidden="false" customHeight="true" outlineLevel="0" collapsed="false">
      <c r="A49" s="91" t="str">
        <f aca="false">IF(名簿!$D49="","",名簿!$B49&amp;"")</f>
        <v/>
      </c>
      <c r="B49" s="91" t="str">
        <f aca="false">IF(名簿!$D49="","",名簿!$C49)</f>
        <v/>
      </c>
      <c r="C49" s="59" t="str">
        <f aca="false">IF(名簿!$D49="","",名簿!$D49&amp;IF(名簿!$F49="転出","（転出）",""))</f>
        <v/>
      </c>
      <c r="D49" s="149"/>
      <c r="E49" s="61" t="str">
        <f aca="false">IF(OR($C49="",名簿!$F49="転出"),"",IF($C$2="学級ごと",$A49,IF($C$2="前の単元と同じ",単元03!$E49&amp;"",$D49&amp;"")))</f>
        <v/>
      </c>
      <c r="F49" s="150"/>
      <c r="G49" s="150"/>
      <c r="H49" s="150"/>
      <c r="I49" s="151"/>
      <c r="J49" s="41" t="str">
        <f aca="false">IF($E49="","",$E49&amp;"|"&amp;COUNTIF($E$5:$E49,$E49))</f>
        <v/>
      </c>
      <c r="K49" s="40" t="str">
        <f aca="false">IF($I49="","",LEN($I49))</f>
        <v/>
      </c>
      <c r="L49" s="13"/>
      <c r="M49" s="13"/>
      <c r="N49" s="13"/>
      <c r="O49" s="13"/>
      <c r="P49" s="152"/>
      <c r="Q49" s="149"/>
      <c r="R49" s="152"/>
      <c r="S49" s="152"/>
      <c r="T49" s="62" t="str">
        <f aca="false">IF(OR($C49="",R49=""),"",IF(R49/IF($R$2="",100,$R$2)&gt;=設定!$I$28,設定!$G$8,IF(R49/IF($R$2="",100,$R$2)&lt;設定!$I$29,設定!$G$10,設定!$G$9)))</f>
        <v/>
      </c>
      <c r="U49" s="62" t="str">
        <f aca="false">IF(OR($C49="",S49=""),"",IF(S49/IF($S$2="",100,$S$2)&gt;=設定!$I$28,設定!$G$8,IF(S49/IF($S$2="",100,$S$2)&lt;設定!$I$29,設定!$G$10,設定!$G$9)))</f>
        <v/>
      </c>
    </row>
    <row r="50" customFormat="false" ht="21" hidden="false" customHeight="true" outlineLevel="0" collapsed="false">
      <c r="A50" s="91" t="str">
        <f aca="false">IF(名簿!$D50="","",名簿!$B50&amp;"")</f>
        <v/>
      </c>
      <c r="B50" s="91" t="str">
        <f aca="false">IF(名簿!$D50="","",名簿!$C50)</f>
        <v/>
      </c>
      <c r="C50" s="59" t="str">
        <f aca="false">IF(名簿!$D50="","",名簿!$D50&amp;IF(名簿!$F50="転出","（転出）",""))</f>
        <v/>
      </c>
      <c r="D50" s="149"/>
      <c r="E50" s="61" t="str">
        <f aca="false">IF(OR($C50="",名簿!$F50="転出"),"",IF($C$2="学級ごと",$A50,IF($C$2="前の単元と同じ",単元03!$E50&amp;"",$D50&amp;"")))</f>
        <v/>
      </c>
      <c r="F50" s="150"/>
      <c r="G50" s="150"/>
      <c r="H50" s="150"/>
      <c r="I50" s="151"/>
      <c r="J50" s="41" t="str">
        <f aca="false">IF($E50="","",$E50&amp;"|"&amp;COUNTIF($E$5:$E50,$E50))</f>
        <v/>
      </c>
      <c r="K50" s="40" t="str">
        <f aca="false">IF($I50="","",LEN($I50))</f>
        <v/>
      </c>
      <c r="L50" s="13"/>
      <c r="M50" s="13"/>
      <c r="N50" s="13"/>
      <c r="O50" s="13"/>
      <c r="P50" s="152"/>
      <c r="Q50" s="149"/>
      <c r="R50" s="152"/>
      <c r="S50" s="152"/>
      <c r="T50" s="62" t="str">
        <f aca="false">IF(OR($C50="",R50=""),"",IF(R50/IF($R$2="",100,$R$2)&gt;=設定!$I$28,設定!$G$8,IF(R50/IF($R$2="",100,$R$2)&lt;設定!$I$29,設定!$G$10,設定!$G$9)))</f>
        <v/>
      </c>
      <c r="U50" s="62" t="str">
        <f aca="false">IF(OR($C50="",S50=""),"",IF(S50/IF($S$2="",100,$S$2)&gt;=設定!$I$28,設定!$G$8,IF(S50/IF($S$2="",100,$S$2)&lt;設定!$I$29,設定!$G$10,設定!$G$9)))</f>
        <v/>
      </c>
    </row>
    <row r="51" customFormat="false" ht="21" hidden="false" customHeight="true" outlineLevel="0" collapsed="false">
      <c r="A51" s="91" t="str">
        <f aca="false">IF(名簿!$D51="","",名簿!$B51&amp;"")</f>
        <v/>
      </c>
      <c r="B51" s="91" t="str">
        <f aca="false">IF(名簿!$D51="","",名簿!$C51)</f>
        <v/>
      </c>
      <c r="C51" s="59" t="str">
        <f aca="false">IF(名簿!$D51="","",名簿!$D51&amp;IF(名簿!$F51="転出","（転出）",""))</f>
        <v/>
      </c>
      <c r="D51" s="149"/>
      <c r="E51" s="61" t="str">
        <f aca="false">IF(OR($C51="",名簿!$F51="転出"),"",IF($C$2="学級ごと",$A51,IF($C$2="前の単元と同じ",単元03!$E51&amp;"",$D51&amp;"")))</f>
        <v/>
      </c>
      <c r="F51" s="150"/>
      <c r="G51" s="150"/>
      <c r="H51" s="150"/>
      <c r="I51" s="151"/>
      <c r="J51" s="41" t="str">
        <f aca="false">IF($E51="","",$E51&amp;"|"&amp;COUNTIF($E$5:$E51,$E51))</f>
        <v/>
      </c>
      <c r="K51" s="40" t="str">
        <f aca="false">IF($I51="","",LEN($I51))</f>
        <v/>
      </c>
      <c r="L51" s="13"/>
      <c r="M51" s="13"/>
      <c r="N51" s="13"/>
      <c r="O51" s="13"/>
      <c r="P51" s="152"/>
      <c r="Q51" s="149"/>
      <c r="R51" s="152"/>
      <c r="S51" s="152"/>
      <c r="T51" s="62" t="str">
        <f aca="false">IF(OR($C51="",R51=""),"",IF(R51/IF($R$2="",100,$R$2)&gt;=設定!$I$28,設定!$G$8,IF(R51/IF($R$2="",100,$R$2)&lt;設定!$I$29,設定!$G$10,設定!$G$9)))</f>
        <v/>
      </c>
      <c r="U51" s="62" t="str">
        <f aca="false">IF(OR($C51="",S51=""),"",IF(S51/IF($S$2="",100,$S$2)&gt;=設定!$I$28,設定!$G$8,IF(S51/IF($S$2="",100,$S$2)&lt;設定!$I$29,設定!$G$10,設定!$G$9)))</f>
        <v/>
      </c>
    </row>
    <row r="52" customFormat="false" ht="21" hidden="false" customHeight="true" outlineLevel="0" collapsed="false">
      <c r="A52" s="91" t="str">
        <f aca="false">IF(名簿!$D52="","",名簿!$B52&amp;"")</f>
        <v/>
      </c>
      <c r="B52" s="91" t="str">
        <f aca="false">IF(名簿!$D52="","",名簿!$C52)</f>
        <v/>
      </c>
      <c r="C52" s="59" t="str">
        <f aca="false">IF(名簿!$D52="","",名簿!$D52&amp;IF(名簿!$F52="転出","（転出）",""))</f>
        <v/>
      </c>
      <c r="D52" s="149"/>
      <c r="E52" s="61" t="str">
        <f aca="false">IF(OR($C52="",名簿!$F52="転出"),"",IF($C$2="学級ごと",$A52,IF($C$2="前の単元と同じ",単元03!$E52&amp;"",$D52&amp;"")))</f>
        <v/>
      </c>
      <c r="F52" s="150"/>
      <c r="G52" s="150"/>
      <c r="H52" s="150"/>
      <c r="I52" s="151"/>
      <c r="J52" s="41" t="str">
        <f aca="false">IF($E52="","",$E52&amp;"|"&amp;COUNTIF($E$5:$E52,$E52))</f>
        <v/>
      </c>
      <c r="K52" s="40" t="str">
        <f aca="false">IF($I52="","",LEN($I52))</f>
        <v/>
      </c>
      <c r="L52" s="13"/>
      <c r="M52" s="13"/>
      <c r="N52" s="13"/>
      <c r="O52" s="13"/>
      <c r="P52" s="152"/>
      <c r="Q52" s="149"/>
      <c r="R52" s="152"/>
      <c r="S52" s="152"/>
      <c r="T52" s="62" t="str">
        <f aca="false">IF(OR($C52="",R52=""),"",IF(R52/IF($R$2="",100,$R$2)&gt;=設定!$I$28,設定!$G$8,IF(R52/IF($R$2="",100,$R$2)&lt;設定!$I$29,設定!$G$10,設定!$G$9)))</f>
        <v/>
      </c>
      <c r="U52" s="62" t="str">
        <f aca="false">IF(OR($C52="",S52=""),"",IF(S52/IF($S$2="",100,$S$2)&gt;=設定!$I$28,設定!$G$8,IF(S52/IF($S$2="",100,$S$2)&lt;設定!$I$29,設定!$G$10,設定!$G$9)))</f>
        <v/>
      </c>
    </row>
    <row r="53" customFormat="false" ht="21" hidden="false" customHeight="true" outlineLevel="0" collapsed="false">
      <c r="A53" s="91" t="str">
        <f aca="false">IF(名簿!$D53="","",名簿!$B53&amp;"")</f>
        <v/>
      </c>
      <c r="B53" s="91" t="str">
        <f aca="false">IF(名簿!$D53="","",名簿!$C53)</f>
        <v/>
      </c>
      <c r="C53" s="59" t="str">
        <f aca="false">IF(名簿!$D53="","",名簿!$D53&amp;IF(名簿!$F53="転出","（転出）",""))</f>
        <v/>
      </c>
      <c r="D53" s="149"/>
      <c r="E53" s="61" t="str">
        <f aca="false">IF(OR($C53="",名簿!$F53="転出"),"",IF($C$2="学級ごと",$A53,IF($C$2="前の単元と同じ",単元03!$E53&amp;"",$D53&amp;"")))</f>
        <v/>
      </c>
      <c r="F53" s="150"/>
      <c r="G53" s="150"/>
      <c r="H53" s="150"/>
      <c r="I53" s="151"/>
      <c r="J53" s="41" t="str">
        <f aca="false">IF($E53="","",$E53&amp;"|"&amp;COUNTIF($E$5:$E53,$E53))</f>
        <v/>
      </c>
      <c r="K53" s="40" t="str">
        <f aca="false">IF($I53="","",LEN($I53))</f>
        <v/>
      </c>
      <c r="L53" s="13"/>
      <c r="M53" s="13"/>
      <c r="N53" s="13"/>
      <c r="O53" s="13"/>
      <c r="P53" s="152"/>
      <c r="Q53" s="149"/>
      <c r="R53" s="152"/>
      <c r="S53" s="152"/>
      <c r="T53" s="62" t="str">
        <f aca="false">IF(OR($C53="",R53=""),"",IF(R53/IF($R$2="",100,$R$2)&gt;=設定!$I$28,設定!$G$8,IF(R53/IF($R$2="",100,$R$2)&lt;設定!$I$29,設定!$G$10,設定!$G$9)))</f>
        <v/>
      </c>
      <c r="U53" s="62" t="str">
        <f aca="false">IF(OR($C53="",S53=""),"",IF(S53/IF($S$2="",100,$S$2)&gt;=設定!$I$28,設定!$G$8,IF(S53/IF($S$2="",100,$S$2)&lt;設定!$I$29,設定!$G$10,設定!$G$9)))</f>
        <v/>
      </c>
    </row>
    <row r="54" customFormat="false" ht="21" hidden="false" customHeight="true" outlineLevel="0" collapsed="false">
      <c r="A54" s="91" t="str">
        <f aca="false">IF(名簿!$D54="","",名簿!$B54&amp;"")</f>
        <v/>
      </c>
      <c r="B54" s="91" t="str">
        <f aca="false">IF(名簿!$D54="","",名簿!$C54)</f>
        <v/>
      </c>
      <c r="C54" s="59" t="str">
        <f aca="false">IF(名簿!$D54="","",名簿!$D54&amp;IF(名簿!$F54="転出","（転出）",""))</f>
        <v/>
      </c>
      <c r="D54" s="149"/>
      <c r="E54" s="61" t="str">
        <f aca="false">IF(OR($C54="",名簿!$F54="転出"),"",IF($C$2="学級ごと",$A54,IF($C$2="前の単元と同じ",単元03!$E54&amp;"",$D54&amp;"")))</f>
        <v/>
      </c>
      <c r="F54" s="150"/>
      <c r="G54" s="150"/>
      <c r="H54" s="150"/>
      <c r="I54" s="151"/>
      <c r="J54" s="41" t="str">
        <f aca="false">IF($E54="","",$E54&amp;"|"&amp;COUNTIF($E$5:$E54,$E54))</f>
        <v/>
      </c>
      <c r="K54" s="40" t="str">
        <f aca="false">IF($I54="","",LEN($I54))</f>
        <v/>
      </c>
      <c r="L54" s="13"/>
      <c r="M54" s="13"/>
      <c r="N54" s="13"/>
      <c r="O54" s="13"/>
      <c r="P54" s="152"/>
      <c r="Q54" s="149"/>
      <c r="R54" s="152"/>
      <c r="S54" s="152"/>
      <c r="T54" s="62" t="str">
        <f aca="false">IF(OR($C54="",R54=""),"",IF(R54/IF($R$2="",100,$R$2)&gt;=設定!$I$28,設定!$G$8,IF(R54/IF($R$2="",100,$R$2)&lt;設定!$I$29,設定!$G$10,設定!$G$9)))</f>
        <v/>
      </c>
      <c r="U54" s="62" t="str">
        <f aca="false">IF(OR($C54="",S54=""),"",IF(S54/IF($S$2="",100,$S$2)&gt;=設定!$I$28,設定!$G$8,IF(S54/IF($S$2="",100,$S$2)&lt;設定!$I$29,設定!$G$10,設定!$G$9)))</f>
        <v/>
      </c>
    </row>
    <row r="55" customFormat="false" ht="21" hidden="false" customHeight="true" outlineLevel="0" collapsed="false">
      <c r="A55" s="91" t="str">
        <f aca="false">IF(名簿!$D55="","",名簿!$B55&amp;"")</f>
        <v/>
      </c>
      <c r="B55" s="91" t="str">
        <f aca="false">IF(名簿!$D55="","",名簿!$C55)</f>
        <v/>
      </c>
      <c r="C55" s="59" t="str">
        <f aca="false">IF(名簿!$D55="","",名簿!$D55&amp;IF(名簿!$F55="転出","（転出）",""))</f>
        <v/>
      </c>
      <c r="D55" s="149"/>
      <c r="E55" s="61" t="str">
        <f aca="false">IF(OR($C55="",名簿!$F55="転出"),"",IF($C$2="学級ごと",$A55,IF($C$2="前の単元と同じ",単元03!$E55&amp;"",$D55&amp;"")))</f>
        <v/>
      </c>
      <c r="F55" s="150"/>
      <c r="G55" s="150"/>
      <c r="H55" s="150"/>
      <c r="I55" s="151"/>
      <c r="J55" s="41" t="str">
        <f aca="false">IF($E55="","",$E55&amp;"|"&amp;COUNTIF($E$5:$E55,$E55))</f>
        <v/>
      </c>
      <c r="K55" s="40" t="str">
        <f aca="false">IF($I55="","",LEN($I55))</f>
        <v/>
      </c>
      <c r="L55" s="13"/>
      <c r="M55" s="13"/>
      <c r="N55" s="13"/>
      <c r="O55" s="13"/>
      <c r="P55" s="152"/>
      <c r="Q55" s="149"/>
      <c r="R55" s="152"/>
      <c r="S55" s="152"/>
      <c r="T55" s="62" t="str">
        <f aca="false">IF(OR($C55="",R55=""),"",IF(R55/IF($R$2="",100,$R$2)&gt;=設定!$I$28,設定!$G$8,IF(R55/IF($R$2="",100,$R$2)&lt;設定!$I$29,設定!$G$10,設定!$G$9)))</f>
        <v/>
      </c>
      <c r="U55" s="62" t="str">
        <f aca="false">IF(OR($C55="",S55=""),"",IF(S55/IF($S$2="",100,$S$2)&gt;=設定!$I$28,設定!$G$8,IF(S55/IF($S$2="",100,$S$2)&lt;設定!$I$29,設定!$G$10,設定!$G$9)))</f>
        <v/>
      </c>
    </row>
    <row r="56" customFormat="false" ht="21" hidden="false" customHeight="true" outlineLevel="0" collapsed="false">
      <c r="A56" s="91" t="str">
        <f aca="false">IF(名簿!$D56="","",名簿!$B56&amp;"")</f>
        <v/>
      </c>
      <c r="B56" s="91" t="str">
        <f aca="false">IF(名簿!$D56="","",名簿!$C56)</f>
        <v/>
      </c>
      <c r="C56" s="59" t="str">
        <f aca="false">IF(名簿!$D56="","",名簿!$D56&amp;IF(名簿!$F56="転出","（転出）",""))</f>
        <v/>
      </c>
      <c r="D56" s="149"/>
      <c r="E56" s="61" t="str">
        <f aca="false">IF(OR($C56="",名簿!$F56="転出"),"",IF($C$2="学級ごと",$A56,IF($C$2="前の単元と同じ",単元03!$E56&amp;"",$D56&amp;"")))</f>
        <v/>
      </c>
      <c r="F56" s="150"/>
      <c r="G56" s="150"/>
      <c r="H56" s="150"/>
      <c r="I56" s="151"/>
      <c r="J56" s="41" t="str">
        <f aca="false">IF($E56="","",$E56&amp;"|"&amp;COUNTIF($E$5:$E56,$E56))</f>
        <v/>
      </c>
      <c r="K56" s="40" t="str">
        <f aca="false">IF($I56="","",LEN($I56))</f>
        <v/>
      </c>
      <c r="L56" s="13"/>
      <c r="M56" s="13"/>
      <c r="N56" s="13"/>
      <c r="O56" s="13"/>
      <c r="P56" s="152"/>
      <c r="Q56" s="149"/>
      <c r="R56" s="152"/>
      <c r="S56" s="152"/>
      <c r="T56" s="62" t="str">
        <f aca="false">IF(OR($C56="",R56=""),"",IF(R56/IF($R$2="",100,$R$2)&gt;=設定!$I$28,設定!$G$8,IF(R56/IF($R$2="",100,$R$2)&lt;設定!$I$29,設定!$G$10,設定!$G$9)))</f>
        <v/>
      </c>
      <c r="U56" s="62" t="str">
        <f aca="false">IF(OR($C56="",S56=""),"",IF(S56/IF($S$2="",100,$S$2)&gt;=設定!$I$28,設定!$G$8,IF(S56/IF($S$2="",100,$S$2)&lt;設定!$I$29,設定!$G$10,設定!$G$9)))</f>
        <v/>
      </c>
    </row>
    <row r="57" customFormat="false" ht="21" hidden="false" customHeight="true" outlineLevel="0" collapsed="false">
      <c r="A57" s="91" t="str">
        <f aca="false">IF(名簿!$D57="","",名簿!$B57&amp;"")</f>
        <v/>
      </c>
      <c r="B57" s="91" t="str">
        <f aca="false">IF(名簿!$D57="","",名簿!$C57)</f>
        <v/>
      </c>
      <c r="C57" s="59" t="str">
        <f aca="false">IF(名簿!$D57="","",名簿!$D57&amp;IF(名簿!$F57="転出","（転出）",""))</f>
        <v/>
      </c>
      <c r="D57" s="149"/>
      <c r="E57" s="61" t="str">
        <f aca="false">IF(OR($C57="",名簿!$F57="転出"),"",IF($C$2="学級ごと",$A57,IF($C$2="前の単元と同じ",単元03!$E57&amp;"",$D57&amp;"")))</f>
        <v/>
      </c>
      <c r="F57" s="150"/>
      <c r="G57" s="150"/>
      <c r="H57" s="150"/>
      <c r="I57" s="151"/>
      <c r="J57" s="41" t="str">
        <f aca="false">IF($E57="","",$E57&amp;"|"&amp;COUNTIF($E$5:$E57,$E57))</f>
        <v/>
      </c>
      <c r="K57" s="40" t="str">
        <f aca="false">IF($I57="","",LEN($I57))</f>
        <v/>
      </c>
      <c r="L57" s="13"/>
      <c r="M57" s="13"/>
      <c r="N57" s="13"/>
      <c r="O57" s="13"/>
      <c r="P57" s="152"/>
      <c r="Q57" s="149"/>
      <c r="R57" s="152"/>
      <c r="S57" s="152"/>
      <c r="T57" s="62" t="str">
        <f aca="false">IF(OR($C57="",R57=""),"",IF(R57/IF($R$2="",100,$R$2)&gt;=設定!$I$28,設定!$G$8,IF(R57/IF($R$2="",100,$R$2)&lt;設定!$I$29,設定!$G$10,設定!$G$9)))</f>
        <v/>
      </c>
      <c r="U57" s="62" t="str">
        <f aca="false">IF(OR($C57="",S57=""),"",IF(S57/IF($S$2="",100,$S$2)&gt;=設定!$I$28,設定!$G$8,IF(S57/IF($S$2="",100,$S$2)&lt;設定!$I$29,設定!$G$10,設定!$G$9)))</f>
        <v/>
      </c>
    </row>
    <row r="58" customFormat="false" ht="21" hidden="false" customHeight="true" outlineLevel="0" collapsed="false">
      <c r="A58" s="91" t="str">
        <f aca="false">IF(名簿!$D58="","",名簿!$B58&amp;"")</f>
        <v/>
      </c>
      <c r="B58" s="91" t="str">
        <f aca="false">IF(名簿!$D58="","",名簿!$C58)</f>
        <v/>
      </c>
      <c r="C58" s="59" t="str">
        <f aca="false">IF(名簿!$D58="","",名簿!$D58&amp;IF(名簿!$F58="転出","（転出）",""))</f>
        <v/>
      </c>
      <c r="D58" s="149"/>
      <c r="E58" s="61" t="str">
        <f aca="false">IF(OR($C58="",名簿!$F58="転出"),"",IF($C$2="学級ごと",$A58,IF($C$2="前の単元と同じ",単元03!$E58&amp;"",$D58&amp;"")))</f>
        <v/>
      </c>
      <c r="F58" s="150"/>
      <c r="G58" s="150"/>
      <c r="H58" s="150"/>
      <c r="I58" s="151"/>
      <c r="J58" s="41" t="str">
        <f aca="false">IF($E58="","",$E58&amp;"|"&amp;COUNTIF($E$5:$E58,$E58))</f>
        <v/>
      </c>
      <c r="K58" s="40" t="str">
        <f aca="false">IF($I58="","",LEN($I58))</f>
        <v/>
      </c>
      <c r="L58" s="13"/>
      <c r="M58" s="13"/>
      <c r="N58" s="13"/>
      <c r="O58" s="13"/>
      <c r="P58" s="152"/>
      <c r="Q58" s="149"/>
      <c r="R58" s="152"/>
      <c r="S58" s="152"/>
      <c r="T58" s="62" t="str">
        <f aca="false">IF(OR($C58="",R58=""),"",IF(R58/IF($R$2="",100,$R$2)&gt;=設定!$I$28,設定!$G$8,IF(R58/IF($R$2="",100,$R$2)&lt;設定!$I$29,設定!$G$10,設定!$G$9)))</f>
        <v/>
      </c>
      <c r="U58" s="62" t="str">
        <f aca="false">IF(OR($C58="",S58=""),"",IF(S58/IF($S$2="",100,$S$2)&gt;=設定!$I$28,設定!$G$8,IF(S58/IF($S$2="",100,$S$2)&lt;設定!$I$29,設定!$G$10,設定!$G$9)))</f>
        <v/>
      </c>
    </row>
    <row r="59" customFormat="false" ht="21" hidden="false" customHeight="true" outlineLevel="0" collapsed="false">
      <c r="A59" s="91" t="str">
        <f aca="false">IF(名簿!$D59="","",名簿!$B59&amp;"")</f>
        <v/>
      </c>
      <c r="B59" s="91" t="str">
        <f aca="false">IF(名簿!$D59="","",名簿!$C59)</f>
        <v/>
      </c>
      <c r="C59" s="59" t="str">
        <f aca="false">IF(名簿!$D59="","",名簿!$D59&amp;IF(名簿!$F59="転出","（転出）",""))</f>
        <v/>
      </c>
      <c r="D59" s="149"/>
      <c r="E59" s="61" t="str">
        <f aca="false">IF(OR($C59="",名簿!$F59="転出"),"",IF($C$2="学級ごと",$A59,IF($C$2="前の単元と同じ",単元03!$E59&amp;"",$D59&amp;"")))</f>
        <v/>
      </c>
      <c r="F59" s="150"/>
      <c r="G59" s="150"/>
      <c r="H59" s="150"/>
      <c r="I59" s="151"/>
      <c r="J59" s="41" t="str">
        <f aca="false">IF($E59="","",$E59&amp;"|"&amp;COUNTIF($E$5:$E59,$E59))</f>
        <v/>
      </c>
      <c r="K59" s="40" t="str">
        <f aca="false">IF($I59="","",LEN($I59))</f>
        <v/>
      </c>
      <c r="L59" s="13"/>
      <c r="M59" s="13"/>
      <c r="N59" s="13"/>
      <c r="O59" s="13"/>
      <c r="P59" s="152"/>
      <c r="Q59" s="149"/>
      <c r="R59" s="152"/>
      <c r="S59" s="152"/>
      <c r="T59" s="62" t="str">
        <f aca="false">IF(OR($C59="",R59=""),"",IF(R59/IF($R$2="",100,$R$2)&gt;=設定!$I$28,設定!$G$8,IF(R59/IF($R$2="",100,$R$2)&lt;設定!$I$29,設定!$G$10,設定!$G$9)))</f>
        <v/>
      </c>
      <c r="U59" s="62" t="str">
        <f aca="false">IF(OR($C59="",S59=""),"",IF(S59/IF($S$2="",100,$S$2)&gt;=設定!$I$28,設定!$G$8,IF(S59/IF($S$2="",100,$S$2)&lt;設定!$I$29,設定!$G$10,設定!$G$9)))</f>
        <v/>
      </c>
    </row>
    <row r="60" customFormat="false" ht="21" hidden="false" customHeight="true" outlineLevel="0" collapsed="false">
      <c r="A60" s="91" t="str">
        <f aca="false">IF(名簿!$D60="","",名簿!$B60&amp;"")</f>
        <v/>
      </c>
      <c r="B60" s="91" t="str">
        <f aca="false">IF(名簿!$D60="","",名簿!$C60)</f>
        <v/>
      </c>
      <c r="C60" s="59" t="str">
        <f aca="false">IF(名簿!$D60="","",名簿!$D60&amp;IF(名簿!$F60="転出","（転出）",""))</f>
        <v/>
      </c>
      <c r="D60" s="149"/>
      <c r="E60" s="61" t="str">
        <f aca="false">IF(OR($C60="",名簿!$F60="転出"),"",IF($C$2="学級ごと",$A60,IF($C$2="前の単元と同じ",単元03!$E60&amp;"",$D60&amp;"")))</f>
        <v/>
      </c>
      <c r="F60" s="150"/>
      <c r="G60" s="150"/>
      <c r="H60" s="150"/>
      <c r="I60" s="151"/>
      <c r="J60" s="41" t="str">
        <f aca="false">IF($E60="","",$E60&amp;"|"&amp;COUNTIF($E$5:$E60,$E60))</f>
        <v/>
      </c>
      <c r="K60" s="40" t="str">
        <f aca="false">IF($I60="","",LEN($I60))</f>
        <v/>
      </c>
      <c r="L60" s="13"/>
      <c r="M60" s="13"/>
      <c r="N60" s="13"/>
      <c r="O60" s="13"/>
      <c r="P60" s="152"/>
      <c r="Q60" s="149"/>
      <c r="R60" s="152"/>
      <c r="S60" s="152"/>
      <c r="T60" s="62" t="str">
        <f aca="false">IF(OR($C60="",R60=""),"",IF(R60/IF($R$2="",100,$R$2)&gt;=設定!$I$28,設定!$G$8,IF(R60/IF($R$2="",100,$R$2)&lt;設定!$I$29,設定!$G$10,設定!$G$9)))</f>
        <v/>
      </c>
      <c r="U60" s="62" t="str">
        <f aca="false">IF(OR($C60="",S60=""),"",IF(S60/IF($S$2="",100,$S$2)&gt;=設定!$I$28,設定!$G$8,IF(S60/IF($S$2="",100,$S$2)&lt;設定!$I$29,設定!$G$10,設定!$G$9)))</f>
        <v/>
      </c>
    </row>
    <row r="61" customFormat="false" ht="21" hidden="false" customHeight="true" outlineLevel="0" collapsed="false">
      <c r="A61" s="91" t="str">
        <f aca="false">IF(名簿!$D61="","",名簿!$B61&amp;"")</f>
        <v/>
      </c>
      <c r="B61" s="91" t="str">
        <f aca="false">IF(名簿!$D61="","",名簿!$C61)</f>
        <v/>
      </c>
      <c r="C61" s="59" t="str">
        <f aca="false">IF(名簿!$D61="","",名簿!$D61&amp;IF(名簿!$F61="転出","（転出）",""))</f>
        <v/>
      </c>
      <c r="D61" s="149"/>
      <c r="E61" s="61" t="str">
        <f aca="false">IF(OR($C61="",名簿!$F61="転出"),"",IF($C$2="学級ごと",$A61,IF($C$2="前の単元と同じ",単元03!$E61&amp;"",$D61&amp;"")))</f>
        <v/>
      </c>
      <c r="F61" s="150"/>
      <c r="G61" s="150"/>
      <c r="H61" s="150"/>
      <c r="I61" s="151"/>
      <c r="J61" s="41" t="str">
        <f aca="false">IF($E61="","",$E61&amp;"|"&amp;COUNTIF($E$5:$E61,$E61))</f>
        <v/>
      </c>
      <c r="K61" s="40" t="str">
        <f aca="false">IF($I61="","",LEN($I61))</f>
        <v/>
      </c>
      <c r="L61" s="13"/>
      <c r="M61" s="13"/>
      <c r="N61" s="13"/>
      <c r="O61" s="13"/>
      <c r="P61" s="152"/>
      <c r="Q61" s="149"/>
      <c r="R61" s="152"/>
      <c r="S61" s="152"/>
      <c r="T61" s="62" t="str">
        <f aca="false">IF(OR($C61="",R61=""),"",IF(R61/IF($R$2="",100,$R$2)&gt;=設定!$I$28,設定!$G$8,IF(R61/IF($R$2="",100,$R$2)&lt;設定!$I$29,設定!$G$10,設定!$G$9)))</f>
        <v/>
      </c>
      <c r="U61" s="62" t="str">
        <f aca="false">IF(OR($C61="",S61=""),"",IF(S61/IF($S$2="",100,$S$2)&gt;=設定!$I$28,設定!$G$8,IF(S61/IF($S$2="",100,$S$2)&lt;設定!$I$29,設定!$G$10,設定!$G$9)))</f>
        <v/>
      </c>
    </row>
    <row r="62" customFormat="false" ht="21" hidden="false" customHeight="true" outlineLevel="0" collapsed="false">
      <c r="A62" s="91" t="str">
        <f aca="false">IF(名簿!$D62="","",名簿!$B62&amp;"")</f>
        <v/>
      </c>
      <c r="B62" s="91" t="str">
        <f aca="false">IF(名簿!$D62="","",名簿!$C62)</f>
        <v/>
      </c>
      <c r="C62" s="59" t="str">
        <f aca="false">IF(名簿!$D62="","",名簿!$D62&amp;IF(名簿!$F62="転出","（転出）",""))</f>
        <v/>
      </c>
      <c r="D62" s="149"/>
      <c r="E62" s="61" t="str">
        <f aca="false">IF(OR($C62="",名簿!$F62="転出"),"",IF($C$2="学級ごと",$A62,IF($C$2="前の単元と同じ",単元03!$E62&amp;"",$D62&amp;"")))</f>
        <v/>
      </c>
      <c r="F62" s="150"/>
      <c r="G62" s="150"/>
      <c r="H62" s="150"/>
      <c r="I62" s="151"/>
      <c r="J62" s="41" t="str">
        <f aca="false">IF($E62="","",$E62&amp;"|"&amp;COUNTIF($E$5:$E62,$E62))</f>
        <v/>
      </c>
      <c r="K62" s="40" t="str">
        <f aca="false">IF($I62="","",LEN($I62))</f>
        <v/>
      </c>
      <c r="L62" s="13"/>
      <c r="M62" s="13"/>
      <c r="N62" s="13"/>
      <c r="O62" s="13"/>
      <c r="P62" s="152"/>
      <c r="Q62" s="149"/>
      <c r="R62" s="152"/>
      <c r="S62" s="152"/>
      <c r="T62" s="62" t="str">
        <f aca="false">IF(OR($C62="",R62=""),"",IF(R62/IF($R$2="",100,$R$2)&gt;=設定!$I$28,設定!$G$8,IF(R62/IF($R$2="",100,$R$2)&lt;設定!$I$29,設定!$G$10,設定!$G$9)))</f>
        <v/>
      </c>
      <c r="U62" s="62" t="str">
        <f aca="false">IF(OR($C62="",S62=""),"",IF(S62/IF($S$2="",100,$S$2)&gt;=設定!$I$28,設定!$G$8,IF(S62/IF($S$2="",100,$S$2)&lt;設定!$I$29,設定!$G$10,設定!$G$9)))</f>
        <v/>
      </c>
    </row>
    <row r="63" customFormat="false" ht="21" hidden="false" customHeight="true" outlineLevel="0" collapsed="false">
      <c r="A63" s="91" t="str">
        <f aca="false">IF(名簿!$D63="","",名簿!$B63&amp;"")</f>
        <v/>
      </c>
      <c r="B63" s="91" t="str">
        <f aca="false">IF(名簿!$D63="","",名簿!$C63)</f>
        <v/>
      </c>
      <c r="C63" s="59" t="str">
        <f aca="false">IF(名簿!$D63="","",名簿!$D63&amp;IF(名簿!$F63="転出","（転出）",""))</f>
        <v/>
      </c>
      <c r="D63" s="149"/>
      <c r="E63" s="61" t="str">
        <f aca="false">IF(OR($C63="",名簿!$F63="転出"),"",IF($C$2="学級ごと",$A63,IF($C$2="前の単元と同じ",単元03!$E63&amp;"",$D63&amp;"")))</f>
        <v/>
      </c>
      <c r="F63" s="150"/>
      <c r="G63" s="150"/>
      <c r="H63" s="150"/>
      <c r="I63" s="151"/>
      <c r="J63" s="41" t="str">
        <f aca="false">IF($E63="","",$E63&amp;"|"&amp;COUNTIF($E$5:$E63,$E63))</f>
        <v/>
      </c>
      <c r="K63" s="40" t="str">
        <f aca="false">IF($I63="","",LEN($I63))</f>
        <v/>
      </c>
      <c r="L63" s="13"/>
      <c r="M63" s="13"/>
      <c r="N63" s="13"/>
      <c r="O63" s="13"/>
      <c r="P63" s="152"/>
      <c r="Q63" s="149"/>
      <c r="R63" s="152"/>
      <c r="S63" s="152"/>
      <c r="T63" s="62" t="str">
        <f aca="false">IF(OR($C63="",R63=""),"",IF(R63/IF($R$2="",100,$R$2)&gt;=設定!$I$28,設定!$G$8,IF(R63/IF($R$2="",100,$R$2)&lt;設定!$I$29,設定!$G$10,設定!$G$9)))</f>
        <v/>
      </c>
      <c r="U63" s="62" t="str">
        <f aca="false">IF(OR($C63="",S63=""),"",IF(S63/IF($S$2="",100,$S$2)&gt;=設定!$I$28,設定!$G$8,IF(S63/IF($S$2="",100,$S$2)&lt;設定!$I$29,設定!$G$10,設定!$G$9)))</f>
        <v/>
      </c>
    </row>
    <row r="64" customFormat="false" ht="21" hidden="false" customHeight="true" outlineLevel="0" collapsed="false">
      <c r="A64" s="91" t="str">
        <f aca="false">IF(名簿!$D64="","",名簿!$B64&amp;"")</f>
        <v/>
      </c>
      <c r="B64" s="91" t="str">
        <f aca="false">IF(名簿!$D64="","",名簿!$C64)</f>
        <v/>
      </c>
      <c r="C64" s="59" t="str">
        <f aca="false">IF(名簿!$D64="","",名簿!$D64&amp;IF(名簿!$F64="転出","（転出）",""))</f>
        <v/>
      </c>
      <c r="D64" s="149"/>
      <c r="E64" s="61" t="str">
        <f aca="false">IF(OR($C64="",名簿!$F64="転出"),"",IF($C$2="学級ごと",$A64,IF($C$2="前の単元と同じ",単元03!$E64&amp;"",$D64&amp;"")))</f>
        <v/>
      </c>
      <c r="F64" s="150"/>
      <c r="G64" s="150"/>
      <c r="H64" s="150"/>
      <c r="I64" s="151"/>
      <c r="J64" s="41" t="str">
        <f aca="false">IF($E64="","",$E64&amp;"|"&amp;COUNTIF($E$5:$E64,$E64))</f>
        <v/>
      </c>
      <c r="K64" s="40" t="str">
        <f aca="false">IF($I64="","",LEN($I64))</f>
        <v/>
      </c>
      <c r="L64" s="13"/>
      <c r="M64" s="13"/>
      <c r="N64" s="13"/>
      <c r="O64" s="13"/>
      <c r="P64" s="152"/>
      <c r="Q64" s="149"/>
      <c r="R64" s="152"/>
      <c r="S64" s="152"/>
      <c r="T64" s="62" t="str">
        <f aca="false">IF(OR($C64="",R64=""),"",IF(R64/IF($R$2="",100,$R$2)&gt;=設定!$I$28,設定!$G$8,IF(R64/IF($R$2="",100,$R$2)&lt;設定!$I$29,設定!$G$10,設定!$G$9)))</f>
        <v/>
      </c>
      <c r="U64" s="62" t="str">
        <f aca="false">IF(OR($C64="",S64=""),"",IF(S64/IF($S$2="",100,$S$2)&gt;=設定!$I$28,設定!$G$8,IF(S64/IF($S$2="",100,$S$2)&lt;設定!$I$29,設定!$G$10,設定!$G$9)))</f>
        <v/>
      </c>
    </row>
    <row r="65" customFormat="false" ht="21" hidden="false" customHeight="true" outlineLevel="0" collapsed="false">
      <c r="A65" s="91" t="str">
        <f aca="false">IF(名簿!$D65="","",名簿!$B65&amp;"")</f>
        <v/>
      </c>
      <c r="B65" s="91" t="str">
        <f aca="false">IF(名簿!$D65="","",名簿!$C65)</f>
        <v/>
      </c>
      <c r="C65" s="59" t="str">
        <f aca="false">IF(名簿!$D65="","",名簿!$D65&amp;IF(名簿!$F65="転出","（転出）",""))</f>
        <v/>
      </c>
      <c r="D65" s="149"/>
      <c r="E65" s="61" t="str">
        <f aca="false">IF(OR($C65="",名簿!$F65="転出"),"",IF($C$2="学級ごと",$A65,IF($C$2="前の単元と同じ",単元03!$E65&amp;"",$D65&amp;"")))</f>
        <v/>
      </c>
      <c r="F65" s="150"/>
      <c r="G65" s="150"/>
      <c r="H65" s="150"/>
      <c r="I65" s="151"/>
      <c r="J65" s="41" t="str">
        <f aca="false">IF($E65="","",$E65&amp;"|"&amp;COUNTIF($E$5:$E65,$E65))</f>
        <v/>
      </c>
      <c r="K65" s="40" t="str">
        <f aca="false">IF($I65="","",LEN($I65))</f>
        <v/>
      </c>
      <c r="L65" s="13"/>
      <c r="M65" s="13"/>
      <c r="N65" s="13"/>
      <c r="O65" s="13"/>
      <c r="P65" s="152"/>
      <c r="Q65" s="149"/>
      <c r="R65" s="152"/>
      <c r="S65" s="152"/>
      <c r="T65" s="62" t="str">
        <f aca="false">IF(OR($C65="",R65=""),"",IF(R65/IF($R$2="",100,$R$2)&gt;=設定!$I$28,設定!$G$8,IF(R65/IF($R$2="",100,$R$2)&lt;設定!$I$29,設定!$G$10,設定!$G$9)))</f>
        <v/>
      </c>
      <c r="U65" s="62" t="str">
        <f aca="false">IF(OR($C65="",S65=""),"",IF(S65/IF($S$2="",100,$S$2)&gt;=設定!$I$28,設定!$G$8,IF(S65/IF($S$2="",100,$S$2)&lt;設定!$I$29,設定!$G$10,設定!$G$9)))</f>
        <v/>
      </c>
    </row>
    <row r="66" customFormat="false" ht="21" hidden="false" customHeight="true" outlineLevel="0" collapsed="false">
      <c r="A66" s="91" t="str">
        <f aca="false">IF(名簿!$D66="","",名簿!$B66&amp;"")</f>
        <v/>
      </c>
      <c r="B66" s="91" t="str">
        <f aca="false">IF(名簿!$D66="","",名簿!$C66)</f>
        <v/>
      </c>
      <c r="C66" s="59" t="str">
        <f aca="false">IF(名簿!$D66="","",名簿!$D66&amp;IF(名簿!$F66="転出","（転出）",""))</f>
        <v/>
      </c>
      <c r="D66" s="149"/>
      <c r="E66" s="61" t="str">
        <f aca="false">IF(OR($C66="",名簿!$F66="転出"),"",IF($C$2="学級ごと",$A66,IF($C$2="前の単元と同じ",単元03!$E66&amp;"",$D66&amp;"")))</f>
        <v/>
      </c>
      <c r="F66" s="150"/>
      <c r="G66" s="150"/>
      <c r="H66" s="150"/>
      <c r="I66" s="151"/>
      <c r="J66" s="41" t="str">
        <f aca="false">IF($E66="","",$E66&amp;"|"&amp;COUNTIF($E$5:$E66,$E66))</f>
        <v/>
      </c>
      <c r="K66" s="40" t="str">
        <f aca="false">IF($I66="","",LEN($I66))</f>
        <v/>
      </c>
      <c r="L66" s="13"/>
      <c r="M66" s="13"/>
      <c r="N66" s="13"/>
      <c r="O66" s="13"/>
      <c r="P66" s="152"/>
      <c r="Q66" s="149"/>
      <c r="R66" s="152"/>
      <c r="S66" s="152"/>
      <c r="T66" s="62" t="str">
        <f aca="false">IF(OR($C66="",R66=""),"",IF(R66/IF($R$2="",100,$R$2)&gt;=設定!$I$28,設定!$G$8,IF(R66/IF($R$2="",100,$R$2)&lt;設定!$I$29,設定!$G$10,設定!$G$9)))</f>
        <v/>
      </c>
      <c r="U66" s="62" t="str">
        <f aca="false">IF(OR($C66="",S66=""),"",IF(S66/IF($S$2="",100,$S$2)&gt;=設定!$I$28,設定!$G$8,IF(S66/IF($S$2="",100,$S$2)&lt;設定!$I$29,設定!$G$10,設定!$G$9)))</f>
        <v/>
      </c>
    </row>
    <row r="67" customFormat="false" ht="21" hidden="false" customHeight="true" outlineLevel="0" collapsed="false">
      <c r="A67" s="91" t="str">
        <f aca="false">IF(名簿!$D67="","",名簿!$B67&amp;"")</f>
        <v/>
      </c>
      <c r="B67" s="91" t="str">
        <f aca="false">IF(名簿!$D67="","",名簿!$C67)</f>
        <v/>
      </c>
      <c r="C67" s="59" t="str">
        <f aca="false">IF(名簿!$D67="","",名簿!$D67&amp;IF(名簿!$F67="転出","（転出）",""))</f>
        <v/>
      </c>
      <c r="D67" s="149"/>
      <c r="E67" s="61" t="str">
        <f aca="false">IF(OR($C67="",名簿!$F67="転出"),"",IF($C$2="学級ごと",$A67,IF($C$2="前の単元と同じ",単元03!$E67&amp;"",$D67&amp;"")))</f>
        <v/>
      </c>
      <c r="F67" s="150"/>
      <c r="G67" s="150"/>
      <c r="H67" s="150"/>
      <c r="I67" s="151"/>
      <c r="J67" s="41" t="str">
        <f aca="false">IF($E67="","",$E67&amp;"|"&amp;COUNTIF($E$5:$E67,$E67))</f>
        <v/>
      </c>
      <c r="K67" s="40" t="str">
        <f aca="false">IF($I67="","",LEN($I67))</f>
        <v/>
      </c>
      <c r="L67" s="13"/>
      <c r="M67" s="13"/>
      <c r="N67" s="13"/>
      <c r="O67" s="13"/>
      <c r="P67" s="152"/>
      <c r="Q67" s="149"/>
      <c r="R67" s="152"/>
      <c r="S67" s="152"/>
      <c r="T67" s="62" t="str">
        <f aca="false">IF(OR($C67="",R67=""),"",IF(R67/IF($R$2="",100,$R$2)&gt;=設定!$I$28,設定!$G$8,IF(R67/IF($R$2="",100,$R$2)&lt;設定!$I$29,設定!$G$10,設定!$G$9)))</f>
        <v/>
      </c>
      <c r="U67" s="62" t="str">
        <f aca="false">IF(OR($C67="",S67=""),"",IF(S67/IF($S$2="",100,$S$2)&gt;=設定!$I$28,設定!$G$8,IF(S67/IF($S$2="",100,$S$2)&lt;設定!$I$29,設定!$G$10,設定!$G$9)))</f>
        <v/>
      </c>
    </row>
    <row r="68" customFormat="false" ht="21" hidden="false" customHeight="true" outlineLevel="0" collapsed="false">
      <c r="A68" s="91" t="str">
        <f aca="false">IF(名簿!$D68="","",名簿!$B68&amp;"")</f>
        <v/>
      </c>
      <c r="B68" s="91" t="str">
        <f aca="false">IF(名簿!$D68="","",名簿!$C68)</f>
        <v/>
      </c>
      <c r="C68" s="59" t="str">
        <f aca="false">IF(名簿!$D68="","",名簿!$D68&amp;IF(名簿!$F68="転出","（転出）",""))</f>
        <v/>
      </c>
      <c r="D68" s="149"/>
      <c r="E68" s="61" t="str">
        <f aca="false">IF(OR($C68="",名簿!$F68="転出"),"",IF($C$2="学級ごと",$A68,IF($C$2="前の単元と同じ",単元03!$E68&amp;"",$D68&amp;"")))</f>
        <v/>
      </c>
      <c r="F68" s="150"/>
      <c r="G68" s="150"/>
      <c r="H68" s="150"/>
      <c r="I68" s="151"/>
      <c r="J68" s="41" t="str">
        <f aca="false">IF($E68="","",$E68&amp;"|"&amp;COUNTIF($E$5:$E68,$E68))</f>
        <v/>
      </c>
      <c r="K68" s="40" t="str">
        <f aca="false">IF($I68="","",LEN($I68))</f>
        <v/>
      </c>
      <c r="L68" s="13"/>
      <c r="M68" s="13"/>
      <c r="N68" s="13"/>
      <c r="O68" s="13"/>
      <c r="P68" s="152"/>
      <c r="Q68" s="149"/>
      <c r="R68" s="152"/>
      <c r="S68" s="152"/>
      <c r="T68" s="62" t="str">
        <f aca="false">IF(OR($C68="",R68=""),"",IF(R68/IF($R$2="",100,$R$2)&gt;=設定!$I$28,設定!$G$8,IF(R68/IF($R$2="",100,$R$2)&lt;設定!$I$29,設定!$G$10,設定!$G$9)))</f>
        <v/>
      </c>
      <c r="U68" s="62" t="str">
        <f aca="false">IF(OR($C68="",S68=""),"",IF(S68/IF($S$2="",100,$S$2)&gt;=設定!$I$28,設定!$G$8,IF(S68/IF($S$2="",100,$S$2)&lt;設定!$I$29,設定!$G$10,設定!$G$9)))</f>
        <v/>
      </c>
    </row>
    <row r="69" customFormat="false" ht="21" hidden="false" customHeight="true" outlineLevel="0" collapsed="false">
      <c r="A69" s="91" t="str">
        <f aca="false">IF(名簿!$D69="","",名簿!$B69&amp;"")</f>
        <v/>
      </c>
      <c r="B69" s="91" t="str">
        <f aca="false">IF(名簿!$D69="","",名簿!$C69)</f>
        <v/>
      </c>
      <c r="C69" s="59" t="str">
        <f aca="false">IF(名簿!$D69="","",名簿!$D69&amp;IF(名簿!$F69="転出","（転出）",""))</f>
        <v/>
      </c>
      <c r="D69" s="149"/>
      <c r="E69" s="61" t="str">
        <f aca="false">IF(OR($C69="",名簿!$F69="転出"),"",IF($C$2="学級ごと",$A69,IF($C$2="前の単元と同じ",単元03!$E69&amp;"",$D69&amp;"")))</f>
        <v/>
      </c>
      <c r="F69" s="150"/>
      <c r="G69" s="150"/>
      <c r="H69" s="150"/>
      <c r="I69" s="151"/>
      <c r="J69" s="41" t="str">
        <f aca="false">IF($E69="","",$E69&amp;"|"&amp;COUNTIF($E$5:$E69,$E69))</f>
        <v/>
      </c>
      <c r="K69" s="40" t="str">
        <f aca="false">IF($I69="","",LEN($I69))</f>
        <v/>
      </c>
      <c r="L69" s="13"/>
      <c r="M69" s="13"/>
      <c r="N69" s="13"/>
      <c r="O69" s="13"/>
      <c r="P69" s="152"/>
      <c r="Q69" s="149"/>
      <c r="R69" s="152"/>
      <c r="S69" s="152"/>
      <c r="T69" s="62" t="str">
        <f aca="false">IF(OR($C69="",R69=""),"",IF(R69/IF($R$2="",100,$R$2)&gt;=設定!$I$28,設定!$G$8,IF(R69/IF($R$2="",100,$R$2)&lt;設定!$I$29,設定!$G$10,設定!$G$9)))</f>
        <v/>
      </c>
      <c r="U69" s="62" t="str">
        <f aca="false">IF(OR($C69="",S69=""),"",IF(S69/IF($S$2="",100,$S$2)&gt;=設定!$I$28,設定!$G$8,IF(S69/IF($S$2="",100,$S$2)&lt;設定!$I$29,設定!$G$10,設定!$G$9)))</f>
        <v/>
      </c>
    </row>
    <row r="70" customFormat="false" ht="21" hidden="false" customHeight="true" outlineLevel="0" collapsed="false">
      <c r="A70" s="91" t="str">
        <f aca="false">IF(名簿!$D70="","",名簿!$B70&amp;"")</f>
        <v/>
      </c>
      <c r="B70" s="91" t="str">
        <f aca="false">IF(名簿!$D70="","",名簿!$C70)</f>
        <v/>
      </c>
      <c r="C70" s="59" t="str">
        <f aca="false">IF(名簿!$D70="","",名簿!$D70&amp;IF(名簿!$F70="転出","（転出）",""))</f>
        <v/>
      </c>
      <c r="D70" s="149"/>
      <c r="E70" s="61" t="str">
        <f aca="false">IF(OR($C70="",名簿!$F70="転出"),"",IF($C$2="学級ごと",$A70,IF($C$2="前の単元と同じ",単元03!$E70&amp;"",$D70&amp;"")))</f>
        <v/>
      </c>
      <c r="F70" s="150"/>
      <c r="G70" s="150"/>
      <c r="H70" s="150"/>
      <c r="I70" s="151"/>
      <c r="J70" s="41" t="str">
        <f aca="false">IF($E70="","",$E70&amp;"|"&amp;COUNTIF($E$5:$E70,$E70))</f>
        <v/>
      </c>
      <c r="K70" s="40" t="str">
        <f aca="false">IF($I70="","",LEN($I70))</f>
        <v/>
      </c>
      <c r="L70" s="13"/>
      <c r="M70" s="13"/>
      <c r="N70" s="13"/>
      <c r="O70" s="13"/>
      <c r="P70" s="152"/>
      <c r="Q70" s="149"/>
      <c r="R70" s="152"/>
      <c r="S70" s="152"/>
      <c r="T70" s="62" t="str">
        <f aca="false">IF(OR($C70="",R70=""),"",IF(R70/IF($R$2="",100,$R$2)&gt;=設定!$I$28,設定!$G$8,IF(R70/IF($R$2="",100,$R$2)&lt;設定!$I$29,設定!$G$10,設定!$G$9)))</f>
        <v/>
      </c>
      <c r="U70" s="62" t="str">
        <f aca="false">IF(OR($C70="",S70=""),"",IF(S70/IF($S$2="",100,$S$2)&gt;=設定!$I$28,設定!$G$8,IF(S70/IF($S$2="",100,$S$2)&lt;設定!$I$29,設定!$G$10,設定!$G$9)))</f>
        <v/>
      </c>
    </row>
    <row r="71" customFormat="false" ht="21" hidden="false" customHeight="true" outlineLevel="0" collapsed="false">
      <c r="A71" s="91" t="str">
        <f aca="false">IF(名簿!$D71="","",名簿!$B71&amp;"")</f>
        <v/>
      </c>
      <c r="B71" s="91" t="str">
        <f aca="false">IF(名簿!$D71="","",名簿!$C71)</f>
        <v/>
      </c>
      <c r="C71" s="59" t="str">
        <f aca="false">IF(名簿!$D71="","",名簿!$D71&amp;IF(名簿!$F71="転出","（転出）",""))</f>
        <v/>
      </c>
      <c r="D71" s="149"/>
      <c r="E71" s="61" t="str">
        <f aca="false">IF(OR($C71="",名簿!$F71="転出"),"",IF($C$2="学級ごと",$A71,IF($C$2="前の単元と同じ",単元03!$E71&amp;"",$D71&amp;"")))</f>
        <v/>
      </c>
      <c r="F71" s="150"/>
      <c r="G71" s="150"/>
      <c r="H71" s="150"/>
      <c r="I71" s="151"/>
      <c r="J71" s="41" t="str">
        <f aca="false">IF($E71="","",$E71&amp;"|"&amp;COUNTIF($E$5:$E71,$E71))</f>
        <v/>
      </c>
      <c r="K71" s="40" t="str">
        <f aca="false">IF($I71="","",LEN($I71))</f>
        <v/>
      </c>
      <c r="L71" s="13"/>
      <c r="M71" s="13"/>
      <c r="N71" s="13"/>
      <c r="O71" s="13"/>
      <c r="P71" s="152"/>
      <c r="Q71" s="149"/>
      <c r="R71" s="152"/>
      <c r="S71" s="152"/>
      <c r="T71" s="62" t="str">
        <f aca="false">IF(OR($C71="",R71=""),"",IF(R71/IF($R$2="",100,$R$2)&gt;=設定!$I$28,設定!$G$8,IF(R71/IF($R$2="",100,$R$2)&lt;設定!$I$29,設定!$G$10,設定!$G$9)))</f>
        <v/>
      </c>
      <c r="U71" s="62" t="str">
        <f aca="false">IF(OR($C71="",S71=""),"",IF(S71/IF($S$2="",100,$S$2)&gt;=設定!$I$28,設定!$G$8,IF(S71/IF($S$2="",100,$S$2)&lt;設定!$I$29,設定!$G$10,設定!$G$9)))</f>
        <v/>
      </c>
    </row>
    <row r="72" customFormat="false" ht="21" hidden="false" customHeight="true" outlineLevel="0" collapsed="false">
      <c r="A72" s="91" t="str">
        <f aca="false">IF(名簿!$D72="","",名簿!$B72&amp;"")</f>
        <v/>
      </c>
      <c r="B72" s="91" t="str">
        <f aca="false">IF(名簿!$D72="","",名簿!$C72)</f>
        <v/>
      </c>
      <c r="C72" s="59" t="str">
        <f aca="false">IF(名簿!$D72="","",名簿!$D72&amp;IF(名簿!$F72="転出","（転出）",""))</f>
        <v/>
      </c>
      <c r="D72" s="149"/>
      <c r="E72" s="61" t="str">
        <f aca="false">IF(OR($C72="",名簿!$F72="転出"),"",IF($C$2="学級ごと",$A72,IF($C$2="前の単元と同じ",単元03!$E72&amp;"",$D72&amp;"")))</f>
        <v/>
      </c>
      <c r="F72" s="150"/>
      <c r="G72" s="150"/>
      <c r="H72" s="150"/>
      <c r="I72" s="151"/>
      <c r="J72" s="41" t="str">
        <f aca="false">IF($E72="","",$E72&amp;"|"&amp;COUNTIF($E$5:$E72,$E72))</f>
        <v/>
      </c>
      <c r="K72" s="40" t="str">
        <f aca="false">IF($I72="","",LEN($I72))</f>
        <v/>
      </c>
      <c r="L72" s="13"/>
      <c r="M72" s="13"/>
      <c r="N72" s="13"/>
      <c r="O72" s="13"/>
      <c r="P72" s="152"/>
      <c r="Q72" s="149"/>
      <c r="R72" s="152"/>
      <c r="S72" s="152"/>
      <c r="T72" s="62" t="str">
        <f aca="false">IF(OR($C72="",R72=""),"",IF(R72/IF($R$2="",100,$R$2)&gt;=設定!$I$28,設定!$G$8,IF(R72/IF($R$2="",100,$R$2)&lt;設定!$I$29,設定!$G$10,設定!$G$9)))</f>
        <v/>
      </c>
      <c r="U72" s="62" t="str">
        <f aca="false">IF(OR($C72="",S72=""),"",IF(S72/IF($S$2="",100,$S$2)&gt;=設定!$I$28,設定!$G$8,IF(S72/IF($S$2="",100,$S$2)&lt;設定!$I$29,設定!$G$10,設定!$G$9)))</f>
        <v/>
      </c>
    </row>
    <row r="73" customFormat="false" ht="21" hidden="false" customHeight="true" outlineLevel="0" collapsed="false">
      <c r="A73" s="91" t="str">
        <f aca="false">IF(名簿!$D73="","",名簿!$B73&amp;"")</f>
        <v/>
      </c>
      <c r="B73" s="91" t="str">
        <f aca="false">IF(名簿!$D73="","",名簿!$C73)</f>
        <v/>
      </c>
      <c r="C73" s="59" t="str">
        <f aca="false">IF(名簿!$D73="","",名簿!$D73&amp;IF(名簿!$F73="転出","（転出）",""))</f>
        <v/>
      </c>
      <c r="D73" s="149"/>
      <c r="E73" s="61" t="str">
        <f aca="false">IF(OR($C73="",名簿!$F73="転出"),"",IF($C$2="学級ごと",$A73,IF($C$2="前の単元と同じ",単元03!$E73&amp;"",$D73&amp;"")))</f>
        <v/>
      </c>
      <c r="F73" s="150"/>
      <c r="G73" s="150"/>
      <c r="H73" s="150"/>
      <c r="I73" s="151"/>
      <c r="J73" s="41" t="str">
        <f aca="false">IF($E73="","",$E73&amp;"|"&amp;COUNTIF($E$5:$E73,$E73))</f>
        <v/>
      </c>
      <c r="K73" s="40" t="str">
        <f aca="false">IF($I73="","",LEN($I73))</f>
        <v/>
      </c>
      <c r="L73" s="13"/>
      <c r="M73" s="13"/>
      <c r="N73" s="13"/>
      <c r="O73" s="13"/>
      <c r="P73" s="152"/>
      <c r="Q73" s="149"/>
      <c r="R73" s="152"/>
      <c r="S73" s="152"/>
      <c r="T73" s="62" t="str">
        <f aca="false">IF(OR($C73="",R73=""),"",IF(R73/IF($R$2="",100,$R$2)&gt;=設定!$I$28,設定!$G$8,IF(R73/IF($R$2="",100,$R$2)&lt;設定!$I$29,設定!$G$10,設定!$G$9)))</f>
        <v/>
      </c>
      <c r="U73" s="62" t="str">
        <f aca="false">IF(OR($C73="",S73=""),"",IF(S73/IF($S$2="",100,$S$2)&gt;=設定!$I$28,設定!$G$8,IF(S73/IF($S$2="",100,$S$2)&lt;設定!$I$29,設定!$G$10,設定!$G$9)))</f>
        <v/>
      </c>
    </row>
    <row r="74" customFormat="false" ht="21" hidden="false" customHeight="true" outlineLevel="0" collapsed="false">
      <c r="A74" s="91" t="str">
        <f aca="false">IF(名簿!$D74="","",名簿!$B74&amp;"")</f>
        <v/>
      </c>
      <c r="B74" s="91" t="str">
        <f aca="false">IF(名簿!$D74="","",名簿!$C74)</f>
        <v/>
      </c>
      <c r="C74" s="59" t="str">
        <f aca="false">IF(名簿!$D74="","",名簿!$D74&amp;IF(名簿!$F74="転出","（転出）",""))</f>
        <v/>
      </c>
      <c r="D74" s="149"/>
      <c r="E74" s="61" t="str">
        <f aca="false">IF(OR($C74="",名簿!$F74="転出"),"",IF($C$2="学級ごと",$A74,IF($C$2="前の単元と同じ",単元03!$E74&amp;"",$D74&amp;"")))</f>
        <v/>
      </c>
      <c r="F74" s="150"/>
      <c r="G74" s="150"/>
      <c r="H74" s="150"/>
      <c r="I74" s="151"/>
      <c r="J74" s="41" t="str">
        <f aca="false">IF($E74="","",$E74&amp;"|"&amp;COUNTIF($E$5:$E74,$E74))</f>
        <v/>
      </c>
      <c r="K74" s="40" t="str">
        <f aca="false">IF($I74="","",LEN($I74))</f>
        <v/>
      </c>
      <c r="L74" s="13"/>
      <c r="M74" s="13"/>
      <c r="N74" s="13"/>
      <c r="O74" s="13"/>
      <c r="P74" s="152"/>
      <c r="Q74" s="149"/>
      <c r="R74" s="152"/>
      <c r="S74" s="152"/>
      <c r="T74" s="62" t="str">
        <f aca="false">IF(OR($C74="",R74=""),"",IF(R74/IF($R$2="",100,$R$2)&gt;=設定!$I$28,設定!$G$8,IF(R74/IF($R$2="",100,$R$2)&lt;設定!$I$29,設定!$G$10,設定!$G$9)))</f>
        <v/>
      </c>
      <c r="U74" s="62" t="str">
        <f aca="false">IF(OR($C74="",S74=""),"",IF(S74/IF($S$2="",100,$S$2)&gt;=設定!$I$28,設定!$G$8,IF(S74/IF($S$2="",100,$S$2)&lt;設定!$I$29,設定!$G$10,設定!$G$9)))</f>
        <v/>
      </c>
    </row>
    <row r="75" customFormat="false" ht="21" hidden="false" customHeight="true" outlineLevel="0" collapsed="false">
      <c r="A75" s="91" t="str">
        <f aca="false">IF(名簿!$D75="","",名簿!$B75&amp;"")</f>
        <v/>
      </c>
      <c r="B75" s="91" t="str">
        <f aca="false">IF(名簿!$D75="","",名簿!$C75)</f>
        <v/>
      </c>
      <c r="C75" s="59" t="str">
        <f aca="false">IF(名簿!$D75="","",名簿!$D75&amp;IF(名簿!$F75="転出","（転出）",""))</f>
        <v/>
      </c>
      <c r="D75" s="149"/>
      <c r="E75" s="61" t="str">
        <f aca="false">IF(OR($C75="",名簿!$F75="転出"),"",IF($C$2="学級ごと",$A75,IF($C$2="前の単元と同じ",単元03!$E75&amp;"",$D75&amp;"")))</f>
        <v/>
      </c>
      <c r="F75" s="150"/>
      <c r="G75" s="150"/>
      <c r="H75" s="150"/>
      <c r="I75" s="151"/>
      <c r="J75" s="41" t="str">
        <f aca="false">IF($E75="","",$E75&amp;"|"&amp;COUNTIF($E$5:$E75,$E75))</f>
        <v/>
      </c>
      <c r="K75" s="40" t="str">
        <f aca="false">IF($I75="","",LEN($I75))</f>
        <v/>
      </c>
      <c r="L75" s="13"/>
      <c r="M75" s="13"/>
      <c r="N75" s="13"/>
      <c r="O75" s="13"/>
      <c r="P75" s="152"/>
      <c r="Q75" s="149"/>
      <c r="R75" s="152"/>
      <c r="S75" s="152"/>
      <c r="T75" s="62" t="str">
        <f aca="false">IF(OR($C75="",R75=""),"",IF(R75/IF($R$2="",100,$R$2)&gt;=設定!$I$28,設定!$G$8,IF(R75/IF($R$2="",100,$R$2)&lt;設定!$I$29,設定!$G$10,設定!$G$9)))</f>
        <v/>
      </c>
      <c r="U75" s="62" t="str">
        <f aca="false">IF(OR($C75="",S75=""),"",IF(S75/IF($S$2="",100,$S$2)&gt;=設定!$I$28,設定!$G$8,IF(S75/IF($S$2="",100,$S$2)&lt;設定!$I$29,設定!$G$10,設定!$G$9)))</f>
        <v/>
      </c>
    </row>
    <row r="76" customFormat="false" ht="21" hidden="false" customHeight="true" outlineLevel="0" collapsed="false">
      <c r="A76" s="91" t="str">
        <f aca="false">IF(名簿!$D76="","",名簿!$B76&amp;"")</f>
        <v/>
      </c>
      <c r="B76" s="91" t="str">
        <f aca="false">IF(名簿!$D76="","",名簿!$C76)</f>
        <v/>
      </c>
      <c r="C76" s="59" t="str">
        <f aca="false">IF(名簿!$D76="","",名簿!$D76&amp;IF(名簿!$F76="転出","（転出）",""))</f>
        <v/>
      </c>
      <c r="D76" s="149"/>
      <c r="E76" s="61" t="str">
        <f aca="false">IF(OR($C76="",名簿!$F76="転出"),"",IF($C$2="学級ごと",$A76,IF($C$2="前の単元と同じ",単元03!$E76&amp;"",$D76&amp;"")))</f>
        <v/>
      </c>
      <c r="F76" s="150"/>
      <c r="G76" s="150"/>
      <c r="H76" s="150"/>
      <c r="I76" s="151"/>
      <c r="J76" s="41" t="str">
        <f aca="false">IF($E76="","",$E76&amp;"|"&amp;COUNTIF($E$5:$E76,$E76))</f>
        <v/>
      </c>
      <c r="K76" s="40" t="str">
        <f aca="false">IF($I76="","",LEN($I76))</f>
        <v/>
      </c>
      <c r="L76" s="13"/>
      <c r="M76" s="13"/>
      <c r="N76" s="13"/>
      <c r="O76" s="13"/>
      <c r="P76" s="152"/>
      <c r="Q76" s="149"/>
      <c r="R76" s="152"/>
      <c r="S76" s="152"/>
      <c r="T76" s="62" t="str">
        <f aca="false">IF(OR($C76="",R76=""),"",IF(R76/IF($R$2="",100,$R$2)&gt;=設定!$I$28,設定!$G$8,IF(R76/IF($R$2="",100,$R$2)&lt;設定!$I$29,設定!$G$10,設定!$G$9)))</f>
        <v/>
      </c>
      <c r="U76" s="62" t="str">
        <f aca="false">IF(OR($C76="",S76=""),"",IF(S76/IF($S$2="",100,$S$2)&gt;=設定!$I$28,設定!$G$8,IF(S76/IF($S$2="",100,$S$2)&lt;設定!$I$29,設定!$G$10,設定!$G$9)))</f>
        <v/>
      </c>
    </row>
    <row r="77" customFormat="false" ht="21" hidden="false" customHeight="true" outlineLevel="0" collapsed="false">
      <c r="A77" s="91" t="str">
        <f aca="false">IF(名簿!$D77="","",名簿!$B77&amp;"")</f>
        <v/>
      </c>
      <c r="B77" s="91" t="str">
        <f aca="false">IF(名簿!$D77="","",名簿!$C77)</f>
        <v/>
      </c>
      <c r="C77" s="59" t="str">
        <f aca="false">IF(名簿!$D77="","",名簿!$D77&amp;IF(名簿!$F77="転出","（転出）",""))</f>
        <v/>
      </c>
      <c r="D77" s="149"/>
      <c r="E77" s="61" t="str">
        <f aca="false">IF(OR($C77="",名簿!$F77="転出"),"",IF($C$2="学級ごと",$A77,IF($C$2="前の単元と同じ",単元03!$E77&amp;"",$D77&amp;"")))</f>
        <v/>
      </c>
      <c r="F77" s="150"/>
      <c r="G77" s="150"/>
      <c r="H77" s="150"/>
      <c r="I77" s="151"/>
      <c r="J77" s="41" t="str">
        <f aca="false">IF($E77="","",$E77&amp;"|"&amp;COUNTIF($E$5:$E77,$E77))</f>
        <v/>
      </c>
      <c r="K77" s="40" t="str">
        <f aca="false">IF($I77="","",LEN($I77))</f>
        <v/>
      </c>
      <c r="L77" s="13"/>
      <c r="M77" s="13"/>
      <c r="N77" s="13"/>
      <c r="O77" s="13"/>
      <c r="P77" s="152"/>
      <c r="Q77" s="149"/>
      <c r="R77" s="152"/>
      <c r="S77" s="152"/>
      <c r="T77" s="62" t="str">
        <f aca="false">IF(OR($C77="",R77=""),"",IF(R77/IF($R$2="",100,$R$2)&gt;=設定!$I$28,設定!$G$8,IF(R77/IF($R$2="",100,$R$2)&lt;設定!$I$29,設定!$G$10,設定!$G$9)))</f>
        <v/>
      </c>
      <c r="U77" s="62" t="str">
        <f aca="false">IF(OR($C77="",S77=""),"",IF(S77/IF($S$2="",100,$S$2)&gt;=設定!$I$28,設定!$G$8,IF(S77/IF($S$2="",100,$S$2)&lt;設定!$I$29,設定!$G$10,設定!$G$9)))</f>
        <v/>
      </c>
    </row>
    <row r="78" customFormat="false" ht="21" hidden="false" customHeight="true" outlineLevel="0" collapsed="false">
      <c r="A78" s="91" t="str">
        <f aca="false">IF(名簿!$D78="","",名簿!$B78&amp;"")</f>
        <v/>
      </c>
      <c r="B78" s="91" t="str">
        <f aca="false">IF(名簿!$D78="","",名簿!$C78)</f>
        <v/>
      </c>
      <c r="C78" s="59" t="str">
        <f aca="false">IF(名簿!$D78="","",名簿!$D78&amp;IF(名簿!$F78="転出","（転出）",""))</f>
        <v/>
      </c>
      <c r="D78" s="149"/>
      <c r="E78" s="61" t="str">
        <f aca="false">IF(OR($C78="",名簿!$F78="転出"),"",IF($C$2="学級ごと",$A78,IF($C$2="前の単元と同じ",単元03!$E78&amp;"",$D78&amp;"")))</f>
        <v/>
      </c>
      <c r="F78" s="150"/>
      <c r="G78" s="150"/>
      <c r="H78" s="150"/>
      <c r="I78" s="151"/>
      <c r="J78" s="41" t="str">
        <f aca="false">IF($E78="","",$E78&amp;"|"&amp;COUNTIF($E$5:$E78,$E78))</f>
        <v/>
      </c>
      <c r="K78" s="40" t="str">
        <f aca="false">IF($I78="","",LEN($I78))</f>
        <v/>
      </c>
      <c r="L78" s="13"/>
      <c r="M78" s="13"/>
      <c r="N78" s="13"/>
      <c r="O78" s="13"/>
      <c r="P78" s="152"/>
      <c r="Q78" s="149"/>
      <c r="R78" s="152"/>
      <c r="S78" s="152"/>
      <c r="T78" s="62" t="str">
        <f aca="false">IF(OR($C78="",R78=""),"",IF(R78/IF($R$2="",100,$R$2)&gt;=設定!$I$28,設定!$G$8,IF(R78/IF($R$2="",100,$R$2)&lt;設定!$I$29,設定!$G$10,設定!$G$9)))</f>
        <v/>
      </c>
      <c r="U78" s="62" t="str">
        <f aca="false">IF(OR($C78="",S78=""),"",IF(S78/IF($S$2="",100,$S$2)&gt;=設定!$I$28,設定!$G$8,IF(S78/IF($S$2="",100,$S$2)&lt;設定!$I$29,設定!$G$10,設定!$G$9)))</f>
        <v/>
      </c>
    </row>
    <row r="79" customFormat="false" ht="21" hidden="false" customHeight="true" outlineLevel="0" collapsed="false">
      <c r="A79" s="91" t="str">
        <f aca="false">IF(名簿!$D79="","",名簿!$B79&amp;"")</f>
        <v/>
      </c>
      <c r="B79" s="91" t="str">
        <f aca="false">IF(名簿!$D79="","",名簿!$C79)</f>
        <v/>
      </c>
      <c r="C79" s="59" t="str">
        <f aca="false">IF(名簿!$D79="","",名簿!$D79&amp;IF(名簿!$F79="転出","（転出）",""))</f>
        <v/>
      </c>
      <c r="D79" s="149"/>
      <c r="E79" s="61" t="str">
        <f aca="false">IF(OR($C79="",名簿!$F79="転出"),"",IF($C$2="学級ごと",$A79,IF($C$2="前の単元と同じ",単元03!$E79&amp;"",$D79&amp;"")))</f>
        <v/>
      </c>
      <c r="F79" s="150"/>
      <c r="G79" s="150"/>
      <c r="H79" s="150"/>
      <c r="I79" s="151"/>
      <c r="J79" s="41" t="str">
        <f aca="false">IF($E79="","",$E79&amp;"|"&amp;COUNTIF($E$5:$E79,$E79))</f>
        <v/>
      </c>
      <c r="K79" s="40" t="str">
        <f aca="false">IF($I79="","",LEN($I79))</f>
        <v/>
      </c>
      <c r="L79" s="13"/>
      <c r="M79" s="13"/>
      <c r="N79" s="13"/>
      <c r="O79" s="13"/>
      <c r="P79" s="152"/>
      <c r="Q79" s="149"/>
      <c r="R79" s="152"/>
      <c r="S79" s="152"/>
      <c r="T79" s="62" t="str">
        <f aca="false">IF(OR($C79="",R79=""),"",IF(R79/IF($R$2="",100,$R$2)&gt;=設定!$I$28,設定!$G$8,IF(R79/IF($R$2="",100,$R$2)&lt;設定!$I$29,設定!$G$10,設定!$G$9)))</f>
        <v/>
      </c>
      <c r="U79" s="62" t="str">
        <f aca="false">IF(OR($C79="",S79=""),"",IF(S79/IF($S$2="",100,$S$2)&gt;=設定!$I$28,設定!$G$8,IF(S79/IF($S$2="",100,$S$2)&lt;設定!$I$29,設定!$G$10,設定!$G$9)))</f>
        <v/>
      </c>
    </row>
    <row r="80" customFormat="false" ht="21" hidden="false" customHeight="true" outlineLevel="0" collapsed="false">
      <c r="A80" s="91" t="str">
        <f aca="false">IF(名簿!$D80="","",名簿!$B80&amp;"")</f>
        <v/>
      </c>
      <c r="B80" s="91" t="str">
        <f aca="false">IF(名簿!$D80="","",名簿!$C80)</f>
        <v/>
      </c>
      <c r="C80" s="59" t="str">
        <f aca="false">IF(名簿!$D80="","",名簿!$D80&amp;IF(名簿!$F80="転出","（転出）",""))</f>
        <v/>
      </c>
      <c r="D80" s="149"/>
      <c r="E80" s="61" t="str">
        <f aca="false">IF(OR($C80="",名簿!$F80="転出"),"",IF($C$2="学級ごと",$A80,IF($C$2="前の単元と同じ",単元03!$E80&amp;"",$D80&amp;"")))</f>
        <v/>
      </c>
      <c r="F80" s="150"/>
      <c r="G80" s="150"/>
      <c r="H80" s="150"/>
      <c r="I80" s="151"/>
      <c r="J80" s="41" t="str">
        <f aca="false">IF($E80="","",$E80&amp;"|"&amp;COUNTIF($E$5:$E80,$E80))</f>
        <v/>
      </c>
      <c r="K80" s="40" t="str">
        <f aca="false">IF($I80="","",LEN($I80))</f>
        <v/>
      </c>
      <c r="L80" s="13"/>
      <c r="M80" s="13"/>
      <c r="N80" s="13"/>
      <c r="O80" s="13"/>
      <c r="P80" s="152"/>
      <c r="Q80" s="149"/>
      <c r="R80" s="152"/>
      <c r="S80" s="152"/>
      <c r="T80" s="62" t="str">
        <f aca="false">IF(OR($C80="",R80=""),"",IF(R80/IF($R$2="",100,$R$2)&gt;=設定!$I$28,設定!$G$8,IF(R80/IF($R$2="",100,$R$2)&lt;設定!$I$29,設定!$G$10,設定!$G$9)))</f>
        <v/>
      </c>
      <c r="U80" s="62" t="str">
        <f aca="false">IF(OR($C80="",S80=""),"",IF(S80/IF($S$2="",100,$S$2)&gt;=設定!$I$28,設定!$G$8,IF(S80/IF($S$2="",100,$S$2)&lt;設定!$I$29,設定!$G$10,設定!$G$9)))</f>
        <v/>
      </c>
    </row>
    <row r="81" customFormat="false" ht="21" hidden="false" customHeight="true" outlineLevel="0" collapsed="false">
      <c r="A81" s="91" t="str">
        <f aca="false">IF(名簿!$D81="","",名簿!$B81&amp;"")</f>
        <v/>
      </c>
      <c r="B81" s="91" t="str">
        <f aca="false">IF(名簿!$D81="","",名簿!$C81)</f>
        <v/>
      </c>
      <c r="C81" s="59" t="str">
        <f aca="false">IF(名簿!$D81="","",名簿!$D81&amp;IF(名簿!$F81="転出","（転出）",""))</f>
        <v/>
      </c>
      <c r="D81" s="149"/>
      <c r="E81" s="61" t="str">
        <f aca="false">IF(OR($C81="",名簿!$F81="転出"),"",IF($C$2="学級ごと",$A81,IF($C$2="前の単元と同じ",単元03!$E81&amp;"",$D81&amp;"")))</f>
        <v/>
      </c>
      <c r="F81" s="150"/>
      <c r="G81" s="150"/>
      <c r="H81" s="150"/>
      <c r="I81" s="151"/>
      <c r="J81" s="41" t="str">
        <f aca="false">IF($E81="","",$E81&amp;"|"&amp;COUNTIF($E$5:$E81,$E81))</f>
        <v/>
      </c>
      <c r="K81" s="40" t="str">
        <f aca="false">IF($I81="","",LEN($I81))</f>
        <v/>
      </c>
      <c r="L81" s="13"/>
      <c r="M81" s="13"/>
      <c r="N81" s="13"/>
      <c r="O81" s="13"/>
      <c r="P81" s="152"/>
      <c r="Q81" s="149"/>
      <c r="R81" s="152"/>
      <c r="S81" s="152"/>
      <c r="T81" s="62" t="str">
        <f aca="false">IF(OR($C81="",R81=""),"",IF(R81/IF($R$2="",100,$R$2)&gt;=設定!$I$28,設定!$G$8,IF(R81/IF($R$2="",100,$R$2)&lt;設定!$I$29,設定!$G$10,設定!$G$9)))</f>
        <v/>
      </c>
      <c r="U81" s="62" t="str">
        <f aca="false">IF(OR($C81="",S81=""),"",IF(S81/IF($S$2="",100,$S$2)&gt;=設定!$I$28,設定!$G$8,IF(S81/IF($S$2="",100,$S$2)&lt;設定!$I$29,設定!$G$10,設定!$G$9)))</f>
        <v/>
      </c>
    </row>
    <row r="82" customFormat="false" ht="21" hidden="false" customHeight="true" outlineLevel="0" collapsed="false">
      <c r="A82" s="91" t="str">
        <f aca="false">IF(名簿!$D82="","",名簿!$B82&amp;"")</f>
        <v/>
      </c>
      <c r="B82" s="91" t="str">
        <f aca="false">IF(名簿!$D82="","",名簿!$C82)</f>
        <v/>
      </c>
      <c r="C82" s="59" t="str">
        <f aca="false">IF(名簿!$D82="","",名簿!$D82&amp;IF(名簿!$F82="転出","（転出）",""))</f>
        <v/>
      </c>
      <c r="D82" s="149"/>
      <c r="E82" s="61" t="str">
        <f aca="false">IF(OR($C82="",名簿!$F82="転出"),"",IF($C$2="学級ごと",$A82,IF($C$2="前の単元と同じ",単元03!$E82&amp;"",$D82&amp;"")))</f>
        <v/>
      </c>
      <c r="F82" s="150"/>
      <c r="G82" s="150"/>
      <c r="H82" s="150"/>
      <c r="I82" s="151"/>
      <c r="J82" s="41" t="str">
        <f aca="false">IF($E82="","",$E82&amp;"|"&amp;COUNTIF($E$5:$E82,$E82))</f>
        <v/>
      </c>
      <c r="K82" s="40" t="str">
        <f aca="false">IF($I82="","",LEN($I82))</f>
        <v/>
      </c>
      <c r="L82" s="13"/>
      <c r="M82" s="13"/>
      <c r="N82" s="13"/>
      <c r="O82" s="13"/>
      <c r="P82" s="152"/>
      <c r="Q82" s="149"/>
      <c r="R82" s="152"/>
      <c r="S82" s="152"/>
      <c r="T82" s="62" t="str">
        <f aca="false">IF(OR($C82="",R82=""),"",IF(R82/IF($R$2="",100,$R$2)&gt;=設定!$I$28,設定!$G$8,IF(R82/IF($R$2="",100,$R$2)&lt;設定!$I$29,設定!$G$10,設定!$G$9)))</f>
        <v/>
      </c>
      <c r="U82" s="62" t="str">
        <f aca="false">IF(OR($C82="",S82=""),"",IF(S82/IF($S$2="",100,$S$2)&gt;=設定!$I$28,設定!$G$8,IF(S82/IF($S$2="",100,$S$2)&lt;設定!$I$29,設定!$G$10,設定!$G$9)))</f>
        <v/>
      </c>
    </row>
    <row r="83" customFormat="false" ht="21" hidden="false" customHeight="true" outlineLevel="0" collapsed="false">
      <c r="A83" s="91" t="str">
        <f aca="false">IF(名簿!$D83="","",名簿!$B83&amp;"")</f>
        <v/>
      </c>
      <c r="B83" s="91" t="str">
        <f aca="false">IF(名簿!$D83="","",名簿!$C83)</f>
        <v/>
      </c>
      <c r="C83" s="59" t="str">
        <f aca="false">IF(名簿!$D83="","",名簿!$D83&amp;IF(名簿!$F83="転出","（転出）",""))</f>
        <v/>
      </c>
      <c r="D83" s="149"/>
      <c r="E83" s="61" t="str">
        <f aca="false">IF(OR($C83="",名簿!$F83="転出"),"",IF($C$2="学級ごと",$A83,IF($C$2="前の単元と同じ",単元03!$E83&amp;"",$D83&amp;"")))</f>
        <v/>
      </c>
      <c r="F83" s="150"/>
      <c r="G83" s="150"/>
      <c r="H83" s="150"/>
      <c r="I83" s="151"/>
      <c r="J83" s="41" t="str">
        <f aca="false">IF($E83="","",$E83&amp;"|"&amp;COUNTIF($E$5:$E83,$E83))</f>
        <v/>
      </c>
      <c r="K83" s="40" t="str">
        <f aca="false">IF($I83="","",LEN($I83))</f>
        <v/>
      </c>
      <c r="L83" s="13"/>
      <c r="M83" s="13"/>
      <c r="N83" s="13"/>
      <c r="O83" s="13"/>
      <c r="P83" s="152"/>
      <c r="Q83" s="149"/>
      <c r="R83" s="152"/>
      <c r="S83" s="152"/>
      <c r="T83" s="62" t="str">
        <f aca="false">IF(OR($C83="",R83=""),"",IF(R83/IF($R$2="",100,$R$2)&gt;=設定!$I$28,設定!$G$8,IF(R83/IF($R$2="",100,$R$2)&lt;設定!$I$29,設定!$G$10,設定!$G$9)))</f>
        <v/>
      </c>
      <c r="U83" s="62" t="str">
        <f aca="false">IF(OR($C83="",S83=""),"",IF(S83/IF($S$2="",100,$S$2)&gt;=設定!$I$28,設定!$G$8,IF(S83/IF($S$2="",100,$S$2)&lt;設定!$I$29,設定!$G$10,設定!$G$9)))</f>
        <v/>
      </c>
    </row>
    <row r="84" customFormat="false" ht="21" hidden="false" customHeight="true" outlineLevel="0" collapsed="false">
      <c r="A84" s="91" t="str">
        <f aca="false">IF(名簿!$D84="","",名簿!$B84&amp;"")</f>
        <v/>
      </c>
      <c r="B84" s="91" t="str">
        <f aca="false">IF(名簿!$D84="","",名簿!$C84)</f>
        <v/>
      </c>
      <c r="C84" s="59" t="str">
        <f aca="false">IF(名簿!$D84="","",名簿!$D84&amp;IF(名簿!$F84="転出","（転出）",""))</f>
        <v/>
      </c>
      <c r="D84" s="149"/>
      <c r="E84" s="61" t="str">
        <f aca="false">IF(OR($C84="",名簿!$F84="転出"),"",IF($C$2="学級ごと",$A84,IF($C$2="前の単元と同じ",単元03!$E84&amp;"",$D84&amp;"")))</f>
        <v/>
      </c>
      <c r="F84" s="150"/>
      <c r="G84" s="150"/>
      <c r="H84" s="150"/>
      <c r="I84" s="151"/>
      <c r="J84" s="41" t="str">
        <f aca="false">IF($E84="","",$E84&amp;"|"&amp;COUNTIF($E$5:$E84,$E84))</f>
        <v/>
      </c>
      <c r="K84" s="40" t="str">
        <f aca="false">IF($I84="","",LEN($I84))</f>
        <v/>
      </c>
      <c r="L84" s="13"/>
      <c r="M84" s="13"/>
      <c r="N84" s="13"/>
      <c r="O84" s="13"/>
      <c r="P84" s="152"/>
      <c r="Q84" s="149"/>
      <c r="R84" s="152"/>
      <c r="S84" s="152"/>
      <c r="T84" s="62" t="str">
        <f aca="false">IF(OR($C84="",R84=""),"",IF(R84/IF($R$2="",100,$R$2)&gt;=設定!$I$28,設定!$G$8,IF(R84/IF($R$2="",100,$R$2)&lt;設定!$I$29,設定!$G$10,設定!$G$9)))</f>
        <v/>
      </c>
      <c r="U84" s="62" t="str">
        <f aca="false">IF(OR($C84="",S84=""),"",IF(S84/IF($S$2="",100,$S$2)&gt;=設定!$I$28,設定!$G$8,IF(S84/IF($S$2="",100,$S$2)&lt;設定!$I$29,設定!$G$10,設定!$G$9)))</f>
        <v/>
      </c>
    </row>
    <row r="85" customFormat="false" ht="21" hidden="false" customHeight="true" outlineLevel="0" collapsed="false">
      <c r="A85" s="91" t="str">
        <f aca="false">IF(名簿!$D85="","",名簿!$B85&amp;"")</f>
        <v/>
      </c>
      <c r="B85" s="91" t="str">
        <f aca="false">IF(名簿!$D85="","",名簿!$C85)</f>
        <v/>
      </c>
      <c r="C85" s="59" t="str">
        <f aca="false">IF(名簿!$D85="","",名簿!$D85&amp;IF(名簿!$F85="転出","（転出）",""))</f>
        <v/>
      </c>
      <c r="D85" s="149"/>
      <c r="E85" s="61" t="str">
        <f aca="false">IF(OR($C85="",名簿!$F85="転出"),"",IF($C$2="学級ごと",$A85,IF($C$2="前の単元と同じ",単元03!$E85&amp;"",$D85&amp;"")))</f>
        <v/>
      </c>
      <c r="F85" s="150"/>
      <c r="G85" s="150"/>
      <c r="H85" s="150"/>
      <c r="I85" s="151"/>
      <c r="J85" s="41" t="str">
        <f aca="false">IF($E85="","",$E85&amp;"|"&amp;COUNTIF($E$5:$E85,$E85))</f>
        <v/>
      </c>
      <c r="K85" s="40" t="str">
        <f aca="false">IF($I85="","",LEN($I85))</f>
        <v/>
      </c>
      <c r="L85" s="13"/>
      <c r="M85" s="13"/>
      <c r="N85" s="13"/>
      <c r="O85" s="13"/>
      <c r="P85" s="152"/>
      <c r="Q85" s="149"/>
      <c r="R85" s="152"/>
      <c r="S85" s="152"/>
      <c r="T85" s="62" t="str">
        <f aca="false">IF(OR($C85="",R85=""),"",IF(R85/IF($R$2="",100,$R$2)&gt;=設定!$I$28,設定!$G$8,IF(R85/IF($R$2="",100,$R$2)&lt;設定!$I$29,設定!$G$10,設定!$G$9)))</f>
        <v/>
      </c>
      <c r="U85" s="62" t="str">
        <f aca="false">IF(OR($C85="",S85=""),"",IF(S85/IF($S$2="",100,$S$2)&gt;=設定!$I$28,設定!$G$8,IF(S85/IF($S$2="",100,$S$2)&lt;設定!$I$29,設定!$G$10,設定!$G$9)))</f>
        <v/>
      </c>
    </row>
    <row r="86" customFormat="false" ht="21" hidden="false" customHeight="true" outlineLevel="0" collapsed="false">
      <c r="A86" s="91" t="str">
        <f aca="false">IF(名簿!$D86="","",名簿!$B86&amp;"")</f>
        <v/>
      </c>
      <c r="B86" s="91" t="str">
        <f aca="false">IF(名簿!$D86="","",名簿!$C86)</f>
        <v/>
      </c>
      <c r="C86" s="59" t="str">
        <f aca="false">IF(名簿!$D86="","",名簿!$D86&amp;IF(名簿!$F86="転出","（転出）",""))</f>
        <v/>
      </c>
      <c r="D86" s="149"/>
      <c r="E86" s="61" t="str">
        <f aca="false">IF(OR($C86="",名簿!$F86="転出"),"",IF($C$2="学級ごと",$A86,IF($C$2="前の単元と同じ",単元03!$E86&amp;"",$D86&amp;"")))</f>
        <v/>
      </c>
      <c r="F86" s="150"/>
      <c r="G86" s="150"/>
      <c r="H86" s="150"/>
      <c r="I86" s="151"/>
      <c r="J86" s="41" t="str">
        <f aca="false">IF($E86="","",$E86&amp;"|"&amp;COUNTIF($E$5:$E86,$E86))</f>
        <v/>
      </c>
      <c r="K86" s="40" t="str">
        <f aca="false">IF($I86="","",LEN($I86))</f>
        <v/>
      </c>
      <c r="L86" s="13"/>
      <c r="M86" s="13"/>
      <c r="N86" s="13"/>
      <c r="O86" s="13"/>
      <c r="P86" s="152"/>
      <c r="Q86" s="149"/>
      <c r="R86" s="152"/>
      <c r="S86" s="152"/>
      <c r="T86" s="62" t="str">
        <f aca="false">IF(OR($C86="",R86=""),"",IF(R86/IF($R$2="",100,$R$2)&gt;=設定!$I$28,設定!$G$8,IF(R86/IF($R$2="",100,$R$2)&lt;設定!$I$29,設定!$G$10,設定!$G$9)))</f>
        <v/>
      </c>
      <c r="U86" s="62" t="str">
        <f aca="false">IF(OR($C86="",S86=""),"",IF(S86/IF($S$2="",100,$S$2)&gt;=設定!$I$28,設定!$G$8,IF(S86/IF($S$2="",100,$S$2)&lt;設定!$I$29,設定!$G$10,設定!$G$9)))</f>
        <v/>
      </c>
    </row>
    <row r="87" customFormat="false" ht="21" hidden="false" customHeight="true" outlineLevel="0" collapsed="false">
      <c r="A87" s="91" t="str">
        <f aca="false">IF(名簿!$D87="","",名簿!$B87&amp;"")</f>
        <v/>
      </c>
      <c r="B87" s="91" t="str">
        <f aca="false">IF(名簿!$D87="","",名簿!$C87)</f>
        <v/>
      </c>
      <c r="C87" s="59" t="str">
        <f aca="false">IF(名簿!$D87="","",名簿!$D87&amp;IF(名簿!$F87="転出","（転出）",""))</f>
        <v/>
      </c>
      <c r="D87" s="149"/>
      <c r="E87" s="61" t="str">
        <f aca="false">IF(OR($C87="",名簿!$F87="転出"),"",IF($C$2="学級ごと",$A87,IF($C$2="前の単元と同じ",単元03!$E87&amp;"",$D87&amp;"")))</f>
        <v/>
      </c>
      <c r="F87" s="150"/>
      <c r="G87" s="150"/>
      <c r="H87" s="150"/>
      <c r="I87" s="151"/>
      <c r="J87" s="41" t="str">
        <f aca="false">IF($E87="","",$E87&amp;"|"&amp;COUNTIF($E$5:$E87,$E87))</f>
        <v/>
      </c>
      <c r="K87" s="40" t="str">
        <f aca="false">IF($I87="","",LEN($I87))</f>
        <v/>
      </c>
      <c r="L87" s="13"/>
      <c r="M87" s="13"/>
      <c r="N87" s="13"/>
      <c r="O87" s="13"/>
      <c r="P87" s="152"/>
      <c r="Q87" s="149"/>
      <c r="R87" s="152"/>
      <c r="S87" s="152"/>
      <c r="T87" s="62" t="str">
        <f aca="false">IF(OR($C87="",R87=""),"",IF(R87/IF($R$2="",100,$R$2)&gt;=設定!$I$28,設定!$G$8,IF(R87/IF($R$2="",100,$R$2)&lt;設定!$I$29,設定!$G$10,設定!$G$9)))</f>
        <v/>
      </c>
      <c r="U87" s="62" t="str">
        <f aca="false">IF(OR($C87="",S87=""),"",IF(S87/IF($S$2="",100,$S$2)&gt;=設定!$I$28,設定!$G$8,IF(S87/IF($S$2="",100,$S$2)&lt;設定!$I$29,設定!$G$10,設定!$G$9)))</f>
        <v/>
      </c>
    </row>
    <row r="88" customFormat="false" ht="21" hidden="false" customHeight="true" outlineLevel="0" collapsed="false">
      <c r="A88" s="91" t="str">
        <f aca="false">IF(名簿!$D88="","",名簿!$B88&amp;"")</f>
        <v/>
      </c>
      <c r="B88" s="91" t="str">
        <f aca="false">IF(名簿!$D88="","",名簿!$C88)</f>
        <v/>
      </c>
      <c r="C88" s="59" t="str">
        <f aca="false">IF(名簿!$D88="","",名簿!$D88&amp;IF(名簿!$F88="転出","（転出）",""))</f>
        <v/>
      </c>
      <c r="D88" s="149"/>
      <c r="E88" s="61" t="str">
        <f aca="false">IF(OR($C88="",名簿!$F88="転出"),"",IF($C$2="学級ごと",$A88,IF($C$2="前の単元と同じ",単元03!$E88&amp;"",$D88&amp;"")))</f>
        <v/>
      </c>
      <c r="F88" s="150"/>
      <c r="G88" s="150"/>
      <c r="H88" s="150"/>
      <c r="I88" s="151"/>
      <c r="J88" s="41" t="str">
        <f aca="false">IF($E88="","",$E88&amp;"|"&amp;COUNTIF($E$5:$E88,$E88))</f>
        <v/>
      </c>
      <c r="K88" s="40" t="str">
        <f aca="false">IF($I88="","",LEN($I88))</f>
        <v/>
      </c>
      <c r="L88" s="13"/>
      <c r="M88" s="13"/>
      <c r="N88" s="13"/>
      <c r="O88" s="13"/>
      <c r="P88" s="152"/>
      <c r="Q88" s="149"/>
      <c r="R88" s="152"/>
      <c r="S88" s="152"/>
      <c r="T88" s="62" t="str">
        <f aca="false">IF(OR($C88="",R88=""),"",IF(R88/IF($R$2="",100,$R$2)&gt;=設定!$I$28,設定!$G$8,IF(R88/IF($R$2="",100,$R$2)&lt;設定!$I$29,設定!$G$10,設定!$G$9)))</f>
        <v/>
      </c>
      <c r="U88" s="62" t="str">
        <f aca="false">IF(OR($C88="",S88=""),"",IF(S88/IF($S$2="",100,$S$2)&gt;=設定!$I$28,設定!$G$8,IF(S88/IF($S$2="",100,$S$2)&lt;設定!$I$29,設定!$G$10,設定!$G$9)))</f>
        <v/>
      </c>
    </row>
    <row r="89" customFormat="false" ht="21" hidden="false" customHeight="true" outlineLevel="0" collapsed="false">
      <c r="A89" s="91" t="str">
        <f aca="false">IF(名簿!$D89="","",名簿!$B89&amp;"")</f>
        <v/>
      </c>
      <c r="B89" s="91" t="str">
        <f aca="false">IF(名簿!$D89="","",名簿!$C89)</f>
        <v/>
      </c>
      <c r="C89" s="59" t="str">
        <f aca="false">IF(名簿!$D89="","",名簿!$D89&amp;IF(名簿!$F89="転出","（転出）",""))</f>
        <v/>
      </c>
      <c r="D89" s="149"/>
      <c r="E89" s="61" t="str">
        <f aca="false">IF(OR($C89="",名簿!$F89="転出"),"",IF($C$2="学級ごと",$A89,IF($C$2="前の単元と同じ",単元03!$E89&amp;"",$D89&amp;"")))</f>
        <v/>
      </c>
      <c r="F89" s="150"/>
      <c r="G89" s="150"/>
      <c r="H89" s="150"/>
      <c r="I89" s="151"/>
      <c r="J89" s="41" t="str">
        <f aca="false">IF($E89="","",$E89&amp;"|"&amp;COUNTIF($E$5:$E89,$E89))</f>
        <v/>
      </c>
      <c r="K89" s="40" t="str">
        <f aca="false">IF($I89="","",LEN($I89))</f>
        <v/>
      </c>
      <c r="L89" s="13"/>
      <c r="M89" s="13"/>
      <c r="N89" s="13"/>
      <c r="O89" s="13"/>
      <c r="P89" s="152"/>
      <c r="Q89" s="149"/>
      <c r="R89" s="152"/>
      <c r="S89" s="152"/>
      <c r="T89" s="62" t="str">
        <f aca="false">IF(OR($C89="",R89=""),"",IF(R89/IF($R$2="",100,$R$2)&gt;=設定!$I$28,設定!$G$8,IF(R89/IF($R$2="",100,$R$2)&lt;設定!$I$29,設定!$G$10,設定!$G$9)))</f>
        <v/>
      </c>
      <c r="U89" s="62" t="str">
        <f aca="false">IF(OR($C89="",S89=""),"",IF(S89/IF($S$2="",100,$S$2)&gt;=設定!$I$28,設定!$G$8,IF(S89/IF($S$2="",100,$S$2)&lt;設定!$I$29,設定!$G$10,設定!$G$9)))</f>
        <v/>
      </c>
    </row>
    <row r="90" customFormat="false" ht="21" hidden="false" customHeight="true" outlineLevel="0" collapsed="false">
      <c r="A90" s="91" t="str">
        <f aca="false">IF(名簿!$D90="","",名簿!$B90&amp;"")</f>
        <v/>
      </c>
      <c r="B90" s="91" t="str">
        <f aca="false">IF(名簿!$D90="","",名簿!$C90)</f>
        <v/>
      </c>
      <c r="C90" s="59" t="str">
        <f aca="false">IF(名簿!$D90="","",名簿!$D90&amp;IF(名簿!$F90="転出","（転出）",""))</f>
        <v/>
      </c>
      <c r="D90" s="149"/>
      <c r="E90" s="61" t="str">
        <f aca="false">IF(OR($C90="",名簿!$F90="転出"),"",IF($C$2="学級ごと",$A90,IF($C$2="前の単元と同じ",単元03!$E90&amp;"",$D90&amp;"")))</f>
        <v/>
      </c>
      <c r="F90" s="150"/>
      <c r="G90" s="150"/>
      <c r="H90" s="150"/>
      <c r="I90" s="151"/>
      <c r="J90" s="41" t="str">
        <f aca="false">IF($E90="","",$E90&amp;"|"&amp;COUNTIF($E$5:$E90,$E90))</f>
        <v/>
      </c>
      <c r="K90" s="40" t="str">
        <f aca="false">IF($I90="","",LEN($I90))</f>
        <v/>
      </c>
      <c r="L90" s="13"/>
      <c r="M90" s="13"/>
      <c r="N90" s="13"/>
      <c r="O90" s="13"/>
      <c r="P90" s="152"/>
      <c r="Q90" s="149"/>
      <c r="R90" s="152"/>
      <c r="S90" s="152"/>
      <c r="T90" s="62" t="str">
        <f aca="false">IF(OR($C90="",R90=""),"",IF(R90/IF($R$2="",100,$R$2)&gt;=設定!$I$28,設定!$G$8,IF(R90/IF($R$2="",100,$R$2)&lt;設定!$I$29,設定!$G$10,設定!$G$9)))</f>
        <v/>
      </c>
      <c r="U90" s="62" t="str">
        <f aca="false">IF(OR($C90="",S90=""),"",IF(S90/IF($S$2="",100,$S$2)&gt;=設定!$I$28,設定!$G$8,IF(S90/IF($S$2="",100,$S$2)&lt;設定!$I$29,設定!$G$10,設定!$G$9)))</f>
        <v/>
      </c>
    </row>
    <row r="91" customFormat="false" ht="21" hidden="false" customHeight="true" outlineLevel="0" collapsed="false">
      <c r="A91" s="91" t="str">
        <f aca="false">IF(名簿!$D91="","",名簿!$B91&amp;"")</f>
        <v/>
      </c>
      <c r="B91" s="91" t="str">
        <f aca="false">IF(名簿!$D91="","",名簿!$C91)</f>
        <v/>
      </c>
      <c r="C91" s="59" t="str">
        <f aca="false">IF(名簿!$D91="","",名簿!$D91&amp;IF(名簿!$F91="転出","（転出）",""))</f>
        <v/>
      </c>
      <c r="D91" s="149"/>
      <c r="E91" s="61" t="str">
        <f aca="false">IF(OR($C91="",名簿!$F91="転出"),"",IF($C$2="学級ごと",$A91,IF($C$2="前の単元と同じ",単元03!$E91&amp;"",$D91&amp;"")))</f>
        <v/>
      </c>
      <c r="F91" s="150"/>
      <c r="G91" s="150"/>
      <c r="H91" s="150"/>
      <c r="I91" s="151"/>
      <c r="J91" s="41" t="str">
        <f aca="false">IF($E91="","",$E91&amp;"|"&amp;COUNTIF($E$5:$E91,$E91))</f>
        <v/>
      </c>
      <c r="K91" s="40" t="str">
        <f aca="false">IF($I91="","",LEN($I91))</f>
        <v/>
      </c>
      <c r="L91" s="13"/>
      <c r="M91" s="13"/>
      <c r="N91" s="13"/>
      <c r="O91" s="13"/>
      <c r="P91" s="152"/>
      <c r="Q91" s="149"/>
      <c r="R91" s="152"/>
      <c r="S91" s="152"/>
      <c r="T91" s="62" t="str">
        <f aca="false">IF(OR($C91="",R91=""),"",IF(R91/IF($R$2="",100,$R$2)&gt;=設定!$I$28,設定!$G$8,IF(R91/IF($R$2="",100,$R$2)&lt;設定!$I$29,設定!$G$10,設定!$G$9)))</f>
        <v/>
      </c>
      <c r="U91" s="62" t="str">
        <f aca="false">IF(OR($C91="",S91=""),"",IF(S91/IF($S$2="",100,$S$2)&gt;=設定!$I$28,設定!$G$8,IF(S91/IF($S$2="",100,$S$2)&lt;設定!$I$29,設定!$G$10,設定!$G$9)))</f>
        <v/>
      </c>
    </row>
    <row r="92" customFormat="false" ht="21" hidden="false" customHeight="true" outlineLevel="0" collapsed="false">
      <c r="A92" s="91" t="str">
        <f aca="false">IF(名簿!$D92="","",名簿!$B92&amp;"")</f>
        <v/>
      </c>
      <c r="B92" s="91" t="str">
        <f aca="false">IF(名簿!$D92="","",名簿!$C92)</f>
        <v/>
      </c>
      <c r="C92" s="59" t="str">
        <f aca="false">IF(名簿!$D92="","",名簿!$D92&amp;IF(名簿!$F92="転出","（転出）",""))</f>
        <v/>
      </c>
      <c r="D92" s="149"/>
      <c r="E92" s="61" t="str">
        <f aca="false">IF(OR($C92="",名簿!$F92="転出"),"",IF($C$2="学級ごと",$A92,IF($C$2="前の単元と同じ",単元03!$E92&amp;"",$D92&amp;"")))</f>
        <v/>
      </c>
      <c r="F92" s="150"/>
      <c r="G92" s="150"/>
      <c r="H92" s="150"/>
      <c r="I92" s="151"/>
      <c r="J92" s="41" t="str">
        <f aca="false">IF($E92="","",$E92&amp;"|"&amp;COUNTIF($E$5:$E92,$E92))</f>
        <v/>
      </c>
      <c r="K92" s="40" t="str">
        <f aca="false">IF($I92="","",LEN($I92))</f>
        <v/>
      </c>
      <c r="L92" s="13"/>
      <c r="M92" s="13"/>
      <c r="N92" s="13"/>
      <c r="O92" s="13"/>
      <c r="P92" s="152"/>
      <c r="Q92" s="149"/>
      <c r="R92" s="152"/>
      <c r="S92" s="152"/>
      <c r="T92" s="62" t="str">
        <f aca="false">IF(OR($C92="",R92=""),"",IF(R92/IF($R$2="",100,$R$2)&gt;=設定!$I$28,設定!$G$8,IF(R92/IF($R$2="",100,$R$2)&lt;設定!$I$29,設定!$G$10,設定!$G$9)))</f>
        <v/>
      </c>
      <c r="U92" s="62" t="str">
        <f aca="false">IF(OR($C92="",S92=""),"",IF(S92/IF($S$2="",100,$S$2)&gt;=設定!$I$28,設定!$G$8,IF(S92/IF($S$2="",100,$S$2)&lt;設定!$I$29,設定!$G$10,設定!$G$9)))</f>
        <v/>
      </c>
    </row>
    <row r="93" customFormat="false" ht="21" hidden="false" customHeight="true" outlineLevel="0" collapsed="false">
      <c r="A93" s="91" t="str">
        <f aca="false">IF(名簿!$D93="","",名簿!$B93&amp;"")</f>
        <v/>
      </c>
      <c r="B93" s="91" t="str">
        <f aca="false">IF(名簿!$D93="","",名簿!$C93)</f>
        <v/>
      </c>
      <c r="C93" s="59" t="str">
        <f aca="false">IF(名簿!$D93="","",名簿!$D93&amp;IF(名簿!$F93="転出","（転出）",""))</f>
        <v/>
      </c>
      <c r="D93" s="149"/>
      <c r="E93" s="61" t="str">
        <f aca="false">IF(OR($C93="",名簿!$F93="転出"),"",IF($C$2="学級ごと",$A93,IF($C$2="前の単元と同じ",単元03!$E93&amp;"",$D93&amp;"")))</f>
        <v/>
      </c>
      <c r="F93" s="150"/>
      <c r="G93" s="150"/>
      <c r="H93" s="150"/>
      <c r="I93" s="151"/>
      <c r="J93" s="41" t="str">
        <f aca="false">IF($E93="","",$E93&amp;"|"&amp;COUNTIF($E$5:$E93,$E93))</f>
        <v/>
      </c>
      <c r="K93" s="40" t="str">
        <f aca="false">IF($I93="","",LEN($I93))</f>
        <v/>
      </c>
      <c r="L93" s="13"/>
      <c r="M93" s="13"/>
      <c r="N93" s="13"/>
      <c r="O93" s="13"/>
      <c r="P93" s="152"/>
      <c r="Q93" s="149"/>
      <c r="R93" s="152"/>
      <c r="S93" s="152"/>
      <c r="T93" s="62" t="str">
        <f aca="false">IF(OR($C93="",R93=""),"",IF(R93/IF($R$2="",100,$R$2)&gt;=設定!$I$28,設定!$G$8,IF(R93/IF($R$2="",100,$R$2)&lt;設定!$I$29,設定!$G$10,設定!$G$9)))</f>
        <v/>
      </c>
      <c r="U93" s="62" t="str">
        <f aca="false">IF(OR($C93="",S93=""),"",IF(S93/IF($S$2="",100,$S$2)&gt;=設定!$I$28,設定!$G$8,IF(S93/IF($S$2="",100,$S$2)&lt;設定!$I$29,設定!$G$10,設定!$G$9)))</f>
        <v/>
      </c>
    </row>
    <row r="94" customFormat="false" ht="21" hidden="false" customHeight="true" outlineLevel="0" collapsed="false">
      <c r="A94" s="91" t="str">
        <f aca="false">IF(名簿!$D94="","",名簿!$B94&amp;"")</f>
        <v/>
      </c>
      <c r="B94" s="91" t="str">
        <f aca="false">IF(名簿!$D94="","",名簿!$C94)</f>
        <v/>
      </c>
      <c r="C94" s="59" t="str">
        <f aca="false">IF(名簿!$D94="","",名簿!$D94&amp;IF(名簿!$F94="転出","（転出）",""))</f>
        <v/>
      </c>
      <c r="D94" s="149"/>
      <c r="E94" s="61" t="str">
        <f aca="false">IF(OR($C94="",名簿!$F94="転出"),"",IF($C$2="学級ごと",$A94,IF($C$2="前の単元と同じ",単元03!$E94&amp;"",$D94&amp;"")))</f>
        <v/>
      </c>
      <c r="F94" s="150"/>
      <c r="G94" s="150"/>
      <c r="H94" s="150"/>
      <c r="I94" s="151"/>
      <c r="J94" s="41" t="str">
        <f aca="false">IF($E94="","",$E94&amp;"|"&amp;COUNTIF($E$5:$E94,$E94))</f>
        <v/>
      </c>
      <c r="K94" s="40" t="str">
        <f aca="false">IF($I94="","",LEN($I94))</f>
        <v/>
      </c>
      <c r="L94" s="13"/>
      <c r="M94" s="13"/>
      <c r="N94" s="13"/>
      <c r="O94" s="13"/>
      <c r="P94" s="152"/>
      <c r="Q94" s="149"/>
      <c r="R94" s="152"/>
      <c r="S94" s="152"/>
      <c r="T94" s="62" t="str">
        <f aca="false">IF(OR($C94="",R94=""),"",IF(R94/IF($R$2="",100,$R$2)&gt;=設定!$I$28,設定!$G$8,IF(R94/IF($R$2="",100,$R$2)&lt;設定!$I$29,設定!$G$10,設定!$G$9)))</f>
        <v/>
      </c>
      <c r="U94" s="62" t="str">
        <f aca="false">IF(OR($C94="",S94=""),"",IF(S94/IF($S$2="",100,$S$2)&gt;=設定!$I$28,設定!$G$8,IF(S94/IF($S$2="",100,$S$2)&lt;設定!$I$29,設定!$G$10,設定!$G$9)))</f>
        <v/>
      </c>
    </row>
    <row r="95" customFormat="false" ht="21" hidden="false" customHeight="true" outlineLevel="0" collapsed="false">
      <c r="A95" s="91" t="str">
        <f aca="false">IF(名簿!$D95="","",名簿!$B95&amp;"")</f>
        <v/>
      </c>
      <c r="B95" s="91" t="str">
        <f aca="false">IF(名簿!$D95="","",名簿!$C95)</f>
        <v/>
      </c>
      <c r="C95" s="59" t="str">
        <f aca="false">IF(名簿!$D95="","",名簿!$D95&amp;IF(名簿!$F95="転出","（転出）",""))</f>
        <v/>
      </c>
      <c r="D95" s="149"/>
      <c r="E95" s="61" t="str">
        <f aca="false">IF(OR($C95="",名簿!$F95="転出"),"",IF($C$2="学級ごと",$A95,IF($C$2="前の単元と同じ",単元03!$E95&amp;"",$D95&amp;"")))</f>
        <v/>
      </c>
      <c r="F95" s="150"/>
      <c r="G95" s="150"/>
      <c r="H95" s="150"/>
      <c r="I95" s="151"/>
      <c r="J95" s="41" t="str">
        <f aca="false">IF($E95="","",$E95&amp;"|"&amp;COUNTIF($E$5:$E95,$E95))</f>
        <v/>
      </c>
      <c r="K95" s="40" t="str">
        <f aca="false">IF($I95="","",LEN($I95))</f>
        <v/>
      </c>
      <c r="L95" s="13"/>
      <c r="M95" s="13"/>
      <c r="N95" s="13"/>
      <c r="O95" s="13"/>
      <c r="P95" s="152"/>
      <c r="Q95" s="149"/>
      <c r="R95" s="152"/>
      <c r="S95" s="152"/>
      <c r="T95" s="62" t="str">
        <f aca="false">IF(OR($C95="",R95=""),"",IF(R95/IF($R$2="",100,$R$2)&gt;=設定!$I$28,設定!$G$8,IF(R95/IF($R$2="",100,$R$2)&lt;設定!$I$29,設定!$G$10,設定!$G$9)))</f>
        <v/>
      </c>
      <c r="U95" s="62" t="str">
        <f aca="false">IF(OR($C95="",S95=""),"",IF(S95/IF($S$2="",100,$S$2)&gt;=設定!$I$28,設定!$G$8,IF(S95/IF($S$2="",100,$S$2)&lt;設定!$I$29,設定!$G$10,設定!$G$9)))</f>
        <v/>
      </c>
    </row>
    <row r="96" customFormat="false" ht="21" hidden="false" customHeight="true" outlineLevel="0" collapsed="false">
      <c r="A96" s="91" t="str">
        <f aca="false">IF(名簿!$D96="","",名簿!$B96&amp;"")</f>
        <v/>
      </c>
      <c r="B96" s="91" t="str">
        <f aca="false">IF(名簿!$D96="","",名簿!$C96)</f>
        <v/>
      </c>
      <c r="C96" s="59" t="str">
        <f aca="false">IF(名簿!$D96="","",名簿!$D96&amp;IF(名簿!$F96="転出","（転出）",""))</f>
        <v/>
      </c>
      <c r="D96" s="149"/>
      <c r="E96" s="61" t="str">
        <f aca="false">IF(OR($C96="",名簿!$F96="転出"),"",IF($C$2="学級ごと",$A96,IF($C$2="前の単元と同じ",単元03!$E96&amp;"",$D96&amp;"")))</f>
        <v/>
      </c>
      <c r="F96" s="150"/>
      <c r="G96" s="150"/>
      <c r="H96" s="150"/>
      <c r="I96" s="151"/>
      <c r="J96" s="41" t="str">
        <f aca="false">IF($E96="","",$E96&amp;"|"&amp;COUNTIF($E$5:$E96,$E96))</f>
        <v/>
      </c>
      <c r="K96" s="40" t="str">
        <f aca="false">IF($I96="","",LEN($I96))</f>
        <v/>
      </c>
      <c r="L96" s="13"/>
      <c r="M96" s="13"/>
      <c r="N96" s="13"/>
      <c r="O96" s="13"/>
      <c r="P96" s="152"/>
      <c r="Q96" s="149"/>
      <c r="R96" s="152"/>
      <c r="S96" s="152"/>
      <c r="T96" s="62" t="str">
        <f aca="false">IF(OR($C96="",R96=""),"",IF(R96/IF($R$2="",100,$R$2)&gt;=設定!$I$28,設定!$G$8,IF(R96/IF($R$2="",100,$R$2)&lt;設定!$I$29,設定!$G$10,設定!$G$9)))</f>
        <v/>
      </c>
      <c r="U96" s="62" t="str">
        <f aca="false">IF(OR($C96="",S96=""),"",IF(S96/IF($S$2="",100,$S$2)&gt;=設定!$I$28,設定!$G$8,IF(S96/IF($S$2="",100,$S$2)&lt;設定!$I$29,設定!$G$10,設定!$G$9)))</f>
        <v/>
      </c>
    </row>
    <row r="97" customFormat="false" ht="21" hidden="false" customHeight="true" outlineLevel="0" collapsed="false">
      <c r="A97" s="91" t="str">
        <f aca="false">IF(名簿!$D97="","",名簿!$B97&amp;"")</f>
        <v/>
      </c>
      <c r="B97" s="91" t="str">
        <f aca="false">IF(名簿!$D97="","",名簿!$C97)</f>
        <v/>
      </c>
      <c r="C97" s="59" t="str">
        <f aca="false">IF(名簿!$D97="","",名簿!$D97&amp;IF(名簿!$F97="転出","（転出）",""))</f>
        <v/>
      </c>
      <c r="D97" s="149"/>
      <c r="E97" s="61" t="str">
        <f aca="false">IF(OR($C97="",名簿!$F97="転出"),"",IF($C$2="学級ごと",$A97,IF($C$2="前の単元と同じ",単元03!$E97&amp;"",$D97&amp;"")))</f>
        <v/>
      </c>
      <c r="F97" s="150"/>
      <c r="G97" s="150"/>
      <c r="H97" s="150"/>
      <c r="I97" s="151"/>
      <c r="J97" s="41" t="str">
        <f aca="false">IF($E97="","",$E97&amp;"|"&amp;COUNTIF($E$5:$E97,$E97))</f>
        <v/>
      </c>
      <c r="K97" s="40" t="str">
        <f aca="false">IF($I97="","",LEN($I97))</f>
        <v/>
      </c>
      <c r="L97" s="13"/>
      <c r="M97" s="13"/>
      <c r="N97" s="13"/>
      <c r="O97" s="13"/>
      <c r="P97" s="152"/>
      <c r="Q97" s="149"/>
      <c r="R97" s="152"/>
      <c r="S97" s="152"/>
      <c r="T97" s="62" t="str">
        <f aca="false">IF(OR($C97="",R97=""),"",IF(R97/IF($R$2="",100,$R$2)&gt;=設定!$I$28,設定!$G$8,IF(R97/IF($R$2="",100,$R$2)&lt;設定!$I$29,設定!$G$10,設定!$G$9)))</f>
        <v/>
      </c>
      <c r="U97" s="62" t="str">
        <f aca="false">IF(OR($C97="",S97=""),"",IF(S97/IF($S$2="",100,$S$2)&gt;=設定!$I$28,設定!$G$8,IF(S97/IF($S$2="",100,$S$2)&lt;設定!$I$29,設定!$G$10,設定!$G$9)))</f>
        <v/>
      </c>
    </row>
    <row r="98" customFormat="false" ht="21" hidden="false" customHeight="true" outlineLevel="0" collapsed="false">
      <c r="A98" s="91" t="str">
        <f aca="false">IF(名簿!$D98="","",名簿!$B98&amp;"")</f>
        <v/>
      </c>
      <c r="B98" s="91" t="str">
        <f aca="false">IF(名簿!$D98="","",名簿!$C98)</f>
        <v/>
      </c>
      <c r="C98" s="59" t="str">
        <f aca="false">IF(名簿!$D98="","",名簿!$D98&amp;IF(名簿!$F98="転出","（転出）",""))</f>
        <v/>
      </c>
      <c r="D98" s="149"/>
      <c r="E98" s="61" t="str">
        <f aca="false">IF(OR($C98="",名簿!$F98="転出"),"",IF($C$2="学級ごと",$A98,IF($C$2="前の単元と同じ",単元03!$E98&amp;"",$D98&amp;"")))</f>
        <v/>
      </c>
      <c r="F98" s="150"/>
      <c r="G98" s="150"/>
      <c r="H98" s="150"/>
      <c r="I98" s="151"/>
      <c r="J98" s="41" t="str">
        <f aca="false">IF($E98="","",$E98&amp;"|"&amp;COUNTIF($E$5:$E98,$E98))</f>
        <v/>
      </c>
      <c r="K98" s="40" t="str">
        <f aca="false">IF($I98="","",LEN($I98))</f>
        <v/>
      </c>
      <c r="L98" s="13"/>
      <c r="M98" s="13"/>
      <c r="N98" s="13"/>
      <c r="O98" s="13"/>
      <c r="P98" s="152"/>
      <c r="Q98" s="149"/>
      <c r="R98" s="152"/>
      <c r="S98" s="152"/>
      <c r="T98" s="62" t="str">
        <f aca="false">IF(OR($C98="",R98=""),"",IF(R98/IF($R$2="",100,$R$2)&gt;=設定!$I$28,設定!$G$8,IF(R98/IF($R$2="",100,$R$2)&lt;設定!$I$29,設定!$G$10,設定!$G$9)))</f>
        <v/>
      </c>
      <c r="U98" s="62" t="str">
        <f aca="false">IF(OR($C98="",S98=""),"",IF(S98/IF($S$2="",100,$S$2)&gt;=設定!$I$28,設定!$G$8,IF(S98/IF($S$2="",100,$S$2)&lt;設定!$I$29,設定!$G$10,設定!$G$9)))</f>
        <v/>
      </c>
    </row>
    <row r="99" customFormat="false" ht="21" hidden="false" customHeight="true" outlineLevel="0" collapsed="false">
      <c r="A99" s="91" t="str">
        <f aca="false">IF(名簿!$D99="","",名簿!$B99&amp;"")</f>
        <v/>
      </c>
      <c r="B99" s="91" t="str">
        <f aca="false">IF(名簿!$D99="","",名簿!$C99)</f>
        <v/>
      </c>
      <c r="C99" s="59" t="str">
        <f aca="false">IF(名簿!$D99="","",名簿!$D99&amp;IF(名簿!$F99="転出","（転出）",""))</f>
        <v/>
      </c>
      <c r="D99" s="149"/>
      <c r="E99" s="61" t="str">
        <f aca="false">IF(OR($C99="",名簿!$F99="転出"),"",IF($C$2="学級ごと",$A99,IF($C$2="前の単元と同じ",単元03!$E99&amp;"",$D99&amp;"")))</f>
        <v/>
      </c>
      <c r="F99" s="150"/>
      <c r="G99" s="150"/>
      <c r="H99" s="150"/>
      <c r="I99" s="151"/>
      <c r="J99" s="41" t="str">
        <f aca="false">IF($E99="","",$E99&amp;"|"&amp;COUNTIF($E$5:$E99,$E99))</f>
        <v/>
      </c>
      <c r="K99" s="40" t="str">
        <f aca="false">IF($I99="","",LEN($I99))</f>
        <v/>
      </c>
      <c r="L99" s="13"/>
      <c r="M99" s="13"/>
      <c r="N99" s="13"/>
      <c r="O99" s="13"/>
      <c r="P99" s="152"/>
      <c r="Q99" s="149"/>
      <c r="R99" s="152"/>
      <c r="S99" s="152"/>
      <c r="T99" s="62" t="str">
        <f aca="false">IF(OR($C99="",R99=""),"",IF(R99/IF($R$2="",100,$R$2)&gt;=設定!$I$28,設定!$G$8,IF(R99/IF($R$2="",100,$R$2)&lt;設定!$I$29,設定!$G$10,設定!$G$9)))</f>
        <v/>
      </c>
      <c r="U99" s="62" t="str">
        <f aca="false">IF(OR($C99="",S99=""),"",IF(S99/IF($S$2="",100,$S$2)&gt;=設定!$I$28,設定!$G$8,IF(S99/IF($S$2="",100,$S$2)&lt;設定!$I$29,設定!$G$10,設定!$G$9)))</f>
        <v/>
      </c>
    </row>
    <row r="100" customFormat="false" ht="21" hidden="false" customHeight="true" outlineLevel="0" collapsed="false">
      <c r="A100" s="91" t="str">
        <f aca="false">IF(名簿!$D100="","",名簿!$B100&amp;"")</f>
        <v/>
      </c>
      <c r="B100" s="91" t="str">
        <f aca="false">IF(名簿!$D100="","",名簿!$C100)</f>
        <v/>
      </c>
      <c r="C100" s="59" t="str">
        <f aca="false">IF(名簿!$D100="","",名簿!$D100&amp;IF(名簿!$F100="転出","（転出）",""))</f>
        <v/>
      </c>
      <c r="D100" s="149"/>
      <c r="E100" s="61" t="str">
        <f aca="false">IF(OR($C100="",名簿!$F100="転出"),"",IF($C$2="学級ごと",$A100,IF($C$2="前の単元と同じ",単元03!$E100&amp;"",$D100&amp;"")))</f>
        <v/>
      </c>
      <c r="F100" s="150"/>
      <c r="G100" s="150"/>
      <c r="H100" s="150"/>
      <c r="I100" s="151"/>
      <c r="J100" s="41" t="str">
        <f aca="false">IF($E100="","",$E100&amp;"|"&amp;COUNTIF($E$5:$E100,$E100))</f>
        <v/>
      </c>
      <c r="K100" s="40" t="str">
        <f aca="false">IF($I100="","",LEN($I100))</f>
        <v/>
      </c>
      <c r="L100" s="13"/>
      <c r="M100" s="13"/>
      <c r="N100" s="13"/>
      <c r="O100" s="13"/>
      <c r="P100" s="152"/>
      <c r="Q100" s="149"/>
      <c r="R100" s="152"/>
      <c r="S100" s="152"/>
      <c r="T100" s="62" t="str">
        <f aca="false">IF(OR($C100="",R100=""),"",IF(R100/IF($R$2="",100,$R$2)&gt;=設定!$I$28,設定!$G$8,IF(R100/IF($R$2="",100,$R$2)&lt;設定!$I$29,設定!$G$10,設定!$G$9)))</f>
        <v/>
      </c>
      <c r="U100" s="62" t="str">
        <f aca="false">IF(OR($C100="",S100=""),"",IF(S100/IF($S$2="",100,$S$2)&gt;=設定!$I$28,設定!$G$8,IF(S100/IF($S$2="",100,$S$2)&lt;設定!$I$29,設定!$G$10,設定!$G$9)))</f>
        <v/>
      </c>
    </row>
    <row r="101" customFormat="false" ht="21" hidden="false" customHeight="true" outlineLevel="0" collapsed="false">
      <c r="A101" s="91" t="str">
        <f aca="false">IF(名簿!$D101="","",名簿!$B101&amp;"")</f>
        <v/>
      </c>
      <c r="B101" s="91" t="str">
        <f aca="false">IF(名簿!$D101="","",名簿!$C101)</f>
        <v/>
      </c>
      <c r="C101" s="59" t="str">
        <f aca="false">IF(名簿!$D101="","",名簿!$D101&amp;IF(名簿!$F101="転出","（転出）",""))</f>
        <v/>
      </c>
      <c r="D101" s="149"/>
      <c r="E101" s="61" t="str">
        <f aca="false">IF(OR($C101="",名簿!$F101="転出"),"",IF($C$2="学級ごと",$A101,IF($C$2="前の単元と同じ",単元03!$E101&amp;"",$D101&amp;"")))</f>
        <v/>
      </c>
      <c r="F101" s="150"/>
      <c r="G101" s="150"/>
      <c r="H101" s="150"/>
      <c r="I101" s="151"/>
      <c r="J101" s="41" t="str">
        <f aca="false">IF($E101="","",$E101&amp;"|"&amp;COUNTIF($E$5:$E101,$E101))</f>
        <v/>
      </c>
      <c r="K101" s="40" t="str">
        <f aca="false">IF($I101="","",LEN($I101))</f>
        <v/>
      </c>
      <c r="L101" s="13"/>
      <c r="M101" s="13"/>
      <c r="N101" s="13"/>
      <c r="O101" s="13"/>
      <c r="P101" s="152"/>
      <c r="Q101" s="149"/>
      <c r="R101" s="152"/>
      <c r="S101" s="152"/>
      <c r="T101" s="62" t="str">
        <f aca="false">IF(OR($C101="",R101=""),"",IF(R101/IF($R$2="",100,$R$2)&gt;=設定!$I$28,設定!$G$8,IF(R101/IF($R$2="",100,$R$2)&lt;設定!$I$29,設定!$G$10,設定!$G$9)))</f>
        <v/>
      </c>
      <c r="U101" s="62" t="str">
        <f aca="false">IF(OR($C101="",S101=""),"",IF(S101/IF($S$2="",100,$S$2)&gt;=設定!$I$28,設定!$G$8,IF(S101/IF($S$2="",100,$S$2)&lt;設定!$I$29,設定!$G$10,設定!$G$9)))</f>
        <v/>
      </c>
    </row>
    <row r="102" customFormat="false" ht="21" hidden="false" customHeight="true" outlineLevel="0" collapsed="false">
      <c r="A102" s="91" t="str">
        <f aca="false">IF(名簿!$D102="","",名簿!$B102&amp;"")</f>
        <v/>
      </c>
      <c r="B102" s="91" t="str">
        <f aca="false">IF(名簿!$D102="","",名簿!$C102)</f>
        <v/>
      </c>
      <c r="C102" s="59" t="str">
        <f aca="false">IF(名簿!$D102="","",名簿!$D102&amp;IF(名簿!$F102="転出","（転出）",""))</f>
        <v/>
      </c>
      <c r="D102" s="149"/>
      <c r="E102" s="61" t="str">
        <f aca="false">IF(OR($C102="",名簿!$F102="転出"),"",IF($C$2="学級ごと",$A102,IF($C$2="前の単元と同じ",単元03!$E102&amp;"",$D102&amp;"")))</f>
        <v/>
      </c>
      <c r="F102" s="150"/>
      <c r="G102" s="150"/>
      <c r="H102" s="150"/>
      <c r="I102" s="151"/>
      <c r="J102" s="41" t="str">
        <f aca="false">IF($E102="","",$E102&amp;"|"&amp;COUNTIF($E$5:$E102,$E102))</f>
        <v/>
      </c>
      <c r="K102" s="40" t="str">
        <f aca="false">IF($I102="","",LEN($I102))</f>
        <v/>
      </c>
      <c r="L102" s="13"/>
      <c r="M102" s="13"/>
      <c r="N102" s="13"/>
      <c r="O102" s="13"/>
      <c r="P102" s="152"/>
      <c r="Q102" s="149"/>
      <c r="R102" s="152"/>
      <c r="S102" s="152"/>
      <c r="T102" s="62" t="str">
        <f aca="false">IF(OR($C102="",R102=""),"",IF(R102/IF($R$2="",100,$R$2)&gt;=設定!$I$28,設定!$G$8,IF(R102/IF($R$2="",100,$R$2)&lt;設定!$I$29,設定!$G$10,設定!$G$9)))</f>
        <v/>
      </c>
      <c r="U102" s="62" t="str">
        <f aca="false">IF(OR($C102="",S102=""),"",IF(S102/IF($S$2="",100,$S$2)&gt;=設定!$I$28,設定!$G$8,IF(S102/IF($S$2="",100,$S$2)&lt;設定!$I$29,設定!$G$10,設定!$G$9)))</f>
        <v/>
      </c>
    </row>
    <row r="103" customFormat="false" ht="21" hidden="false" customHeight="true" outlineLevel="0" collapsed="false">
      <c r="A103" s="91" t="str">
        <f aca="false">IF(名簿!$D103="","",名簿!$B103&amp;"")</f>
        <v/>
      </c>
      <c r="B103" s="91" t="str">
        <f aca="false">IF(名簿!$D103="","",名簿!$C103)</f>
        <v/>
      </c>
      <c r="C103" s="59" t="str">
        <f aca="false">IF(名簿!$D103="","",名簿!$D103&amp;IF(名簿!$F103="転出","（転出）",""))</f>
        <v/>
      </c>
      <c r="D103" s="149"/>
      <c r="E103" s="61" t="str">
        <f aca="false">IF(OR($C103="",名簿!$F103="転出"),"",IF($C$2="学級ごと",$A103,IF($C$2="前の単元と同じ",単元03!$E103&amp;"",$D103&amp;"")))</f>
        <v/>
      </c>
      <c r="F103" s="150"/>
      <c r="G103" s="150"/>
      <c r="H103" s="150"/>
      <c r="I103" s="151"/>
      <c r="J103" s="41" t="str">
        <f aca="false">IF($E103="","",$E103&amp;"|"&amp;COUNTIF($E$5:$E103,$E103))</f>
        <v/>
      </c>
      <c r="K103" s="40" t="str">
        <f aca="false">IF($I103="","",LEN($I103))</f>
        <v/>
      </c>
      <c r="L103" s="13"/>
      <c r="M103" s="13"/>
      <c r="N103" s="13"/>
      <c r="O103" s="13"/>
      <c r="P103" s="152"/>
      <c r="Q103" s="149"/>
      <c r="R103" s="152"/>
      <c r="S103" s="152"/>
      <c r="T103" s="62" t="str">
        <f aca="false">IF(OR($C103="",R103=""),"",IF(R103/IF($R$2="",100,$R$2)&gt;=設定!$I$28,設定!$G$8,IF(R103/IF($R$2="",100,$R$2)&lt;設定!$I$29,設定!$G$10,設定!$G$9)))</f>
        <v/>
      </c>
      <c r="U103" s="62" t="str">
        <f aca="false">IF(OR($C103="",S103=""),"",IF(S103/IF($S$2="",100,$S$2)&gt;=設定!$I$28,設定!$G$8,IF(S103/IF($S$2="",100,$S$2)&lt;設定!$I$29,設定!$G$10,設定!$G$9)))</f>
        <v/>
      </c>
    </row>
    <row r="104" customFormat="false" ht="21" hidden="false" customHeight="true" outlineLevel="0" collapsed="false">
      <c r="A104" s="91" t="str">
        <f aca="false">IF(名簿!$D104="","",名簿!$B104&amp;"")</f>
        <v/>
      </c>
      <c r="B104" s="91" t="str">
        <f aca="false">IF(名簿!$D104="","",名簿!$C104)</f>
        <v/>
      </c>
      <c r="C104" s="59" t="str">
        <f aca="false">IF(名簿!$D104="","",名簿!$D104&amp;IF(名簿!$F104="転出","（転出）",""))</f>
        <v/>
      </c>
      <c r="D104" s="149"/>
      <c r="E104" s="61" t="str">
        <f aca="false">IF(OR($C104="",名簿!$F104="転出"),"",IF($C$2="学級ごと",$A104,IF($C$2="前の単元と同じ",単元03!$E104&amp;"",$D104&amp;"")))</f>
        <v/>
      </c>
      <c r="F104" s="150"/>
      <c r="G104" s="150"/>
      <c r="H104" s="150"/>
      <c r="I104" s="151"/>
      <c r="J104" s="41" t="str">
        <f aca="false">IF($E104="","",$E104&amp;"|"&amp;COUNTIF($E$5:$E104,$E104))</f>
        <v/>
      </c>
      <c r="K104" s="40" t="str">
        <f aca="false">IF($I104="","",LEN($I104))</f>
        <v/>
      </c>
      <c r="L104" s="13"/>
      <c r="M104" s="13"/>
      <c r="N104" s="13"/>
      <c r="O104" s="13"/>
      <c r="P104" s="152"/>
      <c r="Q104" s="149"/>
      <c r="R104" s="152"/>
      <c r="S104" s="152"/>
      <c r="T104" s="62" t="str">
        <f aca="false">IF(OR($C104="",R104=""),"",IF(R104/IF($R$2="",100,$R$2)&gt;=設定!$I$28,設定!$G$8,IF(R104/IF($R$2="",100,$R$2)&lt;設定!$I$29,設定!$G$10,設定!$G$9)))</f>
        <v/>
      </c>
      <c r="U104" s="62" t="str">
        <f aca="false">IF(OR($C104="",S104=""),"",IF(S104/IF($S$2="",100,$S$2)&gt;=設定!$I$28,設定!$G$8,IF(S104/IF($S$2="",100,$S$2)&lt;設定!$I$29,設定!$G$10,設定!$G$9)))</f>
        <v/>
      </c>
    </row>
    <row r="105" customFormat="false" ht="21" hidden="false" customHeight="true" outlineLevel="0" collapsed="false">
      <c r="A105" s="91" t="str">
        <f aca="false">IF(名簿!$D105="","",名簿!$B105&amp;"")</f>
        <v/>
      </c>
      <c r="B105" s="91" t="str">
        <f aca="false">IF(名簿!$D105="","",名簿!$C105)</f>
        <v/>
      </c>
      <c r="C105" s="59" t="str">
        <f aca="false">IF(名簿!$D105="","",名簿!$D105&amp;IF(名簿!$F105="転出","（転出）",""))</f>
        <v/>
      </c>
      <c r="D105" s="149"/>
      <c r="E105" s="61" t="str">
        <f aca="false">IF(OR($C105="",名簿!$F105="転出"),"",IF($C$2="学級ごと",$A105,IF($C$2="前の単元と同じ",単元03!$E105&amp;"",$D105&amp;"")))</f>
        <v/>
      </c>
      <c r="F105" s="150"/>
      <c r="G105" s="150"/>
      <c r="H105" s="150"/>
      <c r="I105" s="151"/>
      <c r="J105" s="41" t="str">
        <f aca="false">IF($E105="","",$E105&amp;"|"&amp;COUNTIF($E$5:$E105,$E105))</f>
        <v/>
      </c>
      <c r="K105" s="40" t="str">
        <f aca="false">IF($I105="","",LEN($I105))</f>
        <v/>
      </c>
      <c r="L105" s="13"/>
      <c r="M105" s="13"/>
      <c r="N105" s="13"/>
      <c r="O105" s="13"/>
      <c r="P105" s="152"/>
      <c r="Q105" s="149"/>
      <c r="R105" s="152"/>
      <c r="S105" s="152"/>
      <c r="T105" s="62" t="str">
        <f aca="false">IF(OR($C105="",R105=""),"",IF(R105/IF($R$2="",100,$R$2)&gt;=設定!$I$28,設定!$G$8,IF(R105/IF($R$2="",100,$R$2)&lt;設定!$I$29,設定!$G$10,設定!$G$9)))</f>
        <v/>
      </c>
      <c r="U105" s="62" t="str">
        <f aca="false">IF(OR($C105="",S105=""),"",IF(S105/IF($S$2="",100,$S$2)&gt;=設定!$I$28,設定!$G$8,IF(S105/IF($S$2="",100,$S$2)&lt;設定!$I$29,設定!$G$10,設定!$G$9)))</f>
        <v/>
      </c>
    </row>
    <row r="106" customFormat="false" ht="21" hidden="false" customHeight="true" outlineLevel="0" collapsed="false">
      <c r="A106" s="91" t="str">
        <f aca="false">IF(名簿!$D106="","",名簿!$B106&amp;"")</f>
        <v/>
      </c>
      <c r="B106" s="91" t="str">
        <f aca="false">IF(名簿!$D106="","",名簿!$C106)</f>
        <v/>
      </c>
      <c r="C106" s="59" t="str">
        <f aca="false">IF(名簿!$D106="","",名簿!$D106&amp;IF(名簿!$F106="転出","（転出）",""))</f>
        <v/>
      </c>
      <c r="D106" s="149"/>
      <c r="E106" s="61" t="str">
        <f aca="false">IF(OR($C106="",名簿!$F106="転出"),"",IF($C$2="学級ごと",$A106,IF($C$2="前の単元と同じ",単元03!$E106&amp;"",$D106&amp;"")))</f>
        <v/>
      </c>
      <c r="F106" s="150"/>
      <c r="G106" s="150"/>
      <c r="H106" s="150"/>
      <c r="I106" s="151"/>
      <c r="J106" s="41" t="str">
        <f aca="false">IF($E106="","",$E106&amp;"|"&amp;COUNTIF($E$5:$E106,$E106))</f>
        <v/>
      </c>
      <c r="K106" s="40" t="str">
        <f aca="false">IF($I106="","",LEN($I106))</f>
        <v/>
      </c>
      <c r="L106" s="13"/>
      <c r="M106" s="13"/>
      <c r="N106" s="13"/>
      <c r="O106" s="13"/>
      <c r="P106" s="152"/>
      <c r="Q106" s="149"/>
      <c r="R106" s="152"/>
      <c r="S106" s="152"/>
      <c r="T106" s="62" t="str">
        <f aca="false">IF(OR($C106="",R106=""),"",IF(R106/IF($R$2="",100,$R$2)&gt;=設定!$I$28,設定!$G$8,IF(R106/IF($R$2="",100,$R$2)&lt;設定!$I$29,設定!$G$10,設定!$G$9)))</f>
        <v/>
      </c>
      <c r="U106" s="62" t="str">
        <f aca="false">IF(OR($C106="",S106=""),"",IF(S106/IF($S$2="",100,$S$2)&gt;=設定!$I$28,設定!$G$8,IF(S106/IF($S$2="",100,$S$2)&lt;設定!$I$29,設定!$G$10,設定!$G$9)))</f>
        <v/>
      </c>
    </row>
    <row r="107" customFormat="false" ht="21" hidden="false" customHeight="true" outlineLevel="0" collapsed="false">
      <c r="A107" s="91" t="str">
        <f aca="false">IF(名簿!$D107="","",名簿!$B107&amp;"")</f>
        <v/>
      </c>
      <c r="B107" s="91" t="str">
        <f aca="false">IF(名簿!$D107="","",名簿!$C107)</f>
        <v/>
      </c>
      <c r="C107" s="59" t="str">
        <f aca="false">IF(名簿!$D107="","",名簿!$D107&amp;IF(名簿!$F107="転出","（転出）",""))</f>
        <v/>
      </c>
      <c r="D107" s="149"/>
      <c r="E107" s="61" t="str">
        <f aca="false">IF(OR($C107="",名簿!$F107="転出"),"",IF($C$2="学級ごと",$A107,IF($C$2="前の単元と同じ",単元03!$E107&amp;"",$D107&amp;"")))</f>
        <v/>
      </c>
      <c r="F107" s="150"/>
      <c r="G107" s="150"/>
      <c r="H107" s="150"/>
      <c r="I107" s="151"/>
      <c r="J107" s="41" t="str">
        <f aca="false">IF($E107="","",$E107&amp;"|"&amp;COUNTIF($E$5:$E107,$E107))</f>
        <v/>
      </c>
      <c r="K107" s="40" t="str">
        <f aca="false">IF($I107="","",LEN($I107))</f>
        <v/>
      </c>
      <c r="L107" s="13"/>
      <c r="M107" s="13"/>
      <c r="N107" s="13"/>
      <c r="O107" s="13"/>
      <c r="P107" s="152"/>
      <c r="Q107" s="149"/>
      <c r="R107" s="152"/>
      <c r="S107" s="152"/>
      <c r="T107" s="62" t="str">
        <f aca="false">IF(OR($C107="",R107=""),"",IF(R107/IF($R$2="",100,$R$2)&gt;=設定!$I$28,設定!$G$8,IF(R107/IF($R$2="",100,$R$2)&lt;設定!$I$29,設定!$G$10,設定!$G$9)))</f>
        <v/>
      </c>
      <c r="U107" s="62" t="str">
        <f aca="false">IF(OR($C107="",S107=""),"",IF(S107/IF($S$2="",100,$S$2)&gt;=設定!$I$28,設定!$G$8,IF(S107/IF($S$2="",100,$S$2)&lt;設定!$I$29,設定!$G$10,設定!$G$9)))</f>
        <v/>
      </c>
    </row>
    <row r="108" customFormat="false" ht="21" hidden="false" customHeight="true" outlineLevel="0" collapsed="false">
      <c r="A108" s="91" t="str">
        <f aca="false">IF(名簿!$D108="","",名簿!$B108&amp;"")</f>
        <v/>
      </c>
      <c r="B108" s="91" t="str">
        <f aca="false">IF(名簿!$D108="","",名簿!$C108)</f>
        <v/>
      </c>
      <c r="C108" s="59" t="str">
        <f aca="false">IF(名簿!$D108="","",名簿!$D108&amp;IF(名簿!$F108="転出","（転出）",""))</f>
        <v/>
      </c>
      <c r="D108" s="149"/>
      <c r="E108" s="61" t="str">
        <f aca="false">IF(OR($C108="",名簿!$F108="転出"),"",IF($C$2="学級ごと",$A108,IF($C$2="前の単元と同じ",単元03!$E108&amp;"",$D108&amp;"")))</f>
        <v/>
      </c>
      <c r="F108" s="150"/>
      <c r="G108" s="150"/>
      <c r="H108" s="150"/>
      <c r="I108" s="151"/>
      <c r="J108" s="41" t="str">
        <f aca="false">IF($E108="","",$E108&amp;"|"&amp;COUNTIF($E$5:$E108,$E108))</f>
        <v/>
      </c>
      <c r="K108" s="40" t="str">
        <f aca="false">IF($I108="","",LEN($I108))</f>
        <v/>
      </c>
      <c r="L108" s="13"/>
      <c r="M108" s="13"/>
      <c r="N108" s="13"/>
      <c r="O108" s="13"/>
      <c r="P108" s="152"/>
      <c r="Q108" s="149"/>
      <c r="R108" s="152"/>
      <c r="S108" s="152"/>
      <c r="T108" s="62" t="str">
        <f aca="false">IF(OR($C108="",R108=""),"",IF(R108/IF($R$2="",100,$R$2)&gt;=設定!$I$28,設定!$G$8,IF(R108/IF($R$2="",100,$R$2)&lt;設定!$I$29,設定!$G$10,設定!$G$9)))</f>
        <v/>
      </c>
      <c r="U108" s="62" t="str">
        <f aca="false">IF(OR($C108="",S108=""),"",IF(S108/IF($S$2="",100,$S$2)&gt;=設定!$I$28,設定!$G$8,IF(S108/IF($S$2="",100,$S$2)&lt;設定!$I$29,設定!$G$10,設定!$G$9)))</f>
        <v/>
      </c>
    </row>
    <row r="109" customFormat="false" ht="21" hidden="false" customHeight="true" outlineLevel="0" collapsed="false">
      <c r="A109" s="91" t="str">
        <f aca="false">IF(名簿!$D109="","",名簿!$B109&amp;"")</f>
        <v/>
      </c>
      <c r="B109" s="91" t="str">
        <f aca="false">IF(名簿!$D109="","",名簿!$C109)</f>
        <v/>
      </c>
      <c r="C109" s="59" t="str">
        <f aca="false">IF(名簿!$D109="","",名簿!$D109&amp;IF(名簿!$F109="転出","（転出）",""))</f>
        <v/>
      </c>
      <c r="D109" s="149"/>
      <c r="E109" s="61" t="str">
        <f aca="false">IF(OR($C109="",名簿!$F109="転出"),"",IF($C$2="学級ごと",$A109,IF($C$2="前の単元と同じ",単元03!$E109&amp;"",$D109&amp;"")))</f>
        <v/>
      </c>
      <c r="F109" s="150"/>
      <c r="G109" s="150"/>
      <c r="H109" s="150"/>
      <c r="I109" s="151"/>
      <c r="J109" s="41" t="str">
        <f aca="false">IF($E109="","",$E109&amp;"|"&amp;COUNTIF($E$5:$E109,$E109))</f>
        <v/>
      </c>
      <c r="K109" s="40" t="str">
        <f aca="false">IF($I109="","",LEN($I109))</f>
        <v/>
      </c>
      <c r="L109" s="13"/>
      <c r="M109" s="13"/>
      <c r="N109" s="13"/>
      <c r="O109" s="13"/>
      <c r="P109" s="152"/>
      <c r="Q109" s="149"/>
      <c r="R109" s="152"/>
      <c r="S109" s="152"/>
      <c r="T109" s="62" t="str">
        <f aca="false">IF(OR($C109="",R109=""),"",IF(R109/IF($R$2="",100,$R$2)&gt;=設定!$I$28,設定!$G$8,IF(R109/IF($R$2="",100,$R$2)&lt;設定!$I$29,設定!$G$10,設定!$G$9)))</f>
        <v/>
      </c>
      <c r="U109" s="62" t="str">
        <f aca="false">IF(OR($C109="",S109=""),"",IF(S109/IF($S$2="",100,$S$2)&gt;=設定!$I$28,設定!$G$8,IF(S109/IF($S$2="",100,$S$2)&lt;設定!$I$29,設定!$G$10,設定!$G$9)))</f>
        <v/>
      </c>
    </row>
    <row r="110" customFormat="false" ht="21" hidden="false" customHeight="true" outlineLevel="0" collapsed="false">
      <c r="A110" s="91" t="str">
        <f aca="false">IF(名簿!$D110="","",名簿!$B110&amp;"")</f>
        <v/>
      </c>
      <c r="B110" s="91" t="str">
        <f aca="false">IF(名簿!$D110="","",名簿!$C110)</f>
        <v/>
      </c>
      <c r="C110" s="59" t="str">
        <f aca="false">IF(名簿!$D110="","",名簿!$D110&amp;IF(名簿!$F110="転出","（転出）",""))</f>
        <v/>
      </c>
      <c r="D110" s="149"/>
      <c r="E110" s="61" t="str">
        <f aca="false">IF(OR($C110="",名簿!$F110="転出"),"",IF($C$2="学級ごと",$A110,IF($C$2="前の単元と同じ",単元03!$E110&amp;"",$D110&amp;"")))</f>
        <v/>
      </c>
      <c r="F110" s="150"/>
      <c r="G110" s="150"/>
      <c r="H110" s="150"/>
      <c r="I110" s="151"/>
      <c r="J110" s="41" t="str">
        <f aca="false">IF($E110="","",$E110&amp;"|"&amp;COUNTIF($E$5:$E110,$E110))</f>
        <v/>
      </c>
      <c r="K110" s="40" t="str">
        <f aca="false">IF($I110="","",LEN($I110))</f>
        <v/>
      </c>
      <c r="L110" s="13"/>
      <c r="M110" s="13"/>
      <c r="N110" s="13"/>
      <c r="O110" s="13"/>
      <c r="P110" s="152"/>
      <c r="Q110" s="149"/>
      <c r="R110" s="152"/>
      <c r="S110" s="152"/>
      <c r="T110" s="62" t="str">
        <f aca="false">IF(OR($C110="",R110=""),"",IF(R110/IF($R$2="",100,$R$2)&gt;=設定!$I$28,設定!$G$8,IF(R110/IF($R$2="",100,$R$2)&lt;設定!$I$29,設定!$G$10,設定!$G$9)))</f>
        <v/>
      </c>
      <c r="U110" s="62" t="str">
        <f aca="false">IF(OR($C110="",S110=""),"",IF(S110/IF($S$2="",100,$S$2)&gt;=設定!$I$28,設定!$G$8,IF(S110/IF($S$2="",100,$S$2)&lt;設定!$I$29,設定!$G$10,設定!$G$9)))</f>
        <v/>
      </c>
    </row>
    <row r="111" customFormat="false" ht="21" hidden="false" customHeight="true" outlineLevel="0" collapsed="false">
      <c r="A111" s="91" t="str">
        <f aca="false">IF(名簿!$D111="","",名簿!$B111&amp;"")</f>
        <v/>
      </c>
      <c r="B111" s="91" t="str">
        <f aca="false">IF(名簿!$D111="","",名簿!$C111)</f>
        <v/>
      </c>
      <c r="C111" s="59" t="str">
        <f aca="false">IF(名簿!$D111="","",名簿!$D111&amp;IF(名簿!$F111="転出","（転出）",""))</f>
        <v/>
      </c>
      <c r="D111" s="149"/>
      <c r="E111" s="61" t="str">
        <f aca="false">IF(OR($C111="",名簿!$F111="転出"),"",IF($C$2="学級ごと",$A111,IF($C$2="前の単元と同じ",単元03!$E111&amp;"",$D111&amp;"")))</f>
        <v/>
      </c>
      <c r="F111" s="150"/>
      <c r="G111" s="150"/>
      <c r="H111" s="150"/>
      <c r="I111" s="151"/>
      <c r="J111" s="41" t="str">
        <f aca="false">IF($E111="","",$E111&amp;"|"&amp;COUNTIF($E$5:$E111,$E111))</f>
        <v/>
      </c>
      <c r="K111" s="40" t="str">
        <f aca="false">IF($I111="","",LEN($I111))</f>
        <v/>
      </c>
      <c r="L111" s="13"/>
      <c r="M111" s="13"/>
      <c r="N111" s="13"/>
      <c r="O111" s="13"/>
      <c r="P111" s="152"/>
      <c r="Q111" s="149"/>
      <c r="R111" s="152"/>
      <c r="S111" s="152"/>
      <c r="T111" s="62" t="str">
        <f aca="false">IF(OR($C111="",R111=""),"",IF(R111/IF($R$2="",100,$R$2)&gt;=設定!$I$28,設定!$G$8,IF(R111/IF($R$2="",100,$R$2)&lt;設定!$I$29,設定!$G$10,設定!$G$9)))</f>
        <v/>
      </c>
      <c r="U111" s="62" t="str">
        <f aca="false">IF(OR($C111="",S111=""),"",IF(S111/IF($S$2="",100,$S$2)&gt;=設定!$I$28,設定!$G$8,IF(S111/IF($S$2="",100,$S$2)&lt;設定!$I$29,設定!$G$10,設定!$G$9)))</f>
        <v/>
      </c>
    </row>
    <row r="112" customFormat="false" ht="21" hidden="false" customHeight="true" outlineLevel="0" collapsed="false">
      <c r="A112" s="91" t="str">
        <f aca="false">IF(名簿!$D112="","",名簿!$B112&amp;"")</f>
        <v/>
      </c>
      <c r="B112" s="91" t="str">
        <f aca="false">IF(名簿!$D112="","",名簿!$C112)</f>
        <v/>
      </c>
      <c r="C112" s="59" t="str">
        <f aca="false">IF(名簿!$D112="","",名簿!$D112&amp;IF(名簿!$F112="転出","（転出）",""))</f>
        <v/>
      </c>
      <c r="D112" s="149"/>
      <c r="E112" s="61" t="str">
        <f aca="false">IF(OR($C112="",名簿!$F112="転出"),"",IF($C$2="学級ごと",$A112,IF($C$2="前の単元と同じ",単元03!$E112&amp;"",$D112&amp;"")))</f>
        <v/>
      </c>
      <c r="F112" s="150"/>
      <c r="G112" s="150"/>
      <c r="H112" s="150"/>
      <c r="I112" s="151"/>
      <c r="J112" s="41" t="str">
        <f aca="false">IF($E112="","",$E112&amp;"|"&amp;COUNTIF($E$5:$E112,$E112))</f>
        <v/>
      </c>
      <c r="K112" s="40" t="str">
        <f aca="false">IF($I112="","",LEN($I112))</f>
        <v/>
      </c>
      <c r="L112" s="13"/>
      <c r="M112" s="13"/>
      <c r="N112" s="13"/>
      <c r="O112" s="13"/>
      <c r="P112" s="152"/>
      <c r="Q112" s="149"/>
      <c r="R112" s="152"/>
      <c r="S112" s="152"/>
      <c r="T112" s="62" t="str">
        <f aca="false">IF(OR($C112="",R112=""),"",IF(R112/IF($R$2="",100,$R$2)&gt;=設定!$I$28,設定!$G$8,IF(R112/IF($R$2="",100,$R$2)&lt;設定!$I$29,設定!$G$10,設定!$G$9)))</f>
        <v/>
      </c>
      <c r="U112" s="62" t="str">
        <f aca="false">IF(OR($C112="",S112=""),"",IF(S112/IF($S$2="",100,$S$2)&gt;=設定!$I$28,設定!$G$8,IF(S112/IF($S$2="",100,$S$2)&lt;設定!$I$29,設定!$G$10,設定!$G$9)))</f>
        <v/>
      </c>
    </row>
    <row r="113" customFormat="false" ht="21" hidden="false" customHeight="true" outlineLevel="0" collapsed="false">
      <c r="A113" s="91" t="str">
        <f aca="false">IF(名簿!$D113="","",名簿!$B113&amp;"")</f>
        <v/>
      </c>
      <c r="B113" s="91" t="str">
        <f aca="false">IF(名簿!$D113="","",名簿!$C113)</f>
        <v/>
      </c>
      <c r="C113" s="59" t="str">
        <f aca="false">IF(名簿!$D113="","",名簿!$D113&amp;IF(名簿!$F113="転出","（転出）",""))</f>
        <v/>
      </c>
      <c r="D113" s="149"/>
      <c r="E113" s="61" t="str">
        <f aca="false">IF(OR($C113="",名簿!$F113="転出"),"",IF($C$2="学級ごと",$A113,IF($C$2="前の単元と同じ",単元03!$E113&amp;"",$D113&amp;"")))</f>
        <v/>
      </c>
      <c r="F113" s="150"/>
      <c r="G113" s="150"/>
      <c r="H113" s="150"/>
      <c r="I113" s="151"/>
      <c r="J113" s="41" t="str">
        <f aca="false">IF($E113="","",$E113&amp;"|"&amp;COUNTIF($E$5:$E113,$E113))</f>
        <v/>
      </c>
      <c r="K113" s="40" t="str">
        <f aca="false">IF($I113="","",LEN($I113))</f>
        <v/>
      </c>
      <c r="L113" s="13"/>
      <c r="M113" s="13"/>
      <c r="N113" s="13"/>
      <c r="O113" s="13"/>
      <c r="P113" s="152"/>
      <c r="Q113" s="149"/>
      <c r="R113" s="152"/>
      <c r="S113" s="152"/>
      <c r="T113" s="62" t="str">
        <f aca="false">IF(OR($C113="",R113=""),"",IF(R113/IF($R$2="",100,$R$2)&gt;=設定!$I$28,設定!$G$8,IF(R113/IF($R$2="",100,$R$2)&lt;設定!$I$29,設定!$G$10,設定!$G$9)))</f>
        <v/>
      </c>
      <c r="U113" s="62" t="str">
        <f aca="false">IF(OR($C113="",S113=""),"",IF(S113/IF($S$2="",100,$S$2)&gt;=設定!$I$28,設定!$G$8,IF(S113/IF($S$2="",100,$S$2)&lt;設定!$I$29,設定!$G$10,設定!$G$9)))</f>
        <v/>
      </c>
    </row>
    <row r="114" customFormat="false" ht="21" hidden="false" customHeight="true" outlineLevel="0" collapsed="false">
      <c r="A114" s="91" t="str">
        <f aca="false">IF(名簿!$D114="","",名簿!$B114&amp;"")</f>
        <v/>
      </c>
      <c r="B114" s="91" t="str">
        <f aca="false">IF(名簿!$D114="","",名簿!$C114)</f>
        <v/>
      </c>
      <c r="C114" s="59" t="str">
        <f aca="false">IF(名簿!$D114="","",名簿!$D114&amp;IF(名簿!$F114="転出","（転出）",""))</f>
        <v/>
      </c>
      <c r="D114" s="149"/>
      <c r="E114" s="61" t="str">
        <f aca="false">IF(OR($C114="",名簿!$F114="転出"),"",IF($C$2="学級ごと",$A114,IF($C$2="前の単元と同じ",単元03!$E114&amp;"",$D114&amp;"")))</f>
        <v/>
      </c>
      <c r="F114" s="150"/>
      <c r="G114" s="150"/>
      <c r="H114" s="150"/>
      <c r="I114" s="151"/>
      <c r="J114" s="41" t="str">
        <f aca="false">IF($E114="","",$E114&amp;"|"&amp;COUNTIF($E$5:$E114,$E114))</f>
        <v/>
      </c>
      <c r="K114" s="40" t="str">
        <f aca="false">IF($I114="","",LEN($I114))</f>
        <v/>
      </c>
      <c r="L114" s="13"/>
      <c r="M114" s="13"/>
      <c r="N114" s="13"/>
      <c r="O114" s="13"/>
      <c r="P114" s="152"/>
      <c r="Q114" s="149"/>
      <c r="R114" s="152"/>
      <c r="S114" s="152"/>
      <c r="T114" s="62" t="str">
        <f aca="false">IF(OR($C114="",R114=""),"",IF(R114/IF($R$2="",100,$R$2)&gt;=設定!$I$28,設定!$G$8,IF(R114/IF($R$2="",100,$R$2)&lt;設定!$I$29,設定!$G$10,設定!$G$9)))</f>
        <v/>
      </c>
      <c r="U114" s="62" t="str">
        <f aca="false">IF(OR($C114="",S114=""),"",IF(S114/IF($S$2="",100,$S$2)&gt;=設定!$I$28,設定!$G$8,IF(S114/IF($S$2="",100,$S$2)&lt;設定!$I$29,設定!$G$10,設定!$G$9)))</f>
        <v/>
      </c>
    </row>
    <row r="115" customFormat="false" ht="21" hidden="false" customHeight="true" outlineLevel="0" collapsed="false">
      <c r="A115" s="91" t="str">
        <f aca="false">IF(名簿!$D115="","",名簿!$B115&amp;"")</f>
        <v/>
      </c>
      <c r="B115" s="91" t="str">
        <f aca="false">IF(名簿!$D115="","",名簿!$C115)</f>
        <v/>
      </c>
      <c r="C115" s="59" t="str">
        <f aca="false">IF(名簿!$D115="","",名簿!$D115&amp;IF(名簿!$F115="転出","（転出）",""))</f>
        <v/>
      </c>
      <c r="D115" s="149"/>
      <c r="E115" s="61" t="str">
        <f aca="false">IF(OR($C115="",名簿!$F115="転出"),"",IF($C$2="学級ごと",$A115,IF($C$2="前の単元と同じ",単元03!$E115&amp;"",$D115&amp;"")))</f>
        <v/>
      </c>
      <c r="F115" s="150"/>
      <c r="G115" s="150"/>
      <c r="H115" s="150"/>
      <c r="I115" s="151"/>
      <c r="J115" s="41" t="str">
        <f aca="false">IF($E115="","",$E115&amp;"|"&amp;COUNTIF($E$5:$E115,$E115))</f>
        <v/>
      </c>
      <c r="K115" s="40" t="str">
        <f aca="false">IF($I115="","",LEN($I115))</f>
        <v/>
      </c>
      <c r="L115" s="13"/>
      <c r="M115" s="13"/>
      <c r="N115" s="13"/>
      <c r="O115" s="13"/>
      <c r="P115" s="152"/>
      <c r="Q115" s="149"/>
      <c r="R115" s="152"/>
      <c r="S115" s="152"/>
      <c r="T115" s="62" t="str">
        <f aca="false">IF(OR($C115="",R115=""),"",IF(R115/IF($R$2="",100,$R$2)&gt;=設定!$I$28,設定!$G$8,IF(R115/IF($R$2="",100,$R$2)&lt;設定!$I$29,設定!$G$10,設定!$G$9)))</f>
        <v/>
      </c>
      <c r="U115" s="62" t="str">
        <f aca="false">IF(OR($C115="",S115=""),"",IF(S115/IF($S$2="",100,$S$2)&gt;=設定!$I$28,設定!$G$8,IF(S115/IF($S$2="",100,$S$2)&lt;設定!$I$29,設定!$G$10,設定!$G$9)))</f>
        <v/>
      </c>
    </row>
    <row r="116" customFormat="false" ht="21" hidden="false" customHeight="true" outlineLevel="0" collapsed="false">
      <c r="A116" s="91" t="str">
        <f aca="false">IF(名簿!$D116="","",名簿!$B116&amp;"")</f>
        <v/>
      </c>
      <c r="B116" s="91" t="str">
        <f aca="false">IF(名簿!$D116="","",名簿!$C116)</f>
        <v/>
      </c>
      <c r="C116" s="59" t="str">
        <f aca="false">IF(名簿!$D116="","",名簿!$D116&amp;IF(名簿!$F116="転出","（転出）",""))</f>
        <v/>
      </c>
      <c r="D116" s="149"/>
      <c r="E116" s="61" t="str">
        <f aca="false">IF(OR($C116="",名簿!$F116="転出"),"",IF($C$2="学級ごと",$A116,IF($C$2="前の単元と同じ",単元03!$E116&amp;"",$D116&amp;"")))</f>
        <v/>
      </c>
      <c r="F116" s="150"/>
      <c r="G116" s="150"/>
      <c r="H116" s="150"/>
      <c r="I116" s="151"/>
      <c r="J116" s="41" t="str">
        <f aca="false">IF($E116="","",$E116&amp;"|"&amp;COUNTIF($E$5:$E116,$E116))</f>
        <v/>
      </c>
      <c r="K116" s="40" t="str">
        <f aca="false">IF($I116="","",LEN($I116))</f>
        <v/>
      </c>
      <c r="L116" s="13"/>
      <c r="M116" s="13"/>
      <c r="N116" s="13"/>
      <c r="O116" s="13"/>
      <c r="P116" s="152"/>
      <c r="Q116" s="149"/>
      <c r="R116" s="152"/>
      <c r="S116" s="152"/>
      <c r="T116" s="62" t="str">
        <f aca="false">IF(OR($C116="",R116=""),"",IF(R116/IF($R$2="",100,$R$2)&gt;=設定!$I$28,設定!$G$8,IF(R116/IF($R$2="",100,$R$2)&lt;設定!$I$29,設定!$G$10,設定!$G$9)))</f>
        <v/>
      </c>
      <c r="U116" s="62" t="str">
        <f aca="false">IF(OR($C116="",S116=""),"",IF(S116/IF($S$2="",100,$S$2)&gt;=設定!$I$28,設定!$G$8,IF(S116/IF($S$2="",100,$S$2)&lt;設定!$I$29,設定!$G$10,設定!$G$9)))</f>
        <v/>
      </c>
    </row>
    <row r="117" customFormat="false" ht="21" hidden="false" customHeight="true" outlineLevel="0" collapsed="false">
      <c r="A117" s="91" t="str">
        <f aca="false">IF(名簿!$D117="","",名簿!$B117&amp;"")</f>
        <v/>
      </c>
      <c r="B117" s="91" t="str">
        <f aca="false">IF(名簿!$D117="","",名簿!$C117)</f>
        <v/>
      </c>
      <c r="C117" s="59" t="str">
        <f aca="false">IF(名簿!$D117="","",名簿!$D117&amp;IF(名簿!$F117="転出","（転出）",""))</f>
        <v/>
      </c>
      <c r="D117" s="149"/>
      <c r="E117" s="61" t="str">
        <f aca="false">IF(OR($C117="",名簿!$F117="転出"),"",IF($C$2="学級ごと",$A117,IF($C$2="前の単元と同じ",単元03!$E117&amp;"",$D117&amp;"")))</f>
        <v/>
      </c>
      <c r="F117" s="150"/>
      <c r="G117" s="150"/>
      <c r="H117" s="150"/>
      <c r="I117" s="151"/>
      <c r="J117" s="41" t="str">
        <f aca="false">IF($E117="","",$E117&amp;"|"&amp;COUNTIF($E$5:$E117,$E117))</f>
        <v/>
      </c>
      <c r="K117" s="40" t="str">
        <f aca="false">IF($I117="","",LEN($I117))</f>
        <v/>
      </c>
      <c r="L117" s="13"/>
      <c r="M117" s="13"/>
      <c r="N117" s="13"/>
      <c r="O117" s="13"/>
      <c r="P117" s="152"/>
      <c r="Q117" s="149"/>
      <c r="R117" s="152"/>
      <c r="S117" s="152"/>
      <c r="T117" s="62" t="str">
        <f aca="false">IF(OR($C117="",R117=""),"",IF(R117/IF($R$2="",100,$R$2)&gt;=設定!$I$28,設定!$G$8,IF(R117/IF($R$2="",100,$R$2)&lt;設定!$I$29,設定!$G$10,設定!$G$9)))</f>
        <v/>
      </c>
      <c r="U117" s="62" t="str">
        <f aca="false">IF(OR($C117="",S117=""),"",IF(S117/IF($S$2="",100,$S$2)&gt;=設定!$I$28,設定!$G$8,IF(S117/IF($S$2="",100,$S$2)&lt;設定!$I$29,設定!$G$10,設定!$G$9)))</f>
        <v/>
      </c>
    </row>
    <row r="118" customFormat="false" ht="21" hidden="false" customHeight="true" outlineLevel="0" collapsed="false">
      <c r="A118" s="91" t="str">
        <f aca="false">IF(名簿!$D118="","",名簿!$B118&amp;"")</f>
        <v/>
      </c>
      <c r="B118" s="91" t="str">
        <f aca="false">IF(名簿!$D118="","",名簿!$C118)</f>
        <v/>
      </c>
      <c r="C118" s="59" t="str">
        <f aca="false">IF(名簿!$D118="","",名簿!$D118&amp;IF(名簿!$F118="転出","（転出）",""))</f>
        <v/>
      </c>
      <c r="D118" s="149"/>
      <c r="E118" s="61" t="str">
        <f aca="false">IF(OR($C118="",名簿!$F118="転出"),"",IF($C$2="学級ごと",$A118,IF($C$2="前の単元と同じ",単元03!$E118&amp;"",$D118&amp;"")))</f>
        <v/>
      </c>
      <c r="F118" s="150"/>
      <c r="G118" s="150"/>
      <c r="H118" s="150"/>
      <c r="I118" s="151"/>
      <c r="J118" s="41" t="str">
        <f aca="false">IF($E118="","",$E118&amp;"|"&amp;COUNTIF($E$5:$E118,$E118))</f>
        <v/>
      </c>
      <c r="K118" s="40" t="str">
        <f aca="false">IF($I118="","",LEN($I118))</f>
        <v/>
      </c>
      <c r="L118" s="13"/>
      <c r="M118" s="13"/>
      <c r="N118" s="13"/>
      <c r="O118" s="13"/>
      <c r="P118" s="152"/>
      <c r="Q118" s="149"/>
      <c r="R118" s="152"/>
      <c r="S118" s="152"/>
      <c r="T118" s="62" t="str">
        <f aca="false">IF(OR($C118="",R118=""),"",IF(R118/IF($R$2="",100,$R$2)&gt;=設定!$I$28,設定!$G$8,IF(R118/IF($R$2="",100,$R$2)&lt;設定!$I$29,設定!$G$10,設定!$G$9)))</f>
        <v/>
      </c>
      <c r="U118" s="62" t="str">
        <f aca="false">IF(OR($C118="",S118=""),"",IF(S118/IF($S$2="",100,$S$2)&gt;=設定!$I$28,設定!$G$8,IF(S118/IF($S$2="",100,$S$2)&lt;設定!$I$29,設定!$G$10,設定!$G$9)))</f>
        <v/>
      </c>
    </row>
    <row r="119" customFormat="false" ht="21" hidden="false" customHeight="true" outlineLevel="0" collapsed="false">
      <c r="A119" s="91" t="str">
        <f aca="false">IF(名簿!$D119="","",名簿!$B119&amp;"")</f>
        <v/>
      </c>
      <c r="B119" s="91" t="str">
        <f aca="false">IF(名簿!$D119="","",名簿!$C119)</f>
        <v/>
      </c>
      <c r="C119" s="59" t="str">
        <f aca="false">IF(名簿!$D119="","",名簿!$D119&amp;IF(名簿!$F119="転出","（転出）",""))</f>
        <v/>
      </c>
      <c r="D119" s="149"/>
      <c r="E119" s="61" t="str">
        <f aca="false">IF(OR($C119="",名簿!$F119="転出"),"",IF($C$2="学級ごと",$A119,IF($C$2="前の単元と同じ",単元03!$E119&amp;"",$D119&amp;"")))</f>
        <v/>
      </c>
      <c r="F119" s="150"/>
      <c r="G119" s="150"/>
      <c r="H119" s="150"/>
      <c r="I119" s="151"/>
      <c r="J119" s="41" t="str">
        <f aca="false">IF($E119="","",$E119&amp;"|"&amp;COUNTIF($E$5:$E119,$E119))</f>
        <v/>
      </c>
      <c r="K119" s="40" t="str">
        <f aca="false">IF($I119="","",LEN($I119))</f>
        <v/>
      </c>
      <c r="L119" s="13"/>
      <c r="M119" s="13"/>
      <c r="N119" s="13"/>
      <c r="O119" s="13"/>
      <c r="P119" s="152"/>
      <c r="Q119" s="149"/>
      <c r="R119" s="152"/>
      <c r="S119" s="152"/>
      <c r="T119" s="62" t="str">
        <f aca="false">IF(OR($C119="",R119=""),"",IF(R119/IF($R$2="",100,$R$2)&gt;=設定!$I$28,設定!$G$8,IF(R119/IF($R$2="",100,$R$2)&lt;設定!$I$29,設定!$G$10,設定!$G$9)))</f>
        <v/>
      </c>
      <c r="U119" s="62" t="str">
        <f aca="false">IF(OR($C119="",S119=""),"",IF(S119/IF($S$2="",100,$S$2)&gt;=設定!$I$28,設定!$G$8,IF(S119/IF($S$2="",100,$S$2)&lt;設定!$I$29,設定!$G$10,設定!$G$9)))</f>
        <v/>
      </c>
    </row>
    <row r="120" customFormat="false" ht="21" hidden="false" customHeight="true" outlineLevel="0" collapsed="false">
      <c r="A120" s="91" t="str">
        <f aca="false">IF(名簿!$D120="","",名簿!$B120&amp;"")</f>
        <v/>
      </c>
      <c r="B120" s="91" t="str">
        <f aca="false">IF(名簿!$D120="","",名簿!$C120)</f>
        <v/>
      </c>
      <c r="C120" s="59" t="str">
        <f aca="false">IF(名簿!$D120="","",名簿!$D120&amp;IF(名簿!$F120="転出","（転出）",""))</f>
        <v/>
      </c>
      <c r="D120" s="149"/>
      <c r="E120" s="61" t="str">
        <f aca="false">IF(OR($C120="",名簿!$F120="転出"),"",IF($C$2="学級ごと",$A120,IF($C$2="前の単元と同じ",単元03!$E120&amp;"",$D120&amp;"")))</f>
        <v/>
      </c>
      <c r="F120" s="150"/>
      <c r="G120" s="150"/>
      <c r="H120" s="150"/>
      <c r="I120" s="151"/>
      <c r="J120" s="41" t="str">
        <f aca="false">IF($E120="","",$E120&amp;"|"&amp;COUNTIF($E$5:$E120,$E120))</f>
        <v/>
      </c>
      <c r="K120" s="40" t="str">
        <f aca="false">IF($I120="","",LEN($I120))</f>
        <v/>
      </c>
      <c r="L120" s="13"/>
      <c r="M120" s="13"/>
      <c r="N120" s="13"/>
      <c r="O120" s="13"/>
      <c r="P120" s="152"/>
      <c r="Q120" s="149"/>
      <c r="R120" s="152"/>
      <c r="S120" s="152"/>
      <c r="T120" s="62" t="str">
        <f aca="false">IF(OR($C120="",R120=""),"",IF(R120/IF($R$2="",100,$R$2)&gt;=設定!$I$28,設定!$G$8,IF(R120/IF($R$2="",100,$R$2)&lt;設定!$I$29,設定!$G$10,設定!$G$9)))</f>
        <v/>
      </c>
      <c r="U120" s="62" t="str">
        <f aca="false">IF(OR($C120="",S120=""),"",IF(S120/IF($S$2="",100,$S$2)&gt;=設定!$I$28,設定!$G$8,IF(S120/IF($S$2="",100,$S$2)&lt;設定!$I$29,設定!$G$10,設定!$G$9)))</f>
        <v/>
      </c>
    </row>
    <row r="121" customFormat="false" ht="21" hidden="false" customHeight="true" outlineLevel="0" collapsed="false">
      <c r="A121" s="91" t="str">
        <f aca="false">IF(名簿!$D121="","",名簿!$B121&amp;"")</f>
        <v/>
      </c>
      <c r="B121" s="91" t="str">
        <f aca="false">IF(名簿!$D121="","",名簿!$C121)</f>
        <v/>
      </c>
      <c r="C121" s="59" t="str">
        <f aca="false">IF(名簿!$D121="","",名簿!$D121&amp;IF(名簿!$F121="転出","（転出）",""))</f>
        <v/>
      </c>
      <c r="D121" s="149"/>
      <c r="E121" s="61" t="str">
        <f aca="false">IF(OR($C121="",名簿!$F121="転出"),"",IF($C$2="学級ごと",$A121,IF($C$2="前の単元と同じ",単元03!$E121&amp;"",$D121&amp;"")))</f>
        <v/>
      </c>
      <c r="F121" s="150"/>
      <c r="G121" s="150"/>
      <c r="H121" s="150"/>
      <c r="I121" s="151"/>
      <c r="J121" s="41" t="str">
        <f aca="false">IF($E121="","",$E121&amp;"|"&amp;COUNTIF($E$5:$E121,$E121))</f>
        <v/>
      </c>
      <c r="K121" s="40" t="str">
        <f aca="false">IF($I121="","",LEN($I121))</f>
        <v/>
      </c>
      <c r="L121" s="13"/>
      <c r="M121" s="13"/>
      <c r="N121" s="13"/>
      <c r="O121" s="13"/>
      <c r="P121" s="152"/>
      <c r="Q121" s="149"/>
      <c r="R121" s="152"/>
      <c r="S121" s="152"/>
      <c r="T121" s="62" t="str">
        <f aca="false">IF(OR($C121="",R121=""),"",IF(R121/IF($R$2="",100,$R$2)&gt;=設定!$I$28,設定!$G$8,IF(R121/IF($R$2="",100,$R$2)&lt;設定!$I$29,設定!$G$10,設定!$G$9)))</f>
        <v/>
      </c>
      <c r="U121" s="62" t="str">
        <f aca="false">IF(OR($C121="",S121=""),"",IF(S121/IF($S$2="",100,$S$2)&gt;=設定!$I$28,設定!$G$8,IF(S121/IF($S$2="",100,$S$2)&lt;設定!$I$29,設定!$G$10,設定!$G$9)))</f>
        <v/>
      </c>
    </row>
    <row r="122" customFormat="false" ht="21" hidden="false" customHeight="true" outlineLevel="0" collapsed="false">
      <c r="A122" s="91" t="str">
        <f aca="false">IF(名簿!$D122="","",名簿!$B122&amp;"")</f>
        <v/>
      </c>
      <c r="B122" s="91" t="str">
        <f aca="false">IF(名簿!$D122="","",名簿!$C122)</f>
        <v/>
      </c>
      <c r="C122" s="59" t="str">
        <f aca="false">IF(名簿!$D122="","",名簿!$D122&amp;IF(名簿!$F122="転出","（転出）",""))</f>
        <v/>
      </c>
      <c r="D122" s="149"/>
      <c r="E122" s="61" t="str">
        <f aca="false">IF(OR($C122="",名簿!$F122="転出"),"",IF($C$2="学級ごと",$A122,IF($C$2="前の単元と同じ",単元03!$E122&amp;"",$D122&amp;"")))</f>
        <v/>
      </c>
      <c r="F122" s="150"/>
      <c r="G122" s="150"/>
      <c r="H122" s="150"/>
      <c r="I122" s="151"/>
      <c r="J122" s="41" t="str">
        <f aca="false">IF($E122="","",$E122&amp;"|"&amp;COUNTIF($E$5:$E122,$E122))</f>
        <v/>
      </c>
      <c r="K122" s="40" t="str">
        <f aca="false">IF($I122="","",LEN($I122))</f>
        <v/>
      </c>
      <c r="L122" s="13"/>
      <c r="M122" s="13"/>
      <c r="N122" s="13"/>
      <c r="O122" s="13"/>
      <c r="P122" s="152"/>
      <c r="Q122" s="149"/>
      <c r="R122" s="152"/>
      <c r="S122" s="152"/>
      <c r="T122" s="62" t="str">
        <f aca="false">IF(OR($C122="",R122=""),"",IF(R122/IF($R$2="",100,$R$2)&gt;=設定!$I$28,設定!$G$8,IF(R122/IF($R$2="",100,$R$2)&lt;設定!$I$29,設定!$G$10,設定!$G$9)))</f>
        <v/>
      </c>
      <c r="U122" s="62" t="str">
        <f aca="false">IF(OR($C122="",S122=""),"",IF(S122/IF($S$2="",100,$S$2)&gt;=設定!$I$28,設定!$G$8,IF(S122/IF($S$2="",100,$S$2)&lt;設定!$I$29,設定!$G$10,設定!$G$9)))</f>
        <v/>
      </c>
    </row>
    <row r="123" customFormat="false" ht="21" hidden="false" customHeight="true" outlineLevel="0" collapsed="false">
      <c r="A123" s="91" t="str">
        <f aca="false">IF(名簿!$D123="","",名簿!$B123&amp;"")</f>
        <v/>
      </c>
      <c r="B123" s="91" t="str">
        <f aca="false">IF(名簿!$D123="","",名簿!$C123)</f>
        <v/>
      </c>
      <c r="C123" s="59" t="str">
        <f aca="false">IF(名簿!$D123="","",名簿!$D123&amp;IF(名簿!$F123="転出","（転出）",""))</f>
        <v/>
      </c>
      <c r="D123" s="149"/>
      <c r="E123" s="61" t="str">
        <f aca="false">IF(OR($C123="",名簿!$F123="転出"),"",IF($C$2="学級ごと",$A123,IF($C$2="前の単元と同じ",単元03!$E123&amp;"",$D123&amp;"")))</f>
        <v/>
      </c>
      <c r="F123" s="150"/>
      <c r="G123" s="150"/>
      <c r="H123" s="150"/>
      <c r="I123" s="151"/>
      <c r="J123" s="41" t="str">
        <f aca="false">IF($E123="","",$E123&amp;"|"&amp;COUNTIF($E$5:$E123,$E123))</f>
        <v/>
      </c>
      <c r="K123" s="40" t="str">
        <f aca="false">IF($I123="","",LEN($I123))</f>
        <v/>
      </c>
      <c r="L123" s="13"/>
      <c r="M123" s="13"/>
      <c r="N123" s="13"/>
      <c r="O123" s="13"/>
      <c r="P123" s="152"/>
      <c r="Q123" s="149"/>
      <c r="R123" s="152"/>
      <c r="S123" s="152"/>
      <c r="T123" s="62" t="str">
        <f aca="false">IF(OR($C123="",R123=""),"",IF(R123/IF($R$2="",100,$R$2)&gt;=設定!$I$28,設定!$G$8,IF(R123/IF($R$2="",100,$R$2)&lt;設定!$I$29,設定!$G$10,設定!$G$9)))</f>
        <v/>
      </c>
      <c r="U123" s="62" t="str">
        <f aca="false">IF(OR($C123="",S123=""),"",IF(S123/IF($S$2="",100,$S$2)&gt;=設定!$I$28,設定!$G$8,IF(S123/IF($S$2="",100,$S$2)&lt;設定!$I$29,設定!$G$10,設定!$G$9)))</f>
        <v/>
      </c>
    </row>
    <row r="124" customFormat="false" ht="21" hidden="false" customHeight="true" outlineLevel="0" collapsed="false">
      <c r="A124" s="91" t="str">
        <f aca="false">IF(名簿!$D124="","",名簿!$B124&amp;"")</f>
        <v/>
      </c>
      <c r="B124" s="91" t="str">
        <f aca="false">IF(名簿!$D124="","",名簿!$C124)</f>
        <v/>
      </c>
      <c r="C124" s="59" t="str">
        <f aca="false">IF(名簿!$D124="","",名簿!$D124&amp;IF(名簿!$F124="転出","（転出）",""))</f>
        <v/>
      </c>
      <c r="D124" s="149"/>
      <c r="E124" s="61" t="str">
        <f aca="false">IF(OR($C124="",名簿!$F124="転出"),"",IF($C$2="学級ごと",$A124,IF($C$2="前の単元と同じ",単元03!$E124&amp;"",$D124&amp;"")))</f>
        <v/>
      </c>
      <c r="F124" s="150"/>
      <c r="G124" s="150"/>
      <c r="H124" s="150"/>
      <c r="I124" s="151"/>
      <c r="J124" s="41" t="str">
        <f aca="false">IF($E124="","",$E124&amp;"|"&amp;COUNTIF($E$5:$E124,$E124))</f>
        <v/>
      </c>
      <c r="K124" s="40" t="str">
        <f aca="false">IF($I124="","",LEN($I124))</f>
        <v/>
      </c>
      <c r="L124" s="13"/>
      <c r="M124" s="13"/>
      <c r="N124" s="13"/>
      <c r="O124" s="13"/>
      <c r="P124" s="152"/>
      <c r="Q124" s="149"/>
      <c r="R124" s="152"/>
      <c r="S124" s="152"/>
      <c r="T124" s="62" t="str">
        <f aca="false">IF(OR($C124="",R124=""),"",IF(R124/IF($R$2="",100,$R$2)&gt;=設定!$I$28,設定!$G$8,IF(R124/IF($R$2="",100,$R$2)&lt;設定!$I$29,設定!$G$10,設定!$G$9)))</f>
        <v/>
      </c>
      <c r="U124" s="62" t="str">
        <f aca="false">IF(OR($C124="",S124=""),"",IF(S124/IF($S$2="",100,$S$2)&gt;=設定!$I$28,設定!$G$8,IF(S124/IF($S$2="",100,$S$2)&lt;設定!$I$29,設定!$G$10,設定!$G$9)))</f>
        <v/>
      </c>
    </row>
    <row r="125" customFormat="false" ht="21" hidden="false" customHeight="true" outlineLevel="0" collapsed="false">
      <c r="A125" s="91" t="str">
        <f aca="false">IF(名簿!$D125="","",名簿!$B125&amp;"")</f>
        <v/>
      </c>
      <c r="B125" s="91" t="str">
        <f aca="false">IF(名簿!$D125="","",名簿!$C125)</f>
        <v/>
      </c>
      <c r="C125" s="59" t="str">
        <f aca="false">IF(名簿!$D125="","",名簿!$D125&amp;IF(名簿!$F125="転出","（転出）",""))</f>
        <v/>
      </c>
      <c r="D125" s="149"/>
      <c r="E125" s="61" t="str">
        <f aca="false">IF(OR($C125="",名簿!$F125="転出"),"",IF($C$2="学級ごと",$A125,IF($C$2="前の単元と同じ",単元03!$E125&amp;"",$D125&amp;"")))</f>
        <v/>
      </c>
      <c r="F125" s="150"/>
      <c r="G125" s="150"/>
      <c r="H125" s="150"/>
      <c r="I125" s="151"/>
      <c r="J125" s="41" t="str">
        <f aca="false">IF($E125="","",$E125&amp;"|"&amp;COUNTIF($E$5:$E125,$E125))</f>
        <v/>
      </c>
      <c r="K125" s="40" t="str">
        <f aca="false">IF($I125="","",LEN($I125))</f>
        <v/>
      </c>
      <c r="L125" s="13"/>
      <c r="M125" s="13"/>
      <c r="N125" s="13"/>
      <c r="O125" s="13"/>
      <c r="P125" s="152"/>
      <c r="Q125" s="149"/>
      <c r="R125" s="152"/>
      <c r="S125" s="152"/>
      <c r="T125" s="62" t="str">
        <f aca="false">IF(OR($C125="",R125=""),"",IF(R125/IF($R$2="",100,$R$2)&gt;=設定!$I$28,設定!$G$8,IF(R125/IF($R$2="",100,$R$2)&lt;設定!$I$29,設定!$G$10,設定!$G$9)))</f>
        <v/>
      </c>
      <c r="U125" s="62" t="str">
        <f aca="false">IF(OR($C125="",S125=""),"",IF(S125/IF($S$2="",100,$S$2)&gt;=設定!$I$28,設定!$G$8,IF(S125/IF($S$2="",100,$S$2)&lt;設定!$I$29,設定!$G$10,設定!$G$9)))</f>
        <v/>
      </c>
    </row>
    <row r="126" customFormat="false" ht="21" hidden="false" customHeight="true" outlineLevel="0" collapsed="false">
      <c r="A126" s="91" t="str">
        <f aca="false">IF(名簿!$D126="","",名簿!$B126&amp;"")</f>
        <v/>
      </c>
      <c r="B126" s="91" t="str">
        <f aca="false">IF(名簿!$D126="","",名簿!$C126)</f>
        <v/>
      </c>
      <c r="C126" s="59" t="str">
        <f aca="false">IF(名簿!$D126="","",名簿!$D126&amp;IF(名簿!$F126="転出","（転出）",""))</f>
        <v/>
      </c>
      <c r="D126" s="149"/>
      <c r="E126" s="61" t="str">
        <f aca="false">IF(OR($C126="",名簿!$F126="転出"),"",IF($C$2="学級ごと",$A126,IF($C$2="前の単元と同じ",単元03!$E126&amp;"",$D126&amp;"")))</f>
        <v/>
      </c>
      <c r="F126" s="150"/>
      <c r="G126" s="150"/>
      <c r="H126" s="150"/>
      <c r="I126" s="151"/>
      <c r="J126" s="41" t="str">
        <f aca="false">IF($E126="","",$E126&amp;"|"&amp;COUNTIF($E$5:$E126,$E126))</f>
        <v/>
      </c>
      <c r="K126" s="40" t="str">
        <f aca="false">IF($I126="","",LEN($I126))</f>
        <v/>
      </c>
      <c r="L126" s="13"/>
      <c r="M126" s="13"/>
      <c r="N126" s="13"/>
      <c r="O126" s="13"/>
      <c r="P126" s="152"/>
      <c r="Q126" s="149"/>
      <c r="R126" s="152"/>
      <c r="S126" s="152"/>
      <c r="T126" s="62" t="str">
        <f aca="false">IF(OR($C126="",R126=""),"",IF(R126/IF($R$2="",100,$R$2)&gt;=設定!$I$28,設定!$G$8,IF(R126/IF($R$2="",100,$R$2)&lt;設定!$I$29,設定!$G$10,設定!$G$9)))</f>
        <v/>
      </c>
      <c r="U126" s="62" t="str">
        <f aca="false">IF(OR($C126="",S126=""),"",IF(S126/IF($S$2="",100,$S$2)&gt;=設定!$I$28,設定!$G$8,IF(S126/IF($S$2="",100,$S$2)&lt;設定!$I$29,設定!$G$10,設定!$G$9)))</f>
        <v/>
      </c>
    </row>
    <row r="127" customFormat="false" ht="21" hidden="false" customHeight="true" outlineLevel="0" collapsed="false">
      <c r="A127" s="91" t="str">
        <f aca="false">IF(名簿!$D127="","",名簿!$B127&amp;"")</f>
        <v/>
      </c>
      <c r="B127" s="91" t="str">
        <f aca="false">IF(名簿!$D127="","",名簿!$C127)</f>
        <v/>
      </c>
      <c r="C127" s="59" t="str">
        <f aca="false">IF(名簿!$D127="","",名簿!$D127&amp;IF(名簿!$F127="転出","（転出）",""))</f>
        <v/>
      </c>
      <c r="D127" s="149"/>
      <c r="E127" s="61" t="str">
        <f aca="false">IF(OR($C127="",名簿!$F127="転出"),"",IF($C$2="学級ごと",$A127,IF($C$2="前の単元と同じ",単元03!$E127&amp;"",$D127&amp;"")))</f>
        <v/>
      </c>
      <c r="F127" s="150"/>
      <c r="G127" s="150"/>
      <c r="H127" s="150"/>
      <c r="I127" s="151"/>
      <c r="J127" s="41" t="str">
        <f aca="false">IF($E127="","",$E127&amp;"|"&amp;COUNTIF($E$5:$E127,$E127))</f>
        <v/>
      </c>
      <c r="K127" s="40" t="str">
        <f aca="false">IF($I127="","",LEN($I127))</f>
        <v/>
      </c>
      <c r="L127" s="13"/>
      <c r="M127" s="13"/>
      <c r="N127" s="13"/>
      <c r="O127" s="13"/>
      <c r="P127" s="152"/>
      <c r="Q127" s="149"/>
      <c r="R127" s="152"/>
      <c r="S127" s="152"/>
      <c r="T127" s="62" t="str">
        <f aca="false">IF(OR($C127="",R127=""),"",IF(R127/IF($R$2="",100,$R$2)&gt;=設定!$I$28,設定!$G$8,IF(R127/IF($R$2="",100,$R$2)&lt;設定!$I$29,設定!$G$10,設定!$G$9)))</f>
        <v/>
      </c>
      <c r="U127" s="62" t="str">
        <f aca="false">IF(OR($C127="",S127=""),"",IF(S127/IF($S$2="",100,$S$2)&gt;=設定!$I$28,設定!$G$8,IF(S127/IF($S$2="",100,$S$2)&lt;設定!$I$29,設定!$G$10,設定!$G$9)))</f>
        <v/>
      </c>
    </row>
    <row r="128" customFormat="false" ht="21" hidden="false" customHeight="true" outlineLevel="0" collapsed="false">
      <c r="A128" s="91" t="str">
        <f aca="false">IF(名簿!$D128="","",名簿!$B128&amp;"")</f>
        <v/>
      </c>
      <c r="B128" s="91" t="str">
        <f aca="false">IF(名簿!$D128="","",名簿!$C128)</f>
        <v/>
      </c>
      <c r="C128" s="59" t="str">
        <f aca="false">IF(名簿!$D128="","",名簿!$D128&amp;IF(名簿!$F128="転出","（転出）",""))</f>
        <v/>
      </c>
      <c r="D128" s="149"/>
      <c r="E128" s="61" t="str">
        <f aca="false">IF(OR($C128="",名簿!$F128="転出"),"",IF($C$2="学級ごと",$A128,IF($C$2="前の単元と同じ",単元03!$E128&amp;"",$D128&amp;"")))</f>
        <v/>
      </c>
      <c r="F128" s="150"/>
      <c r="G128" s="150"/>
      <c r="H128" s="150"/>
      <c r="I128" s="151"/>
      <c r="J128" s="41" t="str">
        <f aca="false">IF($E128="","",$E128&amp;"|"&amp;COUNTIF($E$5:$E128,$E128))</f>
        <v/>
      </c>
      <c r="K128" s="40" t="str">
        <f aca="false">IF($I128="","",LEN($I128))</f>
        <v/>
      </c>
      <c r="L128" s="13"/>
      <c r="M128" s="13"/>
      <c r="N128" s="13"/>
      <c r="O128" s="13"/>
      <c r="P128" s="152"/>
      <c r="Q128" s="149"/>
      <c r="R128" s="152"/>
      <c r="S128" s="152"/>
      <c r="T128" s="62" t="str">
        <f aca="false">IF(OR($C128="",R128=""),"",IF(R128/IF($R$2="",100,$R$2)&gt;=設定!$I$28,設定!$G$8,IF(R128/IF($R$2="",100,$R$2)&lt;設定!$I$29,設定!$G$10,設定!$G$9)))</f>
        <v/>
      </c>
      <c r="U128" s="62" t="str">
        <f aca="false">IF(OR($C128="",S128=""),"",IF(S128/IF($S$2="",100,$S$2)&gt;=設定!$I$28,設定!$G$8,IF(S128/IF($S$2="",100,$S$2)&lt;設定!$I$29,設定!$G$10,設定!$G$9)))</f>
        <v/>
      </c>
    </row>
    <row r="129" customFormat="false" ht="21" hidden="false" customHeight="true" outlineLevel="0" collapsed="false">
      <c r="A129" s="91" t="str">
        <f aca="false">IF(名簿!$D129="","",名簿!$B129&amp;"")</f>
        <v/>
      </c>
      <c r="B129" s="91" t="str">
        <f aca="false">IF(名簿!$D129="","",名簿!$C129)</f>
        <v/>
      </c>
      <c r="C129" s="59" t="str">
        <f aca="false">IF(名簿!$D129="","",名簿!$D129&amp;IF(名簿!$F129="転出","（転出）",""))</f>
        <v/>
      </c>
      <c r="D129" s="149"/>
      <c r="E129" s="61" t="str">
        <f aca="false">IF(OR($C129="",名簿!$F129="転出"),"",IF($C$2="学級ごと",$A129,IF($C$2="前の単元と同じ",単元03!$E129&amp;"",$D129&amp;"")))</f>
        <v/>
      </c>
      <c r="F129" s="150"/>
      <c r="G129" s="150"/>
      <c r="H129" s="150"/>
      <c r="I129" s="151"/>
      <c r="J129" s="41" t="str">
        <f aca="false">IF($E129="","",$E129&amp;"|"&amp;COUNTIF($E$5:$E129,$E129))</f>
        <v/>
      </c>
      <c r="K129" s="40" t="str">
        <f aca="false">IF($I129="","",LEN($I129))</f>
        <v/>
      </c>
      <c r="L129" s="13"/>
      <c r="M129" s="13"/>
      <c r="N129" s="13"/>
      <c r="O129" s="13"/>
      <c r="P129" s="152"/>
      <c r="Q129" s="149"/>
      <c r="R129" s="152"/>
      <c r="S129" s="152"/>
      <c r="T129" s="62" t="str">
        <f aca="false">IF(OR($C129="",R129=""),"",IF(R129/IF($R$2="",100,$R$2)&gt;=設定!$I$28,設定!$G$8,IF(R129/IF($R$2="",100,$R$2)&lt;設定!$I$29,設定!$G$10,設定!$G$9)))</f>
        <v/>
      </c>
      <c r="U129" s="62" t="str">
        <f aca="false">IF(OR($C129="",S129=""),"",IF(S129/IF($S$2="",100,$S$2)&gt;=設定!$I$28,設定!$G$8,IF(S129/IF($S$2="",100,$S$2)&lt;設定!$I$29,設定!$G$10,設定!$G$9)))</f>
        <v/>
      </c>
    </row>
    <row r="130" customFormat="false" ht="21" hidden="false" customHeight="true" outlineLevel="0" collapsed="false">
      <c r="A130" s="91" t="str">
        <f aca="false">IF(名簿!$D130="","",名簿!$B130&amp;"")</f>
        <v/>
      </c>
      <c r="B130" s="91" t="str">
        <f aca="false">IF(名簿!$D130="","",名簿!$C130)</f>
        <v/>
      </c>
      <c r="C130" s="59" t="str">
        <f aca="false">IF(名簿!$D130="","",名簿!$D130&amp;IF(名簿!$F130="転出","（転出）",""))</f>
        <v/>
      </c>
      <c r="D130" s="149"/>
      <c r="E130" s="61" t="str">
        <f aca="false">IF(OR($C130="",名簿!$F130="転出"),"",IF($C$2="学級ごと",$A130,IF($C$2="前の単元と同じ",単元03!$E130&amp;"",$D130&amp;"")))</f>
        <v/>
      </c>
      <c r="F130" s="150"/>
      <c r="G130" s="150"/>
      <c r="H130" s="150"/>
      <c r="I130" s="151"/>
      <c r="J130" s="41" t="str">
        <f aca="false">IF($E130="","",$E130&amp;"|"&amp;COUNTIF($E$5:$E130,$E130))</f>
        <v/>
      </c>
      <c r="K130" s="40" t="str">
        <f aca="false">IF($I130="","",LEN($I130))</f>
        <v/>
      </c>
      <c r="L130" s="13"/>
      <c r="M130" s="13"/>
      <c r="N130" s="13"/>
      <c r="O130" s="13"/>
      <c r="P130" s="152"/>
      <c r="Q130" s="149"/>
      <c r="R130" s="152"/>
      <c r="S130" s="152"/>
      <c r="T130" s="62" t="str">
        <f aca="false">IF(OR($C130="",R130=""),"",IF(R130/IF($R$2="",100,$R$2)&gt;=設定!$I$28,設定!$G$8,IF(R130/IF($R$2="",100,$R$2)&lt;設定!$I$29,設定!$G$10,設定!$G$9)))</f>
        <v/>
      </c>
      <c r="U130" s="62" t="str">
        <f aca="false">IF(OR($C130="",S130=""),"",IF(S130/IF($S$2="",100,$S$2)&gt;=設定!$I$28,設定!$G$8,IF(S130/IF($S$2="",100,$S$2)&lt;設定!$I$29,設定!$G$10,設定!$G$9)))</f>
        <v/>
      </c>
    </row>
    <row r="131" customFormat="false" ht="21" hidden="false" customHeight="true" outlineLevel="0" collapsed="false">
      <c r="A131" s="91" t="str">
        <f aca="false">IF(名簿!$D131="","",名簿!$B131&amp;"")</f>
        <v/>
      </c>
      <c r="B131" s="91" t="str">
        <f aca="false">IF(名簿!$D131="","",名簿!$C131)</f>
        <v/>
      </c>
      <c r="C131" s="59" t="str">
        <f aca="false">IF(名簿!$D131="","",名簿!$D131&amp;IF(名簿!$F131="転出","（転出）",""))</f>
        <v/>
      </c>
      <c r="D131" s="149"/>
      <c r="E131" s="61" t="str">
        <f aca="false">IF(OR($C131="",名簿!$F131="転出"),"",IF($C$2="学級ごと",$A131,IF($C$2="前の単元と同じ",単元03!$E131&amp;"",$D131&amp;"")))</f>
        <v/>
      </c>
      <c r="F131" s="150"/>
      <c r="G131" s="150"/>
      <c r="H131" s="150"/>
      <c r="I131" s="151"/>
      <c r="J131" s="41" t="str">
        <f aca="false">IF($E131="","",$E131&amp;"|"&amp;COUNTIF($E$5:$E131,$E131))</f>
        <v/>
      </c>
      <c r="K131" s="40" t="str">
        <f aca="false">IF($I131="","",LEN($I131))</f>
        <v/>
      </c>
      <c r="L131" s="13"/>
      <c r="M131" s="13"/>
      <c r="N131" s="13"/>
      <c r="O131" s="13"/>
      <c r="P131" s="152"/>
      <c r="Q131" s="149"/>
      <c r="R131" s="152"/>
      <c r="S131" s="152"/>
      <c r="T131" s="62" t="str">
        <f aca="false">IF(OR($C131="",R131=""),"",IF(R131/IF($R$2="",100,$R$2)&gt;=設定!$I$28,設定!$G$8,IF(R131/IF($R$2="",100,$R$2)&lt;設定!$I$29,設定!$G$10,設定!$G$9)))</f>
        <v/>
      </c>
      <c r="U131" s="62" t="str">
        <f aca="false">IF(OR($C131="",S131=""),"",IF(S131/IF($S$2="",100,$S$2)&gt;=設定!$I$28,設定!$G$8,IF(S131/IF($S$2="",100,$S$2)&lt;設定!$I$29,設定!$G$10,設定!$G$9)))</f>
        <v/>
      </c>
    </row>
    <row r="132" customFormat="false" ht="21" hidden="false" customHeight="true" outlineLevel="0" collapsed="false">
      <c r="A132" s="91" t="str">
        <f aca="false">IF(名簿!$D132="","",名簿!$B132&amp;"")</f>
        <v/>
      </c>
      <c r="B132" s="91" t="str">
        <f aca="false">IF(名簿!$D132="","",名簿!$C132)</f>
        <v/>
      </c>
      <c r="C132" s="59" t="str">
        <f aca="false">IF(名簿!$D132="","",名簿!$D132&amp;IF(名簿!$F132="転出","（転出）",""))</f>
        <v/>
      </c>
      <c r="D132" s="149"/>
      <c r="E132" s="61" t="str">
        <f aca="false">IF(OR($C132="",名簿!$F132="転出"),"",IF($C$2="学級ごと",$A132,IF($C$2="前の単元と同じ",単元03!$E132&amp;"",$D132&amp;"")))</f>
        <v/>
      </c>
      <c r="F132" s="150"/>
      <c r="G132" s="150"/>
      <c r="H132" s="150"/>
      <c r="I132" s="151"/>
      <c r="J132" s="41" t="str">
        <f aca="false">IF($E132="","",$E132&amp;"|"&amp;COUNTIF($E$5:$E132,$E132))</f>
        <v/>
      </c>
      <c r="K132" s="40" t="str">
        <f aca="false">IF($I132="","",LEN($I132))</f>
        <v/>
      </c>
      <c r="L132" s="13"/>
      <c r="M132" s="13"/>
      <c r="N132" s="13"/>
      <c r="O132" s="13"/>
      <c r="P132" s="152"/>
      <c r="Q132" s="149"/>
      <c r="R132" s="152"/>
      <c r="S132" s="152"/>
      <c r="T132" s="62" t="str">
        <f aca="false">IF(OR($C132="",R132=""),"",IF(R132/IF($R$2="",100,$R$2)&gt;=設定!$I$28,設定!$G$8,IF(R132/IF($R$2="",100,$R$2)&lt;設定!$I$29,設定!$G$10,設定!$G$9)))</f>
        <v/>
      </c>
      <c r="U132" s="62" t="str">
        <f aca="false">IF(OR($C132="",S132=""),"",IF(S132/IF($S$2="",100,$S$2)&gt;=設定!$I$28,設定!$G$8,IF(S132/IF($S$2="",100,$S$2)&lt;設定!$I$29,設定!$G$10,設定!$G$9)))</f>
        <v/>
      </c>
    </row>
    <row r="133" customFormat="false" ht="21" hidden="false" customHeight="true" outlineLevel="0" collapsed="false">
      <c r="A133" s="91" t="str">
        <f aca="false">IF(名簿!$D133="","",名簿!$B133&amp;"")</f>
        <v/>
      </c>
      <c r="B133" s="91" t="str">
        <f aca="false">IF(名簿!$D133="","",名簿!$C133)</f>
        <v/>
      </c>
      <c r="C133" s="59" t="str">
        <f aca="false">IF(名簿!$D133="","",名簿!$D133&amp;IF(名簿!$F133="転出","（転出）",""))</f>
        <v/>
      </c>
      <c r="D133" s="149"/>
      <c r="E133" s="61" t="str">
        <f aca="false">IF(OR($C133="",名簿!$F133="転出"),"",IF($C$2="学級ごと",$A133,IF($C$2="前の単元と同じ",単元03!$E133&amp;"",$D133&amp;"")))</f>
        <v/>
      </c>
      <c r="F133" s="150"/>
      <c r="G133" s="150"/>
      <c r="H133" s="150"/>
      <c r="I133" s="151"/>
      <c r="J133" s="41" t="str">
        <f aca="false">IF($E133="","",$E133&amp;"|"&amp;COUNTIF($E$5:$E133,$E133))</f>
        <v/>
      </c>
      <c r="K133" s="40" t="str">
        <f aca="false">IF($I133="","",LEN($I133))</f>
        <v/>
      </c>
      <c r="L133" s="13"/>
      <c r="M133" s="13"/>
      <c r="N133" s="13"/>
      <c r="O133" s="13"/>
      <c r="P133" s="152"/>
      <c r="Q133" s="149"/>
      <c r="R133" s="152"/>
      <c r="S133" s="152"/>
      <c r="T133" s="62" t="str">
        <f aca="false">IF(OR($C133="",R133=""),"",IF(R133/IF($R$2="",100,$R$2)&gt;=設定!$I$28,設定!$G$8,IF(R133/IF($R$2="",100,$R$2)&lt;設定!$I$29,設定!$G$10,設定!$G$9)))</f>
        <v/>
      </c>
      <c r="U133" s="62" t="str">
        <f aca="false">IF(OR($C133="",S133=""),"",IF(S133/IF($S$2="",100,$S$2)&gt;=設定!$I$28,設定!$G$8,IF(S133/IF($S$2="",100,$S$2)&lt;設定!$I$29,設定!$G$10,設定!$G$9)))</f>
        <v/>
      </c>
    </row>
    <row r="134" customFormat="false" ht="21" hidden="false" customHeight="true" outlineLevel="0" collapsed="false">
      <c r="A134" s="91" t="str">
        <f aca="false">IF(名簿!$D134="","",名簿!$B134&amp;"")</f>
        <v/>
      </c>
      <c r="B134" s="91" t="str">
        <f aca="false">IF(名簿!$D134="","",名簿!$C134)</f>
        <v/>
      </c>
      <c r="C134" s="59" t="str">
        <f aca="false">IF(名簿!$D134="","",名簿!$D134&amp;IF(名簿!$F134="転出","（転出）",""))</f>
        <v/>
      </c>
      <c r="D134" s="149"/>
      <c r="E134" s="61" t="str">
        <f aca="false">IF(OR($C134="",名簿!$F134="転出"),"",IF($C$2="学級ごと",$A134,IF($C$2="前の単元と同じ",単元03!$E134&amp;"",$D134&amp;"")))</f>
        <v/>
      </c>
      <c r="F134" s="150"/>
      <c r="G134" s="150"/>
      <c r="H134" s="150"/>
      <c r="I134" s="151"/>
      <c r="J134" s="41" t="str">
        <f aca="false">IF($E134="","",$E134&amp;"|"&amp;COUNTIF($E$5:$E134,$E134))</f>
        <v/>
      </c>
      <c r="K134" s="40" t="str">
        <f aca="false">IF($I134="","",LEN($I134))</f>
        <v/>
      </c>
      <c r="L134" s="13"/>
      <c r="M134" s="13"/>
      <c r="N134" s="13"/>
      <c r="O134" s="13"/>
      <c r="P134" s="152"/>
      <c r="Q134" s="149"/>
      <c r="R134" s="152"/>
      <c r="S134" s="152"/>
      <c r="T134" s="62" t="str">
        <f aca="false">IF(OR($C134="",R134=""),"",IF(R134/IF($R$2="",100,$R$2)&gt;=設定!$I$28,設定!$G$8,IF(R134/IF($R$2="",100,$R$2)&lt;設定!$I$29,設定!$G$10,設定!$G$9)))</f>
        <v/>
      </c>
      <c r="U134" s="62" t="str">
        <f aca="false">IF(OR($C134="",S134=""),"",IF(S134/IF($S$2="",100,$S$2)&gt;=設定!$I$28,設定!$G$8,IF(S134/IF($S$2="",100,$S$2)&lt;設定!$I$29,設定!$G$10,設定!$G$9)))</f>
        <v/>
      </c>
    </row>
    <row r="135" customFormat="false" ht="21" hidden="false" customHeight="true" outlineLevel="0" collapsed="false">
      <c r="A135" s="91" t="str">
        <f aca="false">IF(名簿!$D135="","",名簿!$B135&amp;"")</f>
        <v/>
      </c>
      <c r="B135" s="91" t="str">
        <f aca="false">IF(名簿!$D135="","",名簿!$C135)</f>
        <v/>
      </c>
      <c r="C135" s="59" t="str">
        <f aca="false">IF(名簿!$D135="","",名簿!$D135&amp;IF(名簿!$F135="転出","（転出）",""))</f>
        <v/>
      </c>
      <c r="D135" s="149"/>
      <c r="E135" s="61" t="str">
        <f aca="false">IF(OR($C135="",名簿!$F135="転出"),"",IF($C$2="学級ごと",$A135,IF($C$2="前の単元と同じ",単元03!$E135&amp;"",$D135&amp;"")))</f>
        <v/>
      </c>
      <c r="F135" s="150"/>
      <c r="G135" s="150"/>
      <c r="H135" s="150"/>
      <c r="I135" s="151"/>
      <c r="J135" s="41" t="str">
        <f aca="false">IF($E135="","",$E135&amp;"|"&amp;COUNTIF($E$5:$E135,$E135))</f>
        <v/>
      </c>
      <c r="K135" s="40" t="str">
        <f aca="false">IF($I135="","",LEN($I135))</f>
        <v/>
      </c>
      <c r="L135" s="13"/>
      <c r="M135" s="13"/>
      <c r="N135" s="13"/>
      <c r="O135" s="13"/>
      <c r="P135" s="152"/>
      <c r="Q135" s="149"/>
      <c r="R135" s="152"/>
      <c r="S135" s="152"/>
      <c r="T135" s="62" t="str">
        <f aca="false">IF(OR($C135="",R135=""),"",IF(R135/IF($R$2="",100,$R$2)&gt;=設定!$I$28,設定!$G$8,IF(R135/IF($R$2="",100,$R$2)&lt;設定!$I$29,設定!$G$10,設定!$G$9)))</f>
        <v/>
      </c>
      <c r="U135" s="62" t="str">
        <f aca="false">IF(OR($C135="",S135=""),"",IF(S135/IF($S$2="",100,$S$2)&gt;=設定!$I$28,設定!$G$8,IF(S135/IF($S$2="",100,$S$2)&lt;設定!$I$29,設定!$G$10,設定!$G$9)))</f>
        <v/>
      </c>
    </row>
    <row r="136" customFormat="false" ht="21" hidden="false" customHeight="true" outlineLevel="0" collapsed="false">
      <c r="A136" s="91" t="str">
        <f aca="false">IF(名簿!$D136="","",名簿!$B136&amp;"")</f>
        <v/>
      </c>
      <c r="B136" s="91" t="str">
        <f aca="false">IF(名簿!$D136="","",名簿!$C136)</f>
        <v/>
      </c>
      <c r="C136" s="59" t="str">
        <f aca="false">IF(名簿!$D136="","",名簿!$D136&amp;IF(名簿!$F136="転出","（転出）",""))</f>
        <v/>
      </c>
      <c r="D136" s="149"/>
      <c r="E136" s="61" t="str">
        <f aca="false">IF(OR($C136="",名簿!$F136="転出"),"",IF($C$2="学級ごと",$A136,IF($C$2="前の単元と同じ",単元03!$E136&amp;"",$D136&amp;"")))</f>
        <v/>
      </c>
      <c r="F136" s="150"/>
      <c r="G136" s="150"/>
      <c r="H136" s="150"/>
      <c r="I136" s="151"/>
      <c r="J136" s="41" t="str">
        <f aca="false">IF($E136="","",$E136&amp;"|"&amp;COUNTIF($E$5:$E136,$E136))</f>
        <v/>
      </c>
      <c r="K136" s="40" t="str">
        <f aca="false">IF($I136="","",LEN($I136))</f>
        <v/>
      </c>
      <c r="L136" s="13"/>
      <c r="M136" s="13"/>
      <c r="N136" s="13"/>
      <c r="O136" s="13"/>
      <c r="P136" s="152"/>
      <c r="Q136" s="149"/>
      <c r="R136" s="152"/>
      <c r="S136" s="152"/>
      <c r="T136" s="62" t="str">
        <f aca="false">IF(OR($C136="",R136=""),"",IF(R136/IF($R$2="",100,$R$2)&gt;=設定!$I$28,設定!$G$8,IF(R136/IF($R$2="",100,$R$2)&lt;設定!$I$29,設定!$G$10,設定!$G$9)))</f>
        <v/>
      </c>
      <c r="U136" s="62" t="str">
        <f aca="false">IF(OR($C136="",S136=""),"",IF(S136/IF($S$2="",100,$S$2)&gt;=設定!$I$28,設定!$G$8,IF(S136/IF($S$2="",100,$S$2)&lt;設定!$I$29,設定!$G$10,設定!$G$9)))</f>
        <v/>
      </c>
    </row>
    <row r="137" customFormat="false" ht="21" hidden="false" customHeight="true" outlineLevel="0" collapsed="false">
      <c r="A137" s="91" t="str">
        <f aca="false">IF(名簿!$D137="","",名簿!$B137&amp;"")</f>
        <v/>
      </c>
      <c r="B137" s="91" t="str">
        <f aca="false">IF(名簿!$D137="","",名簿!$C137)</f>
        <v/>
      </c>
      <c r="C137" s="59" t="str">
        <f aca="false">IF(名簿!$D137="","",名簿!$D137&amp;IF(名簿!$F137="転出","（転出）",""))</f>
        <v/>
      </c>
      <c r="D137" s="149"/>
      <c r="E137" s="61" t="str">
        <f aca="false">IF(OR($C137="",名簿!$F137="転出"),"",IF($C$2="学級ごと",$A137,IF($C$2="前の単元と同じ",単元03!$E137&amp;"",$D137&amp;"")))</f>
        <v/>
      </c>
      <c r="F137" s="150"/>
      <c r="G137" s="150"/>
      <c r="H137" s="150"/>
      <c r="I137" s="151"/>
      <c r="J137" s="41" t="str">
        <f aca="false">IF($E137="","",$E137&amp;"|"&amp;COUNTIF($E$5:$E137,$E137))</f>
        <v/>
      </c>
      <c r="K137" s="40" t="str">
        <f aca="false">IF($I137="","",LEN($I137))</f>
        <v/>
      </c>
      <c r="L137" s="13"/>
      <c r="M137" s="13"/>
      <c r="N137" s="13"/>
      <c r="O137" s="13"/>
      <c r="P137" s="152"/>
      <c r="Q137" s="149"/>
      <c r="R137" s="152"/>
      <c r="S137" s="152"/>
      <c r="T137" s="62" t="str">
        <f aca="false">IF(OR($C137="",R137=""),"",IF(R137/IF($R$2="",100,$R$2)&gt;=設定!$I$28,設定!$G$8,IF(R137/IF($R$2="",100,$R$2)&lt;設定!$I$29,設定!$G$10,設定!$G$9)))</f>
        <v/>
      </c>
      <c r="U137" s="62" t="str">
        <f aca="false">IF(OR($C137="",S137=""),"",IF(S137/IF($S$2="",100,$S$2)&gt;=設定!$I$28,設定!$G$8,IF(S137/IF($S$2="",100,$S$2)&lt;設定!$I$29,設定!$G$10,設定!$G$9)))</f>
        <v/>
      </c>
    </row>
    <row r="138" customFormat="false" ht="21" hidden="false" customHeight="true" outlineLevel="0" collapsed="false">
      <c r="A138" s="91" t="str">
        <f aca="false">IF(名簿!$D138="","",名簿!$B138&amp;"")</f>
        <v/>
      </c>
      <c r="B138" s="91" t="str">
        <f aca="false">IF(名簿!$D138="","",名簿!$C138)</f>
        <v/>
      </c>
      <c r="C138" s="59" t="str">
        <f aca="false">IF(名簿!$D138="","",名簿!$D138&amp;IF(名簿!$F138="転出","（転出）",""))</f>
        <v/>
      </c>
      <c r="D138" s="149"/>
      <c r="E138" s="61" t="str">
        <f aca="false">IF(OR($C138="",名簿!$F138="転出"),"",IF($C$2="学級ごと",$A138,IF($C$2="前の単元と同じ",単元03!$E138&amp;"",$D138&amp;"")))</f>
        <v/>
      </c>
      <c r="F138" s="150"/>
      <c r="G138" s="150"/>
      <c r="H138" s="150"/>
      <c r="I138" s="151"/>
      <c r="J138" s="41" t="str">
        <f aca="false">IF($E138="","",$E138&amp;"|"&amp;COUNTIF($E$5:$E138,$E138))</f>
        <v/>
      </c>
      <c r="K138" s="40" t="str">
        <f aca="false">IF($I138="","",LEN($I138))</f>
        <v/>
      </c>
      <c r="L138" s="13"/>
      <c r="M138" s="13"/>
      <c r="N138" s="13"/>
      <c r="O138" s="13"/>
      <c r="P138" s="152"/>
      <c r="Q138" s="149"/>
      <c r="R138" s="152"/>
      <c r="S138" s="152"/>
      <c r="T138" s="62" t="str">
        <f aca="false">IF(OR($C138="",R138=""),"",IF(R138/IF($R$2="",100,$R$2)&gt;=設定!$I$28,設定!$G$8,IF(R138/IF($R$2="",100,$R$2)&lt;設定!$I$29,設定!$G$10,設定!$G$9)))</f>
        <v/>
      </c>
      <c r="U138" s="62" t="str">
        <f aca="false">IF(OR($C138="",S138=""),"",IF(S138/IF($S$2="",100,$S$2)&gt;=設定!$I$28,設定!$G$8,IF(S138/IF($S$2="",100,$S$2)&lt;設定!$I$29,設定!$G$10,設定!$G$9)))</f>
        <v/>
      </c>
    </row>
    <row r="139" customFormat="false" ht="21" hidden="false" customHeight="true" outlineLevel="0" collapsed="false">
      <c r="A139" s="91" t="str">
        <f aca="false">IF(名簿!$D139="","",名簿!$B139&amp;"")</f>
        <v/>
      </c>
      <c r="B139" s="91" t="str">
        <f aca="false">IF(名簿!$D139="","",名簿!$C139)</f>
        <v/>
      </c>
      <c r="C139" s="59" t="str">
        <f aca="false">IF(名簿!$D139="","",名簿!$D139&amp;IF(名簿!$F139="転出","（転出）",""))</f>
        <v/>
      </c>
      <c r="D139" s="149"/>
      <c r="E139" s="61" t="str">
        <f aca="false">IF(OR($C139="",名簿!$F139="転出"),"",IF($C$2="学級ごと",$A139,IF($C$2="前の単元と同じ",単元03!$E139&amp;"",$D139&amp;"")))</f>
        <v/>
      </c>
      <c r="F139" s="150"/>
      <c r="G139" s="150"/>
      <c r="H139" s="150"/>
      <c r="I139" s="151"/>
      <c r="J139" s="41" t="str">
        <f aca="false">IF($E139="","",$E139&amp;"|"&amp;COUNTIF($E$5:$E139,$E139))</f>
        <v/>
      </c>
      <c r="K139" s="40" t="str">
        <f aca="false">IF($I139="","",LEN($I139))</f>
        <v/>
      </c>
      <c r="L139" s="13"/>
      <c r="M139" s="13"/>
      <c r="N139" s="13"/>
      <c r="O139" s="13"/>
      <c r="P139" s="152"/>
      <c r="Q139" s="149"/>
      <c r="R139" s="152"/>
      <c r="S139" s="152"/>
      <c r="T139" s="62" t="str">
        <f aca="false">IF(OR($C139="",R139=""),"",IF(R139/IF($R$2="",100,$R$2)&gt;=設定!$I$28,設定!$G$8,IF(R139/IF($R$2="",100,$R$2)&lt;設定!$I$29,設定!$G$10,設定!$G$9)))</f>
        <v/>
      </c>
      <c r="U139" s="62" t="str">
        <f aca="false">IF(OR($C139="",S139=""),"",IF(S139/IF($S$2="",100,$S$2)&gt;=設定!$I$28,設定!$G$8,IF(S139/IF($S$2="",100,$S$2)&lt;設定!$I$29,設定!$G$10,設定!$G$9)))</f>
        <v/>
      </c>
    </row>
    <row r="140" customFormat="false" ht="21" hidden="false" customHeight="true" outlineLevel="0" collapsed="false">
      <c r="A140" s="91" t="str">
        <f aca="false">IF(名簿!$D140="","",名簿!$B140&amp;"")</f>
        <v/>
      </c>
      <c r="B140" s="91" t="str">
        <f aca="false">IF(名簿!$D140="","",名簿!$C140)</f>
        <v/>
      </c>
      <c r="C140" s="59" t="str">
        <f aca="false">IF(名簿!$D140="","",名簿!$D140&amp;IF(名簿!$F140="転出","（転出）",""))</f>
        <v/>
      </c>
      <c r="D140" s="149"/>
      <c r="E140" s="61" t="str">
        <f aca="false">IF(OR($C140="",名簿!$F140="転出"),"",IF($C$2="学級ごと",$A140,IF($C$2="前の単元と同じ",単元03!$E140&amp;"",$D140&amp;"")))</f>
        <v/>
      </c>
      <c r="F140" s="150"/>
      <c r="G140" s="150"/>
      <c r="H140" s="150"/>
      <c r="I140" s="151"/>
      <c r="J140" s="41" t="str">
        <f aca="false">IF($E140="","",$E140&amp;"|"&amp;COUNTIF($E$5:$E140,$E140))</f>
        <v/>
      </c>
      <c r="K140" s="40" t="str">
        <f aca="false">IF($I140="","",LEN($I140))</f>
        <v/>
      </c>
      <c r="L140" s="13"/>
      <c r="M140" s="13"/>
      <c r="N140" s="13"/>
      <c r="O140" s="13"/>
      <c r="P140" s="152"/>
      <c r="Q140" s="149"/>
      <c r="R140" s="152"/>
      <c r="S140" s="152"/>
      <c r="T140" s="62" t="str">
        <f aca="false">IF(OR($C140="",R140=""),"",IF(R140/IF($R$2="",100,$R$2)&gt;=設定!$I$28,設定!$G$8,IF(R140/IF($R$2="",100,$R$2)&lt;設定!$I$29,設定!$G$10,設定!$G$9)))</f>
        <v/>
      </c>
      <c r="U140" s="62" t="str">
        <f aca="false">IF(OR($C140="",S140=""),"",IF(S140/IF($S$2="",100,$S$2)&gt;=設定!$I$28,設定!$G$8,IF(S140/IF($S$2="",100,$S$2)&lt;設定!$I$29,設定!$G$10,設定!$G$9)))</f>
        <v/>
      </c>
    </row>
    <row r="141" customFormat="false" ht="21" hidden="false" customHeight="true" outlineLevel="0" collapsed="false">
      <c r="A141" s="91" t="str">
        <f aca="false">IF(名簿!$D141="","",名簿!$B141&amp;"")</f>
        <v/>
      </c>
      <c r="B141" s="91" t="str">
        <f aca="false">IF(名簿!$D141="","",名簿!$C141)</f>
        <v/>
      </c>
      <c r="C141" s="59" t="str">
        <f aca="false">IF(名簿!$D141="","",名簿!$D141&amp;IF(名簿!$F141="転出","（転出）",""))</f>
        <v/>
      </c>
      <c r="D141" s="149"/>
      <c r="E141" s="61" t="str">
        <f aca="false">IF(OR($C141="",名簿!$F141="転出"),"",IF($C$2="学級ごと",$A141,IF($C$2="前の単元と同じ",単元03!$E141&amp;"",$D141&amp;"")))</f>
        <v/>
      </c>
      <c r="F141" s="150"/>
      <c r="G141" s="150"/>
      <c r="H141" s="150"/>
      <c r="I141" s="151"/>
      <c r="J141" s="41" t="str">
        <f aca="false">IF($E141="","",$E141&amp;"|"&amp;COUNTIF($E$5:$E141,$E141))</f>
        <v/>
      </c>
      <c r="K141" s="40" t="str">
        <f aca="false">IF($I141="","",LEN($I141))</f>
        <v/>
      </c>
      <c r="L141" s="13"/>
      <c r="M141" s="13"/>
      <c r="N141" s="13"/>
      <c r="O141" s="13"/>
      <c r="P141" s="152"/>
      <c r="Q141" s="149"/>
      <c r="R141" s="152"/>
      <c r="S141" s="152"/>
      <c r="T141" s="62" t="str">
        <f aca="false">IF(OR($C141="",R141=""),"",IF(R141/IF($R$2="",100,$R$2)&gt;=設定!$I$28,設定!$G$8,IF(R141/IF($R$2="",100,$R$2)&lt;設定!$I$29,設定!$G$10,設定!$G$9)))</f>
        <v/>
      </c>
      <c r="U141" s="62" t="str">
        <f aca="false">IF(OR($C141="",S141=""),"",IF(S141/IF($S$2="",100,$S$2)&gt;=設定!$I$28,設定!$G$8,IF(S141/IF($S$2="",100,$S$2)&lt;設定!$I$29,設定!$G$10,設定!$G$9)))</f>
        <v/>
      </c>
    </row>
    <row r="142" customFormat="false" ht="21" hidden="false" customHeight="true" outlineLevel="0" collapsed="false">
      <c r="A142" s="91" t="str">
        <f aca="false">IF(名簿!$D142="","",名簿!$B142&amp;"")</f>
        <v/>
      </c>
      <c r="B142" s="91" t="str">
        <f aca="false">IF(名簿!$D142="","",名簿!$C142)</f>
        <v/>
      </c>
      <c r="C142" s="59" t="str">
        <f aca="false">IF(名簿!$D142="","",名簿!$D142&amp;IF(名簿!$F142="転出","（転出）",""))</f>
        <v/>
      </c>
      <c r="D142" s="149"/>
      <c r="E142" s="61" t="str">
        <f aca="false">IF(OR($C142="",名簿!$F142="転出"),"",IF($C$2="学級ごと",$A142,IF($C$2="前の単元と同じ",単元03!$E142&amp;"",$D142&amp;"")))</f>
        <v/>
      </c>
      <c r="F142" s="150"/>
      <c r="G142" s="150"/>
      <c r="H142" s="150"/>
      <c r="I142" s="151"/>
      <c r="J142" s="41" t="str">
        <f aca="false">IF($E142="","",$E142&amp;"|"&amp;COUNTIF($E$5:$E142,$E142))</f>
        <v/>
      </c>
      <c r="K142" s="40" t="str">
        <f aca="false">IF($I142="","",LEN($I142))</f>
        <v/>
      </c>
      <c r="L142" s="13"/>
      <c r="M142" s="13"/>
      <c r="N142" s="13"/>
      <c r="O142" s="13"/>
      <c r="P142" s="152"/>
      <c r="Q142" s="149"/>
      <c r="R142" s="152"/>
      <c r="S142" s="152"/>
      <c r="T142" s="62" t="str">
        <f aca="false">IF(OR($C142="",R142=""),"",IF(R142/IF($R$2="",100,$R$2)&gt;=設定!$I$28,設定!$G$8,IF(R142/IF($R$2="",100,$R$2)&lt;設定!$I$29,設定!$G$10,設定!$G$9)))</f>
        <v/>
      </c>
      <c r="U142" s="62" t="str">
        <f aca="false">IF(OR($C142="",S142=""),"",IF(S142/IF($S$2="",100,$S$2)&gt;=設定!$I$28,設定!$G$8,IF(S142/IF($S$2="",100,$S$2)&lt;設定!$I$29,設定!$G$10,設定!$G$9)))</f>
        <v/>
      </c>
    </row>
    <row r="143" customFormat="false" ht="21" hidden="false" customHeight="true" outlineLevel="0" collapsed="false">
      <c r="A143" s="91" t="str">
        <f aca="false">IF(名簿!$D143="","",名簿!$B143&amp;"")</f>
        <v/>
      </c>
      <c r="B143" s="91" t="str">
        <f aca="false">IF(名簿!$D143="","",名簿!$C143)</f>
        <v/>
      </c>
      <c r="C143" s="59" t="str">
        <f aca="false">IF(名簿!$D143="","",名簿!$D143&amp;IF(名簿!$F143="転出","（転出）",""))</f>
        <v/>
      </c>
      <c r="D143" s="149"/>
      <c r="E143" s="61" t="str">
        <f aca="false">IF(OR($C143="",名簿!$F143="転出"),"",IF($C$2="学級ごと",$A143,IF($C$2="前の単元と同じ",単元03!$E143&amp;"",$D143&amp;"")))</f>
        <v/>
      </c>
      <c r="F143" s="150"/>
      <c r="G143" s="150"/>
      <c r="H143" s="150"/>
      <c r="I143" s="151"/>
      <c r="J143" s="41" t="str">
        <f aca="false">IF($E143="","",$E143&amp;"|"&amp;COUNTIF($E$5:$E143,$E143))</f>
        <v/>
      </c>
      <c r="K143" s="40" t="str">
        <f aca="false">IF($I143="","",LEN($I143))</f>
        <v/>
      </c>
      <c r="L143" s="13"/>
      <c r="M143" s="13"/>
      <c r="N143" s="13"/>
      <c r="O143" s="13"/>
      <c r="P143" s="152"/>
      <c r="Q143" s="149"/>
      <c r="R143" s="152"/>
      <c r="S143" s="152"/>
      <c r="T143" s="62" t="str">
        <f aca="false">IF(OR($C143="",R143=""),"",IF(R143/IF($R$2="",100,$R$2)&gt;=設定!$I$28,設定!$G$8,IF(R143/IF($R$2="",100,$R$2)&lt;設定!$I$29,設定!$G$10,設定!$G$9)))</f>
        <v/>
      </c>
      <c r="U143" s="62" t="str">
        <f aca="false">IF(OR($C143="",S143=""),"",IF(S143/IF($S$2="",100,$S$2)&gt;=設定!$I$28,設定!$G$8,IF(S143/IF($S$2="",100,$S$2)&lt;設定!$I$29,設定!$G$10,設定!$G$9)))</f>
        <v/>
      </c>
    </row>
    <row r="144" customFormat="false" ht="21" hidden="false" customHeight="true" outlineLevel="0" collapsed="false">
      <c r="A144" s="91" t="str">
        <f aca="false">IF(名簿!$D144="","",名簿!$B144&amp;"")</f>
        <v/>
      </c>
      <c r="B144" s="91" t="str">
        <f aca="false">IF(名簿!$D144="","",名簿!$C144)</f>
        <v/>
      </c>
      <c r="C144" s="59" t="str">
        <f aca="false">IF(名簿!$D144="","",名簿!$D144&amp;IF(名簿!$F144="転出","（転出）",""))</f>
        <v/>
      </c>
      <c r="D144" s="149"/>
      <c r="E144" s="61" t="str">
        <f aca="false">IF(OR($C144="",名簿!$F144="転出"),"",IF($C$2="学級ごと",$A144,IF($C$2="前の単元と同じ",単元03!$E144&amp;"",$D144&amp;"")))</f>
        <v/>
      </c>
      <c r="F144" s="150"/>
      <c r="G144" s="150"/>
      <c r="H144" s="150"/>
      <c r="I144" s="151"/>
      <c r="J144" s="41" t="str">
        <f aca="false">IF($E144="","",$E144&amp;"|"&amp;COUNTIF($E$5:$E144,$E144))</f>
        <v/>
      </c>
      <c r="K144" s="40" t="str">
        <f aca="false">IF($I144="","",LEN($I144))</f>
        <v/>
      </c>
      <c r="L144" s="13"/>
      <c r="M144" s="13"/>
      <c r="N144" s="13"/>
      <c r="O144" s="13"/>
      <c r="P144" s="152"/>
      <c r="Q144" s="149"/>
      <c r="R144" s="152"/>
      <c r="S144" s="152"/>
      <c r="T144" s="62" t="str">
        <f aca="false">IF(OR($C144="",R144=""),"",IF(R144/IF($R$2="",100,$R$2)&gt;=設定!$I$28,設定!$G$8,IF(R144/IF($R$2="",100,$R$2)&lt;設定!$I$29,設定!$G$10,設定!$G$9)))</f>
        <v/>
      </c>
      <c r="U144" s="62" t="str">
        <f aca="false">IF(OR($C144="",S144=""),"",IF(S144/IF($S$2="",100,$S$2)&gt;=設定!$I$28,設定!$G$8,IF(S144/IF($S$2="",100,$S$2)&lt;設定!$I$29,設定!$G$10,設定!$G$9)))</f>
        <v/>
      </c>
    </row>
    <row r="145" customFormat="false" ht="21" hidden="false" customHeight="true" outlineLevel="0" collapsed="false">
      <c r="A145" s="91" t="str">
        <f aca="false">IF(名簿!$D145="","",名簿!$B145&amp;"")</f>
        <v/>
      </c>
      <c r="B145" s="91" t="str">
        <f aca="false">IF(名簿!$D145="","",名簿!$C145)</f>
        <v/>
      </c>
      <c r="C145" s="59" t="str">
        <f aca="false">IF(名簿!$D145="","",名簿!$D145&amp;IF(名簿!$F145="転出","（転出）",""))</f>
        <v/>
      </c>
      <c r="D145" s="149"/>
      <c r="E145" s="61" t="str">
        <f aca="false">IF(OR($C145="",名簿!$F145="転出"),"",IF($C$2="学級ごと",$A145,IF($C$2="前の単元と同じ",単元03!$E145&amp;"",$D145&amp;"")))</f>
        <v/>
      </c>
      <c r="F145" s="150"/>
      <c r="G145" s="150"/>
      <c r="H145" s="150"/>
      <c r="I145" s="151"/>
      <c r="J145" s="41" t="str">
        <f aca="false">IF($E145="","",$E145&amp;"|"&amp;COUNTIF($E$5:$E145,$E145))</f>
        <v/>
      </c>
      <c r="K145" s="40" t="str">
        <f aca="false">IF($I145="","",LEN($I145))</f>
        <v/>
      </c>
      <c r="L145" s="13"/>
      <c r="M145" s="13"/>
      <c r="N145" s="13"/>
      <c r="O145" s="13"/>
      <c r="P145" s="152"/>
      <c r="Q145" s="149"/>
      <c r="R145" s="152"/>
      <c r="S145" s="152"/>
      <c r="T145" s="62" t="str">
        <f aca="false">IF(OR($C145="",R145=""),"",IF(R145/IF($R$2="",100,$R$2)&gt;=設定!$I$28,設定!$G$8,IF(R145/IF($R$2="",100,$R$2)&lt;設定!$I$29,設定!$G$10,設定!$G$9)))</f>
        <v/>
      </c>
      <c r="U145" s="62" t="str">
        <f aca="false">IF(OR($C145="",S145=""),"",IF(S145/IF($S$2="",100,$S$2)&gt;=設定!$I$28,設定!$G$8,IF(S145/IF($S$2="",100,$S$2)&lt;設定!$I$29,設定!$G$10,設定!$G$9)))</f>
        <v/>
      </c>
    </row>
    <row r="146" customFormat="false" ht="21" hidden="false" customHeight="true" outlineLevel="0" collapsed="false">
      <c r="A146" s="91" t="str">
        <f aca="false">IF(名簿!$D146="","",名簿!$B146&amp;"")</f>
        <v/>
      </c>
      <c r="B146" s="91" t="str">
        <f aca="false">IF(名簿!$D146="","",名簿!$C146)</f>
        <v/>
      </c>
      <c r="C146" s="59" t="str">
        <f aca="false">IF(名簿!$D146="","",名簿!$D146&amp;IF(名簿!$F146="転出","（転出）",""))</f>
        <v/>
      </c>
      <c r="D146" s="149"/>
      <c r="E146" s="61" t="str">
        <f aca="false">IF(OR($C146="",名簿!$F146="転出"),"",IF($C$2="学級ごと",$A146,IF($C$2="前の単元と同じ",単元03!$E146&amp;"",$D146&amp;"")))</f>
        <v/>
      </c>
      <c r="F146" s="150"/>
      <c r="G146" s="150"/>
      <c r="H146" s="150"/>
      <c r="I146" s="151"/>
      <c r="J146" s="41" t="str">
        <f aca="false">IF($E146="","",$E146&amp;"|"&amp;COUNTIF($E$5:$E146,$E146))</f>
        <v/>
      </c>
      <c r="K146" s="40" t="str">
        <f aca="false">IF($I146="","",LEN($I146))</f>
        <v/>
      </c>
      <c r="L146" s="13"/>
      <c r="M146" s="13"/>
      <c r="N146" s="13"/>
      <c r="O146" s="13"/>
      <c r="P146" s="152"/>
      <c r="Q146" s="149"/>
      <c r="R146" s="152"/>
      <c r="S146" s="152"/>
      <c r="T146" s="62" t="str">
        <f aca="false">IF(OR($C146="",R146=""),"",IF(R146/IF($R$2="",100,$R$2)&gt;=設定!$I$28,設定!$G$8,IF(R146/IF($R$2="",100,$R$2)&lt;設定!$I$29,設定!$G$10,設定!$G$9)))</f>
        <v/>
      </c>
      <c r="U146" s="62" t="str">
        <f aca="false">IF(OR($C146="",S146=""),"",IF(S146/IF($S$2="",100,$S$2)&gt;=設定!$I$28,設定!$G$8,IF(S146/IF($S$2="",100,$S$2)&lt;設定!$I$29,設定!$G$10,設定!$G$9)))</f>
        <v/>
      </c>
    </row>
    <row r="147" customFormat="false" ht="21" hidden="false" customHeight="true" outlineLevel="0" collapsed="false">
      <c r="A147" s="91" t="str">
        <f aca="false">IF(名簿!$D147="","",名簿!$B147&amp;"")</f>
        <v/>
      </c>
      <c r="B147" s="91" t="str">
        <f aca="false">IF(名簿!$D147="","",名簿!$C147)</f>
        <v/>
      </c>
      <c r="C147" s="59" t="str">
        <f aca="false">IF(名簿!$D147="","",名簿!$D147&amp;IF(名簿!$F147="転出","（転出）",""))</f>
        <v/>
      </c>
      <c r="D147" s="149"/>
      <c r="E147" s="61" t="str">
        <f aca="false">IF(OR($C147="",名簿!$F147="転出"),"",IF($C$2="学級ごと",$A147,IF($C$2="前の単元と同じ",単元03!$E147&amp;"",$D147&amp;"")))</f>
        <v/>
      </c>
      <c r="F147" s="150"/>
      <c r="G147" s="150"/>
      <c r="H147" s="150"/>
      <c r="I147" s="151"/>
      <c r="J147" s="41" t="str">
        <f aca="false">IF($E147="","",$E147&amp;"|"&amp;COUNTIF($E$5:$E147,$E147))</f>
        <v/>
      </c>
      <c r="K147" s="40" t="str">
        <f aca="false">IF($I147="","",LEN($I147))</f>
        <v/>
      </c>
      <c r="L147" s="13"/>
      <c r="M147" s="13"/>
      <c r="N147" s="13"/>
      <c r="O147" s="13"/>
      <c r="P147" s="152"/>
      <c r="Q147" s="149"/>
      <c r="R147" s="152"/>
      <c r="S147" s="152"/>
      <c r="T147" s="62" t="str">
        <f aca="false">IF(OR($C147="",R147=""),"",IF(R147/IF($R$2="",100,$R$2)&gt;=設定!$I$28,設定!$G$8,IF(R147/IF($R$2="",100,$R$2)&lt;設定!$I$29,設定!$G$10,設定!$G$9)))</f>
        <v/>
      </c>
      <c r="U147" s="62" t="str">
        <f aca="false">IF(OR($C147="",S147=""),"",IF(S147/IF($S$2="",100,$S$2)&gt;=設定!$I$28,設定!$G$8,IF(S147/IF($S$2="",100,$S$2)&lt;設定!$I$29,設定!$G$10,設定!$G$9)))</f>
        <v/>
      </c>
    </row>
    <row r="148" customFormat="false" ht="21" hidden="false" customHeight="true" outlineLevel="0" collapsed="false">
      <c r="A148" s="91" t="str">
        <f aca="false">IF(名簿!$D148="","",名簿!$B148&amp;"")</f>
        <v/>
      </c>
      <c r="B148" s="91" t="str">
        <f aca="false">IF(名簿!$D148="","",名簿!$C148)</f>
        <v/>
      </c>
      <c r="C148" s="59" t="str">
        <f aca="false">IF(名簿!$D148="","",名簿!$D148&amp;IF(名簿!$F148="転出","（転出）",""))</f>
        <v/>
      </c>
      <c r="D148" s="149"/>
      <c r="E148" s="61" t="str">
        <f aca="false">IF(OR($C148="",名簿!$F148="転出"),"",IF($C$2="学級ごと",$A148,IF($C$2="前の単元と同じ",単元03!$E148&amp;"",$D148&amp;"")))</f>
        <v/>
      </c>
      <c r="F148" s="150"/>
      <c r="G148" s="150"/>
      <c r="H148" s="150"/>
      <c r="I148" s="151"/>
      <c r="J148" s="41" t="str">
        <f aca="false">IF($E148="","",$E148&amp;"|"&amp;COUNTIF($E$5:$E148,$E148))</f>
        <v/>
      </c>
      <c r="K148" s="40" t="str">
        <f aca="false">IF($I148="","",LEN($I148))</f>
        <v/>
      </c>
      <c r="L148" s="13"/>
      <c r="M148" s="13"/>
      <c r="N148" s="13"/>
      <c r="O148" s="13"/>
      <c r="P148" s="152"/>
      <c r="Q148" s="149"/>
      <c r="R148" s="152"/>
      <c r="S148" s="152"/>
      <c r="T148" s="62" t="str">
        <f aca="false">IF(OR($C148="",R148=""),"",IF(R148/IF($R$2="",100,$R$2)&gt;=設定!$I$28,設定!$G$8,IF(R148/IF($R$2="",100,$R$2)&lt;設定!$I$29,設定!$G$10,設定!$G$9)))</f>
        <v/>
      </c>
      <c r="U148" s="62" t="str">
        <f aca="false">IF(OR($C148="",S148=""),"",IF(S148/IF($S$2="",100,$S$2)&gt;=設定!$I$28,設定!$G$8,IF(S148/IF($S$2="",100,$S$2)&lt;設定!$I$29,設定!$G$10,設定!$G$9)))</f>
        <v/>
      </c>
    </row>
    <row r="149" customFormat="false" ht="21" hidden="false" customHeight="true" outlineLevel="0" collapsed="false">
      <c r="A149" s="91" t="str">
        <f aca="false">IF(名簿!$D149="","",名簿!$B149&amp;"")</f>
        <v/>
      </c>
      <c r="B149" s="91" t="str">
        <f aca="false">IF(名簿!$D149="","",名簿!$C149)</f>
        <v/>
      </c>
      <c r="C149" s="59" t="str">
        <f aca="false">IF(名簿!$D149="","",名簿!$D149&amp;IF(名簿!$F149="転出","（転出）",""))</f>
        <v/>
      </c>
      <c r="D149" s="149"/>
      <c r="E149" s="61" t="str">
        <f aca="false">IF(OR($C149="",名簿!$F149="転出"),"",IF($C$2="学級ごと",$A149,IF($C$2="前の単元と同じ",単元03!$E149&amp;"",$D149&amp;"")))</f>
        <v/>
      </c>
      <c r="F149" s="150"/>
      <c r="G149" s="150"/>
      <c r="H149" s="150"/>
      <c r="I149" s="151"/>
      <c r="J149" s="41" t="str">
        <f aca="false">IF($E149="","",$E149&amp;"|"&amp;COUNTIF($E$5:$E149,$E149))</f>
        <v/>
      </c>
      <c r="K149" s="40" t="str">
        <f aca="false">IF($I149="","",LEN($I149))</f>
        <v/>
      </c>
      <c r="L149" s="13"/>
      <c r="M149" s="13"/>
      <c r="N149" s="13"/>
      <c r="O149" s="13"/>
      <c r="P149" s="152"/>
      <c r="Q149" s="149"/>
      <c r="R149" s="152"/>
      <c r="S149" s="152"/>
      <c r="T149" s="62" t="str">
        <f aca="false">IF(OR($C149="",R149=""),"",IF(R149/IF($R$2="",100,$R$2)&gt;=設定!$I$28,設定!$G$8,IF(R149/IF($R$2="",100,$R$2)&lt;設定!$I$29,設定!$G$10,設定!$G$9)))</f>
        <v/>
      </c>
      <c r="U149" s="62" t="str">
        <f aca="false">IF(OR($C149="",S149=""),"",IF(S149/IF($S$2="",100,$S$2)&gt;=設定!$I$28,設定!$G$8,IF(S149/IF($S$2="",100,$S$2)&lt;設定!$I$29,設定!$G$10,設定!$G$9)))</f>
        <v/>
      </c>
    </row>
    <row r="150" customFormat="false" ht="21" hidden="false" customHeight="true" outlineLevel="0" collapsed="false">
      <c r="A150" s="91" t="str">
        <f aca="false">IF(名簿!$D150="","",名簿!$B150&amp;"")</f>
        <v/>
      </c>
      <c r="B150" s="91" t="str">
        <f aca="false">IF(名簿!$D150="","",名簿!$C150)</f>
        <v/>
      </c>
      <c r="C150" s="59" t="str">
        <f aca="false">IF(名簿!$D150="","",名簿!$D150&amp;IF(名簿!$F150="転出","（転出）",""))</f>
        <v/>
      </c>
      <c r="D150" s="149"/>
      <c r="E150" s="61" t="str">
        <f aca="false">IF(OR($C150="",名簿!$F150="転出"),"",IF($C$2="学級ごと",$A150,IF($C$2="前の単元と同じ",単元03!$E150&amp;"",$D150&amp;"")))</f>
        <v/>
      </c>
      <c r="F150" s="150"/>
      <c r="G150" s="150"/>
      <c r="H150" s="150"/>
      <c r="I150" s="151"/>
      <c r="J150" s="41" t="str">
        <f aca="false">IF($E150="","",$E150&amp;"|"&amp;COUNTIF($E$5:$E150,$E150))</f>
        <v/>
      </c>
      <c r="K150" s="40" t="str">
        <f aca="false">IF($I150="","",LEN($I150))</f>
        <v/>
      </c>
      <c r="L150" s="13"/>
      <c r="M150" s="13"/>
      <c r="N150" s="13"/>
      <c r="O150" s="13"/>
      <c r="P150" s="152"/>
      <c r="Q150" s="149"/>
      <c r="R150" s="152"/>
      <c r="S150" s="152"/>
      <c r="T150" s="62" t="str">
        <f aca="false">IF(OR($C150="",R150=""),"",IF(R150/IF($R$2="",100,$R$2)&gt;=設定!$I$28,設定!$G$8,IF(R150/IF($R$2="",100,$R$2)&lt;設定!$I$29,設定!$G$10,設定!$G$9)))</f>
        <v/>
      </c>
      <c r="U150" s="62" t="str">
        <f aca="false">IF(OR($C150="",S150=""),"",IF(S150/IF($S$2="",100,$S$2)&gt;=設定!$I$28,設定!$G$8,IF(S150/IF($S$2="",100,$S$2)&lt;設定!$I$29,設定!$G$10,設定!$G$9)))</f>
        <v/>
      </c>
    </row>
    <row r="151" customFormat="false" ht="21" hidden="false" customHeight="true" outlineLevel="0" collapsed="false">
      <c r="A151" s="91" t="str">
        <f aca="false">IF(名簿!$D151="","",名簿!$B151&amp;"")</f>
        <v/>
      </c>
      <c r="B151" s="91" t="str">
        <f aca="false">IF(名簿!$D151="","",名簿!$C151)</f>
        <v/>
      </c>
      <c r="C151" s="59" t="str">
        <f aca="false">IF(名簿!$D151="","",名簿!$D151&amp;IF(名簿!$F151="転出","（転出）",""))</f>
        <v/>
      </c>
      <c r="D151" s="149"/>
      <c r="E151" s="61" t="str">
        <f aca="false">IF(OR($C151="",名簿!$F151="転出"),"",IF($C$2="学級ごと",$A151,IF($C$2="前の単元と同じ",単元03!$E151&amp;"",$D151&amp;"")))</f>
        <v/>
      </c>
      <c r="F151" s="150"/>
      <c r="G151" s="150"/>
      <c r="H151" s="150"/>
      <c r="I151" s="151"/>
      <c r="J151" s="41" t="str">
        <f aca="false">IF($E151="","",$E151&amp;"|"&amp;COUNTIF($E$5:$E151,$E151))</f>
        <v/>
      </c>
      <c r="K151" s="40" t="str">
        <f aca="false">IF($I151="","",LEN($I151))</f>
        <v/>
      </c>
      <c r="L151" s="13"/>
      <c r="M151" s="13"/>
      <c r="N151" s="13"/>
      <c r="O151" s="13"/>
      <c r="P151" s="152"/>
      <c r="Q151" s="149"/>
      <c r="R151" s="152"/>
      <c r="S151" s="152"/>
      <c r="T151" s="62" t="str">
        <f aca="false">IF(OR($C151="",R151=""),"",IF(R151/IF($R$2="",100,$R$2)&gt;=設定!$I$28,設定!$G$8,IF(R151/IF($R$2="",100,$R$2)&lt;設定!$I$29,設定!$G$10,設定!$G$9)))</f>
        <v/>
      </c>
      <c r="U151" s="62" t="str">
        <f aca="false">IF(OR($C151="",S151=""),"",IF(S151/IF($S$2="",100,$S$2)&gt;=設定!$I$28,設定!$G$8,IF(S151/IF($S$2="",100,$S$2)&lt;設定!$I$29,設定!$G$10,設定!$G$9)))</f>
        <v/>
      </c>
    </row>
    <row r="152" customFormat="false" ht="21" hidden="false" customHeight="true" outlineLevel="0" collapsed="false">
      <c r="A152" s="91" t="str">
        <f aca="false">IF(名簿!$D152="","",名簿!$B152&amp;"")</f>
        <v/>
      </c>
      <c r="B152" s="91" t="str">
        <f aca="false">IF(名簿!$D152="","",名簿!$C152)</f>
        <v/>
      </c>
      <c r="C152" s="59" t="str">
        <f aca="false">IF(名簿!$D152="","",名簿!$D152&amp;IF(名簿!$F152="転出","（転出）",""))</f>
        <v/>
      </c>
      <c r="D152" s="149"/>
      <c r="E152" s="61" t="str">
        <f aca="false">IF(OR($C152="",名簿!$F152="転出"),"",IF($C$2="学級ごと",$A152,IF($C$2="前の単元と同じ",単元03!$E152&amp;"",$D152&amp;"")))</f>
        <v/>
      </c>
      <c r="F152" s="150"/>
      <c r="G152" s="150"/>
      <c r="H152" s="150"/>
      <c r="I152" s="151"/>
      <c r="J152" s="41" t="str">
        <f aca="false">IF($E152="","",$E152&amp;"|"&amp;COUNTIF($E$5:$E152,$E152))</f>
        <v/>
      </c>
      <c r="K152" s="40" t="str">
        <f aca="false">IF($I152="","",LEN($I152))</f>
        <v/>
      </c>
      <c r="L152" s="13"/>
      <c r="M152" s="13"/>
      <c r="N152" s="13"/>
      <c r="O152" s="13"/>
      <c r="P152" s="152"/>
      <c r="Q152" s="149"/>
      <c r="R152" s="152"/>
      <c r="S152" s="152"/>
      <c r="T152" s="62" t="str">
        <f aca="false">IF(OR($C152="",R152=""),"",IF(R152/IF($R$2="",100,$R$2)&gt;=設定!$I$28,設定!$G$8,IF(R152/IF($R$2="",100,$R$2)&lt;設定!$I$29,設定!$G$10,設定!$G$9)))</f>
        <v/>
      </c>
      <c r="U152" s="62" t="str">
        <f aca="false">IF(OR($C152="",S152=""),"",IF(S152/IF($S$2="",100,$S$2)&gt;=設定!$I$28,設定!$G$8,IF(S152/IF($S$2="",100,$S$2)&lt;設定!$I$29,設定!$G$10,設定!$G$9)))</f>
        <v/>
      </c>
    </row>
    <row r="153" customFormat="false" ht="21" hidden="false" customHeight="true" outlineLevel="0" collapsed="false">
      <c r="A153" s="91" t="str">
        <f aca="false">IF(名簿!$D153="","",名簿!$B153&amp;"")</f>
        <v/>
      </c>
      <c r="B153" s="91" t="str">
        <f aca="false">IF(名簿!$D153="","",名簿!$C153)</f>
        <v/>
      </c>
      <c r="C153" s="59" t="str">
        <f aca="false">IF(名簿!$D153="","",名簿!$D153&amp;IF(名簿!$F153="転出","（転出）",""))</f>
        <v/>
      </c>
      <c r="D153" s="149"/>
      <c r="E153" s="61" t="str">
        <f aca="false">IF(OR($C153="",名簿!$F153="転出"),"",IF($C$2="学級ごと",$A153,IF($C$2="前の単元と同じ",単元03!$E153&amp;"",$D153&amp;"")))</f>
        <v/>
      </c>
      <c r="F153" s="150"/>
      <c r="G153" s="150"/>
      <c r="H153" s="150"/>
      <c r="I153" s="151"/>
      <c r="J153" s="41" t="str">
        <f aca="false">IF($E153="","",$E153&amp;"|"&amp;COUNTIF($E$5:$E153,$E153))</f>
        <v/>
      </c>
      <c r="K153" s="40" t="str">
        <f aca="false">IF($I153="","",LEN($I153))</f>
        <v/>
      </c>
      <c r="L153" s="13"/>
      <c r="M153" s="13"/>
      <c r="N153" s="13"/>
      <c r="O153" s="13"/>
      <c r="P153" s="152"/>
      <c r="Q153" s="149"/>
      <c r="R153" s="152"/>
      <c r="S153" s="152"/>
      <c r="T153" s="62" t="str">
        <f aca="false">IF(OR($C153="",R153=""),"",IF(R153/IF($R$2="",100,$R$2)&gt;=設定!$I$28,設定!$G$8,IF(R153/IF($R$2="",100,$R$2)&lt;設定!$I$29,設定!$G$10,設定!$G$9)))</f>
        <v/>
      </c>
      <c r="U153" s="62" t="str">
        <f aca="false">IF(OR($C153="",S153=""),"",IF(S153/IF($S$2="",100,$S$2)&gt;=設定!$I$28,設定!$G$8,IF(S153/IF($S$2="",100,$S$2)&lt;設定!$I$29,設定!$G$10,設定!$G$9)))</f>
        <v/>
      </c>
    </row>
    <row r="154" customFormat="false" ht="21" hidden="false" customHeight="true" outlineLevel="0" collapsed="false">
      <c r="A154" s="91" t="str">
        <f aca="false">IF(名簿!$D154="","",名簿!$B154&amp;"")</f>
        <v/>
      </c>
      <c r="B154" s="91" t="str">
        <f aca="false">IF(名簿!$D154="","",名簿!$C154)</f>
        <v/>
      </c>
      <c r="C154" s="59" t="str">
        <f aca="false">IF(名簿!$D154="","",名簿!$D154&amp;IF(名簿!$F154="転出","（転出）",""))</f>
        <v/>
      </c>
      <c r="D154" s="149"/>
      <c r="E154" s="61" t="str">
        <f aca="false">IF(OR($C154="",名簿!$F154="転出"),"",IF($C$2="学級ごと",$A154,IF($C$2="前の単元と同じ",単元03!$E154&amp;"",$D154&amp;"")))</f>
        <v/>
      </c>
      <c r="F154" s="150"/>
      <c r="G154" s="150"/>
      <c r="H154" s="150"/>
      <c r="I154" s="151"/>
      <c r="J154" s="41" t="str">
        <f aca="false">IF($E154="","",$E154&amp;"|"&amp;COUNTIF($E$5:$E154,$E154))</f>
        <v/>
      </c>
      <c r="K154" s="40" t="str">
        <f aca="false">IF($I154="","",LEN($I154))</f>
        <v/>
      </c>
      <c r="L154" s="13"/>
      <c r="M154" s="13"/>
      <c r="N154" s="13"/>
      <c r="O154" s="13"/>
      <c r="P154" s="152"/>
      <c r="Q154" s="149"/>
      <c r="R154" s="152"/>
      <c r="S154" s="152"/>
      <c r="T154" s="62" t="str">
        <f aca="false">IF(OR($C154="",R154=""),"",IF(R154/IF($R$2="",100,$R$2)&gt;=設定!$I$28,設定!$G$8,IF(R154/IF($R$2="",100,$R$2)&lt;設定!$I$29,設定!$G$10,設定!$G$9)))</f>
        <v/>
      </c>
      <c r="U154" s="62" t="str">
        <f aca="false">IF(OR($C154="",S154=""),"",IF(S154/IF($S$2="",100,$S$2)&gt;=設定!$I$28,設定!$G$8,IF(S154/IF($S$2="",100,$S$2)&lt;設定!$I$29,設定!$G$10,設定!$G$9)))</f>
        <v/>
      </c>
    </row>
    <row r="155" customFormat="false" ht="21" hidden="false" customHeight="true" outlineLevel="0" collapsed="false">
      <c r="A155" s="91" t="str">
        <f aca="false">IF(名簿!$D155="","",名簿!$B155&amp;"")</f>
        <v/>
      </c>
      <c r="B155" s="91" t="str">
        <f aca="false">IF(名簿!$D155="","",名簿!$C155)</f>
        <v/>
      </c>
      <c r="C155" s="59" t="str">
        <f aca="false">IF(名簿!$D155="","",名簿!$D155&amp;IF(名簿!$F155="転出","（転出）",""))</f>
        <v/>
      </c>
      <c r="D155" s="149"/>
      <c r="E155" s="61" t="str">
        <f aca="false">IF(OR($C155="",名簿!$F155="転出"),"",IF($C$2="学級ごと",$A155,IF($C$2="前の単元と同じ",単元03!$E155&amp;"",$D155&amp;"")))</f>
        <v/>
      </c>
      <c r="F155" s="150"/>
      <c r="G155" s="150"/>
      <c r="H155" s="150"/>
      <c r="I155" s="151"/>
      <c r="J155" s="41" t="str">
        <f aca="false">IF($E155="","",$E155&amp;"|"&amp;COUNTIF($E$5:$E155,$E155))</f>
        <v/>
      </c>
      <c r="K155" s="40" t="str">
        <f aca="false">IF($I155="","",LEN($I155))</f>
        <v/>
      </c>
      <c r="L155" s="13"/>
      <c r="M155" s="13"/>
      <c r="N155" s="13"/>
      <c r="O155" s="13"/>
      <c r="P155" s="152"/>
      <c r="Q155" s="149"/>
      <c r="R155" s="152"/>
      <c r="S155" s="152"/>
      <c r="T155" s="62" t="str">
        <f aca="false">IF(OR($C155="",R155=""),"",IF(R155/IF($R$2="",100,$R$2)&gt;=設定!$I$28,設定!$G$8,IF(R155/IF($R$2="",100,$R$2)&lt;設定!$I$29,設定!$G$10,設定!$G$9)))</f>
        <v/>
      </c>
      <c r="U155" s="62" t="str">
        <f aca="false">IF(OR($C155="",S155=""),"",IF(S155/IF($S$2="",100,$S$2)&gt;=設定!$I$28,設定!$G$8,IF(S155/IF($S$2="",100,$S$2)&lt;設定!$I$29,設定!$G$10,設定!$G$9)))</f>
        <v/>
      </c>
    </row>
    <row r="156" customFormat="false" ht="21" hidden="false" customHeight="true" outlineLevel="0" collapsed="false">
      <c r="A156" s="91" t="str">
        <f aca="false">IF(名簿!$D156="","",名簿!$B156&amp;"")</f>
        <v/>
      </c>
      <c r="B156" s="91" t="str">
        <f aca="false">IF(名簿!$D156="","",名簿!$C156)</f>
        <v/>
      </c>
      <c r="C156" s="59" t="str">
        <f aca="false">IF(名簿!$D156="","",名簿!$D156&amp;IF(名簿!$F156="転出","（転出）",""))</f>
        <v/>
      </c>
      <c r="D156" s="149"/>
      <c r="E156" s="61" t="str">
        <f aca="false">IF(OR($C156="",名簿!$F156="転出"),"",IF($C$2="学級ごと",$A156,IF($C$2="前の単元と同じ",単元03!$E156&amp;"",$D156&amp;"")))</f>
        <v/>
      </c>
      <c r="F156" s="150"/>
      <c r="G156" s="150"/>
      <c r="H156" s="150"/>
      <c r="I156" s="151"/>
      <c r="J156" s="41" t="str">
        <f aca="false">IF($E156="","",$E156&amp;"|"&amp;COUNTIF($E$5:$E156,$E156))</f>
        <v/>
      </c>
      <c r="K156" s="40" t="str">
        <f aca="false">IF($I156="","",LEN($I156))</f>
        <v/>
      </c>
      <c r="L156" s="13"/>
      <c r="M156" s="13"/>
      <c r="N156" s="13"/>
      <c r="O156" s="13"/>
      <c r="P156" s="152"/>
      <c r="Q156" s="149"/>
      <c r="R156" s="152"/>
      <c r="S156" s="152"/>
      <c r="T156" s="62" t="str">
        <f aca="false">IF(OR($C156="",R156=""),"",IF(R156/IF($R$2="",100,$R$2)&gt;=設定!$I$28,設定!$G$8,IF(R156/IF($R$2="",100,$R$2)&lt;設定!$I$29,設定!$G$10,設定!$G$9)))</f>
        <v/>
      </c>
      <c r="U156" s="62" t="str">
        <f aca="false">IF(OR($C156="",S156=""),"",IF(S156/IF($S$2="",100,$S$2)&gt;=設定!$I$28,設定!$G$8,IF(S156/IF($S$2="",100,$S$2)&lt;設定!$I$29,設定!$G$10,設定!$G$9)))</f>
        <v/>
      </c>
    </row>
    <row r="157" customFormat="false" ht="21" hidden="false" customHeight="true" outlineLevel="0" collapsed="false">
      <c r="A157" s="91" t="str">
        <f aca="false">IF(名簿!$D157="","",名簿!$B157&amp;"")</f>
        <v/>
      </c>
      <c r="B157" s="91" t="str">
        <f aca="false">IF(名簿!$D157="","",名簿!$C157)</f>
        <v/>
      </c>
      <c r="C157" s="59" t="str">
        <f aca="false">IF(名簿!$D157="","",名簿!$D157&amp;IF(名簿!$F157="転出","（転出）",""))</f>
        <v/>
      </c>
      <c r="D157" s="149"/>
      <c r="E157" s="61" t="str">
        <f aca="false">IF(OR($C157="",名簿!$F157="転出"),"",IF($C$2="学級ごと",$A157,IF($C$2="前の単元と同じ",単元03!$E157&amp;"",$D157&amp;"")))</f>
        <v/>
      </c>
      <c r="F157" s="150"/>
      <c r="G157" s="150"/>
      <c r="H157" s="150"/>
      <c r="I157" s="151"/>
      <c r="J157" s="41" t="str">
        <f aca="false">IF($E157="","",$E157&amp;"|"&amp;COUNTIF($E$5:$E157,$E157))</f>
        <v/>
      </c>
      <c r="K157" s="40" t="str">
        <f aca="false">IF($I157="","",LEN($I157))</f>
        <v/>
      </c>
      <c r="L157" s="13"/>
      <c r="M157" s="13"/>
      <c r="N157" s="13"/>
      <c r="O157" s="13"/>
      <c r="P157" s="152"/>
      <c r="Q157" s="149"/>
      <c r="R157" s="152"/>
      <c r="S157" s="152"/>
      <c r="T157" s="62" t="str">
        <f aca="false">IF(OR($C157="",R157=""),"",IF(R157/IF($R$2="",100,$R$2)&gt;=設定!$I$28,設定!$G$8,IF(R157/IF($R$2="",100,$R$2)&lt;設定!$I$29,設定!$G$10,設定!$G$9)))</f>
        <v/>
      </c>
      <c r="U157" s="62" t="str">
        <f aca="false">IF(OR($C157="",S157=""),"",IF(S157/IF($S$2="",100,$S$2)&gt;=設定!$I$28,設定!$G$8,IF(S157/IF($S$2="",100,$S$2)&lt;設定!$I$29,設定!$G$10,設定!$G$9)))</f>
        <v/>
      </c>
    </row>
    <row r="158" customFormat="false" ht="21" hidden="false" customHeight="true" outlineLevel="0" collapsed="false">
      <c r="A158" s="91" t="str">
        <f aca="false">IF(名簿!$D158="","",名簿!$B158&amp;"")</f>
        <v/>
      </c>
      <c r="B158" s="91" t="str">
        <f aca="false">IF(名簿!$D158="","",名簿!$C158)</f>
        <v/>
      </c>
      <c r="C158" s="59" t="str">
        <f aca="false">IF(名簿!$D158="","",名簿!$D158&amp;IF(名簿!$F158="転出","（転出）",""))</f>
        <v/>
      </c>
      <c r="D158" s="149"/>
      <c r="E158" s="61" t="str">
        <f aca="false">IF(OR($C158="",名簿!$F158="転出"),"",IF($C$2="学級ごと",$A158,IF($C$2="前の単元と同じ",単元03!$E158&amp;"",$D158&amp;"")))</f>
        <v/>
      </c>
      <c r="F158" s="150"/>
      <c r="G158" s="150"/>
      <c r="H158" s="150"/>
      <c r="I158" s="151"/>
      <c r="J158" s="41" t="str">
        <f aca="false">IF($E158="","",$E158&amp;"|"&amp;COUNTIF($E$5:$E158,$E158))</f>
        <v/>
      </c>
      <c r="K158" s="40" t="str">
        <f aca="false">IF($I158="","",LEN($I158))</f>
        <v/>
      </c>
      <c r="L158" s="13"/>
      <c r="M158" s="13"/>
      <c r="N158" s="13"/>
      <c r="O158" s="13"/>
      <c r="P158" s="152"/>
      <c r="Q158" s="149"/>
      <c r="R158" s="152"/>
      <c r="S158" s="152"/>
      <c r="T158" s="62" t="str">
        <f aca="false">IF(OR($C158="",R158=""),"",IF(R158/IF($R$2="",100,$R$2)&gt;=設定!$I$28,設定!$G$8,IF(R158/IF($R$2="",100,$R$2)&lt;設定!$I$29,設定!$G$10,設定!$G$9)))</f>
        <v/>
      </c>
      <c r="U158" s="62" t="str">
        <f aca="false">IF(OR($C158="",S158=""),"",IF(S158/IF($S$2="",100,$S$2)&gt;=設定!$I$28,設定!$G$8,IF(S158/IF($S$2="",100,$S$2)&lt;設定!$I$29,設定!$G$10,設定!$G$9)))</f>
        <v/>
      </c>
    </row>
    <row r="159" customFormat="false" ht="21" hidden="false" customHeight="true" outlineLevel="0" collapsed="false">
      <c r="A159" s="91" t="str">
        <f aca="false">IF(名簿!$D159="","",名簿!$B159&amp;"")</f>
        <v/>
      </c>
      <c r="B159" s="91" t="str">
        <f aca="false">IF(名簿!$D159="","",名簿!$C159)</f>
        <v/>
      </c>
      <c r="C159" s="59" t="str">
        <f aca="false">IF(名簿!$D159="","",名簿!$D159&amp;IF(名簿!$F159="転出","（転出）",""))</f>
        <v/>
      </c>
      <c r="D159" s="149"/>
      <c r="E159" s="61" t="str">
        <f aca="false">IF(OR($C159="",名簿!$F159="転出"),"",IF($C$2="学級ごと",$A159,IF($C$2="前の単元と同じ",単元03!$E159&amp;"",$D159&amp;"")))</f>
        <v/>
      </c>
      <c r="F159" s="150"/>
      <c r="G159" s="150"/>
      <c r="H159" s="150"/>
      <c r="I159" s="151"/>
      <c r="J159" s="41" t="str">
        <f aca="false">IF($E159="","",$E159&amp;"|"&amp;COUNTIF($E$5:$E159,$E159))</f>
        <v/>
      </c>
      <c r="K159" s="40" t="str">
        <f aca="false">IF($I159="","",LEN($I159))</f>
        <v/>
      </c>
      <c r="L159" s="13"/>
      <c r="M159" s="13"/>
      <c r="N159" s="13"/>
      <c r="O159" s="13"/>
      <c r="P159" s="152"/>
      <c r="Q159" s="149"/>
      <c r="R159" s="152"/>
      <c r="S159" s="152"/>
      <c r="T159" s="62" t="str">
        <f aca="false">IF(OR($C159="",R159=""),"",IF(R159/IF($R$2="",100,$R$2)&gt;=設定!$I$28,設定!$G$8,IF(R159/IF($R$2="",100,$R$2)&lt;設定!$I$29,設定!$G$10,設定!$G$9)))</f>
        <v/>
      </c>
      <c r="U159" s="62" t="str">
        <f aca="false">IF(OR($C159="",S159=""),"",IF(S159/IF($S$2="",100,$S$2)&gt;=設定!$I$28,設定!$G$8,IF(S159/IF($S$2="",100,$S$2)&lt;設定!$I$29,設定!$G$10,設定!$G$9)))</f>
        <v/>
      </c>
    </row>
    <row r="160" customFormat="false" ht="21" hidden="false" customHeight="true" outlineLevel="0" collapsed="false">
      <c r="A160" s="91" t="str">
        <f aca="false">IF(名簿!$D160="","",名簿!$B160&amp;"")</f>
        <v/>
      </c>
      <c r="B160" s="91" t="str">
        <f aca="false">IF(名簿!$D160="","",名簿!$C160)</f>
        <v/>
      </c>
      <c r="C160" s="59" t="str">
        <f aca="false">IF(名簿!$D160="","",名簿!$D160&amp;IF(名簿!$F160="転出","（転出）",""))</f>
        <v/>
      </c>
      <c r="D160" s="149"/>
      <c r="E160" s="61" t="str">
        <f aca="false">IF(OR($C160="",名簿!$F160="転出"),"",IF($C$2="学級ごと",$A160,IF($C$2="前の単元と同じ",単元03!$E160&amp;"",$D160&amp;"")))</f>
        <v/>
      </c>
      <c r="F160" s="150"/>
      <c r="G160" s="150"/>
      <c r="H160" s="150"/>
      <c r="I160" s="151"/>
      <c r="J160" s="41" t="str">
        <f aca="false">IF($E160="","",$E160&amp;"|"&amp;COUNTIF($E$5:$E160,$E160))</f>
        <v/>
      </c>
      <c r="K160" s="40" t="str">
        <f aca="false">IF($I160="","",LEN($I160))</f>
        <v/>
      </c>
      <c r="L160" s="13"/>
      <c r="M160" s="13"/>
      <c r="N160" s="13"/>
      <c r="O160" s="13"/>
      <c r="P160" s="152"/>
      <c r="Q160" s="149"/>
      <c r="R160" s="152"/>
      <c r="S160" s="152"/>
      <c r="T160" s="62" t="str">
        <f aca="false">IF(OR($C160="",R160=""),"",IF(R160/IF($R$2="",100,$R$2)&gt;=設定!$I$28,設定!$G$8,IF(R160/IF($R$2="",100,$R$2)&lt;設定!$I$29,設定!$G$10,設定!$G$9)))</f>
        <v/>
      </c>
      <c r="U160" s="62" t="str">
        <f aca="false">IF(OR($C160="",S160=""),"",IF(S160/IF($S$2="",100,$S$2)&gt;=設定!$I$28,設定!$G$8,IF(S160/IF($S$2="",100,$S$2)&lt;設定!$I$29,設定!$G$10,設定!$G$9)))</f>
        <v/>
      </c>
    </row>
    <row r="161" customFormat="false" ht="21" hidden="false" customHeight="true" outlineLevel="0" collapsed="false">
      <c r="A161" s="91" t="str">
        <f aca="false">IF(名簿!$D161="","",名簿!$B161&amp;"")</f>
        <v/>
      </c>
      <c r="B161" s="91" t="str">
        <f aca="false">IF(名簿!$D161="","",名簿!$C161)</f>
        <v/>
      </c>
      <c r="C161" s="59" t="str">
        <f aca="false">IF(名簿!$D161="","",名簿!$D161&amp;IF(名簿!$F161="転出","（転出）",""))</f>
        <v/>
      </c>
      <c r="D161" s="149"/>
      <c r="E161" s="61" t="str">
        <f aca="false">IF(OR($C161="",名簿!$F161="転出"),"",IF($C$2="学級ごと",$A161,IF($C$2="前の単元と同じ",単元03!$E161&amp;"",$D161&amp;"")))</f>
        <v/>
      </c>
      <c r="F161" s="150"/>
      <c r="G161" s="150"/>
      <c r="H161" s="150"/>
      <c r="I161" s="151"/>
      <c r="J161" s="41" t="str">
        <f aca="false">IF($E161="","",$E161&amp;"|"&amp;COUNTIF($E$5:$E161,$E161))</f>
        <v/>
      </c>
      <c r="K161" s="40" t="str">
        <f aca="false">IF($I161="","",LEN($I161))</f>
        <v/>
      </c>
      <c r="L161" s="13"/>
      <c r="M161" s="13"/>
      <c r="N161" s="13"/>
      <c r="O161" s="13"/>
      <c r="P161" s="152"/>
      <c r="Q161" s="149"/>
      <c r="R161" s="152"/>
      <c r="S161" s="152"/>
      <c r="T161" s="62" t="str">
        <f aca="false">IF(OR($C161="",R161=""),"",IF(R161/IF($R$2="",100,$R$2)&gt;=設定!$I$28,設定!$G$8,IF(R161/IF($R$2="",100,$R$2)&lt;設定!$I$29,設定!$G$10,設定!$G$9)))</f>
        <v/>
      </c>
      <c r="U161" s="62" t="str">
        <f aca="false">IF(OR($C161="",S161=""),"",IF(S161/IF($S$2="",100,$S$2)&gt;=設定!$I$28,設定!$G$8,IF(S161/IF($S$2="",100,$S$2)&lt;設定!$I$29,設定!$G$10,設定!$G$9)))</f>
        <v/>
      </c>
    </row>
    <row r="162" customFormat="false" ht="21" hidden="false" customHeight="true" outlineLevel="0" collapsed="false">
      <c r="A162" s="91" t="str">
        <f aca="false">IF(名簿!$D162="","",名簿!$B162&amp;"")</f>
        <v/>
      </c>
      <c r="B162" s="91" t="str">
        <f aca="false">IF(名簿!$D162="","",名簿!$C162)</f>
        <v/>
      </c>
      <c r="C162" s="59" t="str">
        <f aca="false">IF(名簿!$D162="","",名簿!$D162&amp;IF(名簿!$F162="転出","（転出）",""))</f>
        <v/>
      </c>
      <c r="D162" s="149"/>
      <c r="E162" s="61" t="str">
        <f aca="false">IF(OR($C162="",名簿!$F162="転出"),"",IF($C$2="学級ごと",$A162,IF($C$2="前の単元と同じ",単元03!$E162&amp;"",$D162&amp;"")))</f>
        <v/>
      </c>
      <c r="F162" s="150"/>
      <c r="G162" s="150"/>
      <c r="H162" s="150"/>
      <c r="I162" s="151"/>
      <c r="J162" s="41" t="str">
        <f aca="false">IF($E162="","",$E162&amp;"|"&amp;COUNTIF($E$5:$E162,$E162))</f>
        <v/>
      </c>
      <c r="K162" s="40" t="str">
        <f aca="false">IF($I162="","",LEN($I162))</f>
        <v/>
      </c>
      <c r="L162" s="13"/>
      <c r="M162" s="13"/>
      <c r="N162" s="13"/>
      <c r="O162" s="13"/>
      <c r="P162" s="152"/>
      <c r="Q162" s="149"/>
      <c r="R162" s="152"/>
      <c r="S162" s="152"/>
      <c r="T162" s="62" t="str">
        <f aca="false">IF(OR($C162="",R162=""),"",IF(R162/IF($R$2="",100,$R$2)&gt;=設定!$I$28,設定!$G$8,IF(R162/IF($R$2="",100,$R$2)&lt;設定!$I$29,設定!$G$10,設定!$G$9)))</f>
        <v/>
      </c>
      <c r="U162" s="62" t="str">
        <f aca="false">IF(OR($C162="",S162=""),"",IF(S162/IF($S$2="",100,$S$2)&gt;=設定!$I$28,設定!$G$8,IF(S162/IF($S$2="",100,$S$2)&lt;設定!$I$29,設定!$G$10,設定!$G$9)))</f>
        <v/>
      </c>
    </row>
    <row r="163" customFormat="false" ht="21" hidden="false" customHeight="true" outlineLevel="0" collapsed="false">
      <c r="A163" s="91" t="str">
        <f aca="false">IF(名簿!$D163="","",名簿!$B163&amp;"")</f>
        <v/>
      </c>
      <c r="B163" s="91" t="str">
        <f aca="false">IF(名簿!$D163="","",名簿!$C163)</f>
        <v/>
      </c>
      <c r="C163" s="59" t="str">
        <f aca="false">IF(名簿!$D163="","",名簿!$D163&amp;IF(名簿!$F163="転出","（転出）",""))</f>
        <v/>
      </c>
      <c r="D163" s="149"/>
      <c r="E163" s="61" t="str">
        <f aca="false">IF(OR($C163="",名簿!$F163="転出"),"",IF($C$2="学級ごと",$A163,IF($C$2="前の単元と同じ",単元03!$E163&amp;"",$D163&amp;"")))</f>
        <v/>
      </c>
      <c r="F163" s="150"/>
      <c r="G163" s="150"/>
      <c r="H163" s="150"/>
      <c r="I163" s="151"/>
      <c r="J163" s="41" t="str">
        <f aca="false">IF($E163="","",$E163&amp;"|"&amp;COUNTIF($E$5:$E163,$E163))</f>
        <v/>
      </c>
      <c r="K163" s="40" t="str">
        <f aca="false">IF($I163="","",LEN($I163))</f>
        <v/>
      </c>
      <c r="L163" s="13"/>
      <c r="M163" s="13"/>
      <c r="N163" s="13"/>
      <c r="O163" s="13"/>
      <c r="P163" s="152"/>
      <c r="Q163" s="149"/>
      <c r="R163" s="152"/>
      <c r="S163" s="152"/>
      <c r="T163" s="62" t="str">
        <f aca="false">IF(OR($C163="",R163=""),"",IF(R163/IF($R$2="",100,$R$2)&gt;=設定!$I$28,設定!$G$8,IF(R163/IF($R$2="",100,$R$2)&lt;設定!$I$29,設定!$G$10,設定!$G$9)))</f>
        <v/>
      </c>
      <c r="U163" s="62" t="str">
        <f aca="false">IF(OR($C163="",S163=""),"",IF(S163/IF($S$2="",100,$S$2)&gt;=設定!$I$28,設定!$G$8,IF(S163/IF($S$2="",100,$S$2)&lt;設定!$I$29,設定!$G$10,設定!$G$9)))</f>
        <v/>
      </c>
    </row>
    <row r="164" customFormat="false" ht="21" hidden="false" customHeight="true" outlineLevel="0" collapsed="false">
      <c r="A164" s="91" t="str">
        <f aca="false">IF(名簿!$D164="","",名簿!$B164&amp;"")</f>
        <v/>
      </c>
      <c r="B164" s="91" t="str">
        <f aca="false">IF(名簿!$D164="","",名簿!$C164)</f>
        <v/>
      </c>
      <c r="C164" s="59" t="str">
        <f aca="false">IF(名簿!$D164="","",名簿!$D164&amp;IF(名簿!$F164="転出","（転出）",""))</f>
        <v/>
      </c>
      <c r="D164" s="149"/>
      <c r="E164" s="61" t="str">
        <f aca="false">IF(OR($C164="",名簿!$F164="転出"),"",IF($C$2="学級ごと",$A164,IF($C$2="前の単元と同じ",単元03!$E164&amp;"",$D164&amp;"")))</f>
        <v/>
      </c>
      <c r="F164" s="150"/>
      <c r="G164" s="150"/>
      <c r="H164" s="150"/>
      <c r="I164" s="151"/>
      <c r="J164" s="41" t="str">
        <f aca="false">IF($E164="","",$E164&amp;"|"&amp;COUNTIF($E$5:$E164,$E164))</f>
        <v/>
      </c>
      <c r="K164" s="40" t="str">
        <f aca="false">IF($I164="","",LEN($I164))</f>
        <v/>
      </c>
      <c r="L164" s="13"/>
      <c r="M164" s="13"/>
      <c r="N164" s="13"/>
      <c r="O164" s="13"/>
      <c r="P164" s="152"/>
      <c r="Q164" s="149"/>
      <c r="R164" s="152"/>
      <c r="S164" s="152"/>
      <c r="T164" s="62" t="str">
        <f aca="false">IF(OR($C164="",R164=""),"",IF(R164/IF($R$2="",100,$R$2)&gt;=設定!$I$28,設定!$G$8,IF(R164/IF($R$2="",100,$R$2)&lt;設定!$I$29,設定!$G$10,設定!$G$9)))</f>
        <v/>
      </c>
      <c r="U164" s="62" t="str">
        <f aca="false">IF(OR($C164="",S164=""),"",IF(S164/IF($S$2="",100,$S$2)&gt;=設定!$I$28,設定!$G$8,IF(S164/IF($S$2="",100,$S$2)&lt;設定!$I$29,設定!$G$10,設定!$G$9)))</f>
        <v/>
      </c>
    </row>
  </sheetData>
  <sheetProtection sheet="true" formatColumns="false" formatRows="false" autoFilter="false"/>
  <autoFilter ref="A4:I164"/>
  <mergeCells count="5">
    <mergeCell ref="A1:I1"/>
    <mergeCell ref="R1:U1"/>
    <mergeCell ref="A2:B2"/>
    <mergeCell ref="D2:I2"/>
    <mergeCell ref="T2:U2"/>
  </mergeCells>
  <conditionalFormatting sqref="A5:C164">
    <cfRule type="expression" priority="2" aboveAverage="0" equalAverage="0" bottom="0" percent="0" rank="0" text="" dxfId="37">
      <formula>RIGHT($C5,4)="（転出）"</formula>
    </cfRule>
    <cfRule type="expression" priority="3" aboveAverage="0" equalAverage="0" bottom="0" percent="0" rank="0" text="" dxfId="8">
      <formula>$C5&lt;&gt;""</formula>
    </cfRule>
  </conditionalFormatting>
  <conditionalFormatting sqref="D5:D164">
    <cfRule type="expression" priority="4" aboveAverage="0" equalAverage="0" bottom="0" percent="0" rank="0" text="" dxfId="37">
      <formula>RIGHT($C5,4)="（転出）"</formula>
    </cfRule>
    <cfRule type="expression" priority="5" aboveAverage="0" equalAverage="0" bottom="0" percent="0" rank="0" text="" dxfId="38">
      <formula>AND($C5&lt;&gt;"",$C$2&lt;&gt;"習熟度別")</formula>
    </cfRule>
    <cfRule type="expression" priority="6" aboveAverage="0" equalAverage="0" bottom="0" percent="0" rank="0" text="" dxfId="39">
      <formula>AND($C5&lt;&gt;"",$E5="")</formula>
    </cfRule>
    <cfRule type="expression" priority="7" aboveAverage="0" equalAverage="0" bottom="0" percent="0" rank="0" text="" dxfId="39">
      <formula>AND($C5&lt;&gt;"",$D5&lt;&gt;"",COUNTIF(コース一覧,$D5)=0)</formula>
    </cfRule>
    <cfRule type="expression" priority="8" aboveAverage="0" equalAverage="0" bottom="0" percent="0" rank="0" text="" dxfId="40">
      <formula>AND($C5&lt;&gt;"",$C$2="習熟度別",$Q5&lt;&gt;"",$E5&lt;&gt;"",$Q5&lt;&gt;$E5)</formula>
    </cfRule>
    <cfRule type="expression" priority="9" aboveAverage="0" equalAverage="0" bottom="0" percent="0" rank="0" text="" dxfId="41">
      <formula>$C5&lt;&gt;""</formula>
    </cfRule>
  </conditionalFormatting>
  <conditionalFormatting sqref="E5:E164">
    <cfRule type="expression" priority="10" aboveAverage="0" equalAverage="0" bottom="0" percent="0" rank="0" text="" dxfId="37">
      <formula>RIGHT($C5,4)="（転出）"</formula>
    </cfRule>
    <cfRule type="expression" priority="11" aboveAverage="0" equalAverage="0" bottom="0" percent="0" rank="0" text="" dxfId="42">
      <formula>AND($E5&lt;&gt;"",$E5=$L$2)</formula>
    </cfRule>
    <cfRule type="expression" priority="12" aboveAverage="0" equalAverage="0" bottom="0" percent="0" rank="0" text="" dxfId="43">
      <formula>AND($E5&lt;&gt;"",$E5=$L$3)</formula>
    </cfRule>
    <cfRule type="expression" priority="13" aboveAverage="0" equalAverage="0" bottom="0" percent="0" rank="0" text="" dxfId="44">
      <formula>AND($E5&lt;&gt;"",$E5=$L$4)</formula>
    </cfRule>
    <cfRule type="expression" priority="14" aboveAverage="0" equalAverage="0" bottom="0" percent="0" rank="0" text="" dxfId="45">
      <formula>AND($E5&lt;&gt;"",$E5=$L$5)</formula>
    </cfRule>
    <cfRule type="expression" priority="15" aboveAverage="0" equalAverage="0" bottom="0" percent="0" rank="0" text="" dxfId="46">
      <formula>AND($E5&lt;&gt;"",$E5=$L$6)</formula>
    </cfRule>
    <cfRule type="expression" priority="16" aboveAverage="0" equalAverage="0" bottom="0" percent="0" rank="0" text="" dxfId="8">
      <formula>$C5&lt;&gt;""</formula>
    </cfRule>
  </conditionalFormatting>
  <conditionalFormatting sqref="F5:H164">
    <cfRule type="expression" priority="17" aboveAverage="0" equalAverage="0" bottom="0" percent="0" rank="0" text="" dxfId="37">
      <formula>RIGHT($C5,4)="（転出）"</formula>
    </cfRule>
    <cfRule type="expression" priority="18" aboveAverage="0" equalAverage="0" bottom="0" percent="0" rank="0" text="" dxfId="12">
      <formula>AND(F5&lt;&gt;"",F5=設定!$G$10)</formula>
    </cfRule>
    <cfRule type="expression" priority="19" aboveAverage="0" equalAverage="0" bottom="0" percent="0" rank="0" text="" dxfId="47">
      <formula>AND(F5&lt;&gt;"",F5=設定!$G$8)</formula>
    </cfRule>
    <cfRule type="expression" priority="20" aboveAverage="0" equalAverage="0" bottom="0" percent="0" rank="0" text="" dxfId="41">
      <formula>AND($C5&lt;&gt;"",$E5&lt;&gt;"")</formula>
    </cfRule>
    <cfRule type="expression" priority="21" aboveAverage="0" equalAverage="0" bottom="0" percent="0" rank="0" text="" dxfId="8">
      <formula>$C5&lt;&gt;""</formula>
    </cfRule>
  </conditionalFormatting>
  <conditionalFormatting sqref="I5:I164">
    <cfRule type="expression" priority="22" aboveAverage="0" equalAverage="0" bottom="0" percent="0" rank="0" text="" dxfId="37">
      <formula>RIGHT($C5,4)="（転出）"</formula>
    </cfRule>
    <cfRule type="expression" priority="23" aboveAverage="0" equalAverage="0" bottom="0" percent="0" rank="0" text="" dxfId="48">
      <formula>AND($C5&lt;&gt;"",$I5&lt;&gt;"",ISNUMBER(設定!$I$22),LEN($I5)&gt;設定!$I$22)</formula>
    </cfRule>
    <cfRule type="expression" priority="24" aboveAverage="0" equalAverage="0" bottom="0" percent="0" rank="0" text="" dxfId="41">
      <formula>AND($C5&lt;&gt;"",$E5&lt;&gt;"")</formula>
    </cfRule>
    <cfRule type="expression" priority="25" aboveAverage="0" equalAverage="0" bottom="0" percent="0" rank="0" text="" dxfId="8">
      <formula>$C5&lt;&gt;""</formula>
    </cfRule>
  </conditionalFormatting>
  <conditionalFormatting sqref="K5:K164">
    <cfRule type="expression" priority="26" aboveAverage="0" equalAverage="0" bottom="0" percent="0" rank="0" text="" dxfId="49">
      <formula>AND($K5&lt;&gt;"",ISNUMBER(設定!$I$22),$K5&gt;設定!$I$22)</formula>
    </cfRule>
    <cfRule type="expression" priority="27" aboveAverage="0" equalAverage="0" bottom="0" percent="0" rank="0" text="" dxfId="50">
      <formula>$C5&lt;&gt;""</formula>
    </cfRule>
  </conditionalFormatting>
  <conditionalFormatting sqref="P5:P164">
    <cfRule type="expression" priority="28" aboveAverage="0" equalAverage="0" bottom="0" percent="0" rank="0" text="" dxfId="41">
      <formula>$C5&lt;&gt;""</formula>
    </cfRule>
  </conditionalFormatting>
  <conditionalFormatting sqref="R5:R164">
    <cfRule type="expression" priority="29" aboveAverage="0" equalAverage="0" bottom="0" percent="0" rank="0" text="" dxfId="49">
      <formula>AND($C5&lt;&gt;"",$R5&lt;&gt;"",$R$2&lt;&gt;"",$R5&gt;$R$2)</formula>
    </cfRule>
    <cfRule type="expression" priority="30" aboveAverage="0" equalAverage="0" bottom="0" percent="0" rank="0" text="" dxfId="41">
      <formula>$C5&lt;&gt;""</formula>
    </cfRule>
  </conditionalFormatting>
  <conditionalFormatting sqref="S5:S164">
    <cfRule type="expression" priority="31" aboveAverage="0" equalAverage="0" bottom="0" percent="0" rank="0" text="" dxfId="49">
      <formula>AND($C5&lt;&gt;"",$S5&lt;&gt;"",$S$2&lt;&gt;"",$S5&gt;$S$2)</formula>
    </cfRule>
    <cfRule type="expression" priority="32" aboveAverage="0" equalAverage="0" bottom="0" percent="0" rank="0" text="" dxfId="41">
      <formula>$C5&lt;&gt;""</formula>
    </cfRule>
  </conditionalFormatting>
  <conditionalFormatting sqref="T5:U164">
    <cfRule type="expression" priority="33" aboveAverage="0" equalAverage="0" bottom="0" percent="0" rank="0" text="" dxfId="12">
      <formula>AND(T5&lt;&gt;"",T5=設定!$G$10)</formula>
    </cfRule>
    <cfRule type="expression" priority="34" aboveAverage="0" equalAverage="0" bottom="0" percent="0" rank="0" text="" dxfId="51">
      <formula>AND(T5&lt;&gt;"",T5=設定!$G$8)</formula>
    </cfRule>
    <cfRule type="expression" priority="35" aboveAverage="0" equalAverage="0" bottom="0" percent="0" rank="0" text="" dxfId="19">
      <formula>$C5&lt;&gt;""</formula>
    </cfRule>
  </conditionalFormatting>
  <conditionalFormatting sqref="Q5:Q164">
    <cfRule type="expression" priority="36" aboveAverage="0" equalAverage="0" bottom="0" percent="0" rank="0" text="" dxfId="40">
      <formula>AND($C5&lt;&gt;"",$Q5&lt;&gt;"",$E5&lt;&gt;"",$Q5&lt;&gt;$E5)</formula>
    </cfRule>
    <cfRule type="expression" priority="37" aboveAverage="0" equalAverage="0" bottom="0" percent="0" rank="0" text="" dxfId="41">
      <formula>$C5&lt;&gt;""</formula>
    </cfRule>
  </conditionalFormatting>
  <conditionalFormatting sqref="L2:N2">
    <cfRule type="expression" priority="38" aboveAverage="0" equalAverage="0" bottom="0" percent="0" rank="0" text="" dxfId="14">
      <formula>$L2=""</formula>
    </cfRule>
  </conditionalFormatting>
  <conditionalFormatting sqref="L3:N3">
    <cfRule type="expression" priority="39" aboveAverage="0" equalAverage="0" bottom="0" percent="0" rank="0" text="" dxfId="14">
      <formula>$L3=""</formula>
    </cfRule>
  </conditionalFormatting>
  <conditionalFormatting sqref="L4:N4">
    <cfRule type="expression" priority="40" aboveAverage="0" equalAverage="0" bottom="0" percent="0" rank="0" text="" dxfId="14">
      <formula>$L4=""</formula>
    </cfRule>
  </conditionalFormatting>
  <conditionalFormatting sqref="L5:N5">
    <cfRule type="expression" priority="41" aboveAverage="0" equalAverage="0" bottom="0" percent="0" rank="0" text="" dxfId="14">
      <formula>$L5=""</formula>
    </cfRule>
  </conditionalFormatting>
  <conditionalFormatting sqref="L6:N6">
    <cfRule type="expression" priority="42" aboveAverage="0" equalAverage="0" bottom="0" percent="0" rank="0" text="" dxfId="14">
      <formula>$L6=""</formula>
    </cfRule>
  </conditionalFormatting>
  <conditionalFormatting sqref="N7">
    <cfRule type="expression" priority="43" aboveAverage="0" equalAverage="0" bottom="0" percent="0" rank="0" text="" dxfId="52">
      <formula>$N$7=0</formula>
    </cfRule>
  </conditionalFormatting>
  <dataValidations count="6">
    <dataValidation allowBlank="true" error="点数（数字）を入力してください。" errorStyle="stop" operator="between" showDropDown="false" showErrorMessage="true" showInputMessage="false" sqref="R2:S2 P5:P164 R5:S164" type="decimal">
      <formula1>0</formula1>
      <formula2>1000</formula2>
    </dataValidation>
    <dataValidation allowBlank="false" error="一覧から選んでください。" errorStyle="stop" errorTitle="入力エラー" operator="between" showDropDown="false" showErrorMessage="true" showInputMessage="false" sqref="C2" type="list">
      <formula1>"習熟度別,前の単元と同じ,学級ごと"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D5:D164" type="list">
      <formula1>コース一覧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Q5:Q164" type="list">
      <formula1>コース一覧</formula1>
      <formula2>0</formula2>
    </dataValidation>
    <dataValidation allowBlank="true" error="設定シートの評価記号（A/B/C）から選んでください。" errorStyle="stop" errorTitle="入力エラー" operator="between" showDropDown="false" showErrorMessage="true" showInputMessage="false" sqref="F5:H164" type="list">
      <formula1>評価記号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M2:M6" type="list">
      <formula1>担当者一覧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U16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5"/>
    <col collapsed="false" customWidth="true" hidden="false" outlineLevel="0" max="3" min="3" style="0" width="17"/>
    <col collapsed="false" customWidth="true" hidden="false" outlineLevel="0" max="4" min="4" style="0" width="11"/>
    <col collapsed="false" customWidth="true" hidden="false" outlineLevel="0" max="5" min="5" style="0" width="12"/>
    <col collapsed="false" customWidth="true" hidden="false" outlineLevel="0" max="8" min="6" style="0" width="6"/>
    <col collapsed="false" customWidth="true" hidden="false" outlineLevel="0" max="9" min="9" style="0" width="55"/>
    <col collapsed="false" customWidth="true" hidden="true" outlineLevel="0" max="10" min="10" style="0" width="3"/>
    <col collapsed="false" customWidth="true" hidden="false" outlineLevel="0" max="11" min="11" style="0" width="5"/>
    <col collapsed="false" customWidth="true" hidden="false" outlineLevel="0" max="12" min="12" style="0" width="14"/>
    <col collapsed="false" customWidth="true" hidden="false" outlineLevel="0" max="13" min="13" style="0" width="13"/>
    <col collapsed="false" customWidth="true" hidden="false" outlineLevel="0" max="14" min="14" style="0" width="7"/>
    <col collapsed="false" customWidth="true" hidden="false" outlineLevel="0" max="15" min="15" style="0" width="2"/>
    <col collapsed="false" customWidth="true" hidden="false" outlineLevel="0" max="16" min="16" style="0" width="9"/>
    <col collapsed="false" customWidth="true" hidden="false" outlineLevel="0" max="17" min="17" style="0" width="12"/>
    <col collapsed="false" customWidth="true" hidden="false" outlineLevel="0" max="19" min="18" style="0" width="7"/>
    <col collapsed="false" customWidth="true" hidden="false" outlineLevel="0" max="21" min="20" style="0" width="6"/>
  </cols>
  <sheetData>
    <row r="1" customFormat="false" ht="33.75" hidden="false" customHeight="true" outlineLevel="0" collapsed="false">
      <c r="A1" s="14" t="str">
        <f aca="false">"単元5　"&amp;IF(設定!$D$21="","（設定シートで単元名を入力）",設定!$D$21)&amp;IF(設定!$C$21="","","　／　"&amp;設定!$C$21&amp;IF(ISNUMBER(設定!$C$21),"学期",""))</f>
        <v>単元5　（設定シートで単元名を入力）</v>
      </c>
      <c r="B1" s="14"/>
      <c r="C1" s="14"/>
      <c r="D1" s="14"/>
      <c r="E1" s="14"/>
      <c r="F1" s="14"/>
      <c r="G1" s="14"/>
      <c r="H1" s="14"/>
      <c r="I1" s="14"/>
      <c r="J1" s="13"/>
      <c r="K1" s="13"/>
      <c r="L1" s="16" t="s">
        <v>153</v>
      </c>
      <c r="M1" s="16" t="s">
        <v>68</v>
      </c>
      <c r="N1" s="16" t="s">
        <v>128</v>
      </c>
      <c r="O1" s="13"/>
      <c r="P1" s="13"/>
      <c r="Q1" s="13"/>
      <c r="R1" s="131" t="s">
        <v>154</v>
      </c>
      <c r="S1" s="131"/>
      <c r="T1" s="131"/>
      <c r="U1" s="131"/>
    </row>
    <row r="2" customFormat="false" ht="25.5" hidden="false" customHeight="true" outlineLevel="0" collapsed="false">
      <c r="A2" s="16" t="s">
        <v>131</v>
      </c>
      <c r="B2" s="16"/>
      <c r="C2" s="138" t="s">
        <v>164</v>
      </c>
      <c r="D2" s="139" t="str">
        <f aca="false">IF($C$2="習熟度別","← D列「コース」で一人ずつ選びます",IF($C$2="前の単元と同じ","← 前の単元のコースをそのまま使います","← 在籍学級のまま分かれます"))</f>
        <v>← D列「コース」で一人ずつ選びます</v>
      </c>
      <c r="E2" s="139"/>
      <c r="F2" s="139"/>
      <c r="G2" s="139"/>
      <c r="H2" s="139"/>
      <c r="I2" s="139"/>
      <c r="J2" s="13"/>
      <c r="K2" s="13"/>
      <c r="L2" s="119" t="str">
        <f aca="false">IF($C$2="前の単元と同じ",単元04!$L2&amp;"",IF($C$2="学級ごと",IF(設定!$B$8="","",設定!$B$8&amp;""),IF(設定!$D$8="","",設定!$D$8&amp;"")))</f>
        <v>深める</v>
      </c>
      <c r="M2" s="39"/>
      <c r="N2" s="140" t="n">
        <f aca="false">IF($L2="","",COUNTIF($E$5:$E$164,$L2))</f>
        <v>0</v>
      </c>
      <c r="O2" s="13"/>
      <c r="P2" s="13"/>
      <c r="Q2" s="13"/>
      <c r="R2" s="141" t="n">
        <v>100</v>
      </c>
      <c r="S2" s="141" t="n">
        <v>100</v>
      </c>
      <c r="T2" s="142" t="s">
        <v>165</v>
      </c>
      <c r="U2" s="142"/>
    </row>
    <row r="3" customFormat="false" ht="17.15" hidden="false" customHeight="false" outlineLevel="0" collapsed="false">
      <c r="A3" s="4" t="s">
        <v>166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23" t="str">
        <f aca="false">IF($C$2="前の単元と同じ",単元04!$L3&amp;"",IF($C$2="学級ごと",IF(設定!$B$9="","",設定!$B$9&amp;""),IF(設定!$D$9="","",設定!$D$9&amp;"")))</f>
        <v>広げるA</v>
      </c>
      <c r="M3" s="39"/>
      <c r="N3" s="140" t="n">
        <f aca="false">IF($L3="","",COUNTIF($E$5:$E$164,$L3))</f>
        <v>0</v>
      </c>
      <c r="O3" s="13"/>
      <c r="P3" s="143" t="s">
        <v>167</v>
      </c>
      <c r="Q3" s="13"/>
      <c r="R3" s="144" t="s">
        <v>168</v>
      </c>
      <c r="S3" s="13"/>
      <c r="T3" s="13"/>
      <c r="U3" s="13"/>
    </row>
    <row r="4" customFormat="false" ht="30" hidden="false" customHeight="true" outlineLevel="0" collapsed="false">
      <c r="A4" s="16" t="s">
        <v>121</v>
      </c>
      <c r="B4" s="16" t="s">
        <v>122</v>
      </c>
      <c r="C4" s="16" t="s">
        <v>123</v>
      </c>
      <c r="D4" s="145" t="s">
        <v>153</v>
      </c>
      <c r="E4" s="16" t="s">
        <v>169</v>
      </c>
      <c r="F4" s="146" t="str">
        <f aca="false">設定!$I$8</f>
        <v>知</v>
      </c>
      <c r="G4" s="146" t="str">
        <f aca="false">設定!$I$9</f>
        <v>思</v>
      </c>
      <c r="H4" s="146" t="str">
        <f aca="false">設定!$I$10</f>
        <v>態</v>
      </c>
      <c r="I4" s="146" t="s">
        <v>107</v>
      </c>
      <c r="J4" s="16"/>
      <c r="K4" s="110" t="s">
        <v>170</v>
      </c>
      <c r="L4" s="124" t="str">
        <f aca="false">IF($C$2="前の単元と同じ",単元04!$L4&amp;"",IF($C$2="学級ごと",IF(設定!$B$10="","",設定!$B$10&amp;""),IF(設定!$D$10="","",設定!$D$10&amp;"")))</f>
        <v>広げるB</v>
      </c>
      <c r="M4" s="39"/>
      <c r="N4" s="140" t="n">
        <f aca="false">IF($L4="","",COUNTIF($E$5:$E$164,$L4))</f>
        <v>0</v>
      </c>
      <c r="O4" s="13"/>
      <c r="P4" s="147" t="s">
        <v>171</v>
      </c>
      <c r="Q4" s="147" t="s">
        <v>172</v>
      </c>
      <c r="R4" s="131" t="str">
        <f aca="false">設定!$I$8&amp;"得点"</f>
        <v>知得点</v>
      </c>
      <c r="S4" s="131" t="str">
        <f aca="false">設定!$I$9&amp;"得点"</f>
        <v>思得点</v>
      </c>
      <c r="T4" s="148" t="str">
        <f aca="false">設定!$I$8&amp;"目安"</f>
        <v>知目安</v>
      </c>
      <c r="U4" s="148" t="str">
        <f aca="false">設定!$I$9&amp;"目安"</f>
        <v>思目安</v>
      </c>
    </row>
    <row r="5" customFormat="false" ht="21" hidden="false" customHeight="true" outlineLevel="0" collapsed="false">
      <c r="A5" s="91" t="str">
        <f aca="false">IF(名簿!$D5="","",名簿!$B5&amp;"")</f>
        <v/>
      </c>
      <c r="B5" s="91" t="str">
        <f aca="false">IF(名簿!$D5="","",名簿!$C5)</f>
        <v/>
      </c>
      <c r="C5" s="59" t="str">
        <f aca="false">IF(名簿!$D5="","",名簿!$D5&amp;IF(名簿!$F5="転出","（転出）",""))</f>
        <v/>
      </c>
      <c r="D5" s="149"/>
      <c r="E5" s="61" t="str">
        <f aca="false">IF(OR($C5="",名簿!$F5="転出"),"",IF($C$2="学級ごと",$A5,IF($C$2="前の単元と同じ",単元04!$E5&amp;"",$D5&amp;"")))</f>
        <v/>
      </c>
      <c r="F5" s="150"/>
      <c r="G5" s="150"/>
      <c r="H5" s="150"/>
      <c r="I5" s="151"/>
      <c r="J5" s="41" t="str">
        <f aca="false">IF($E5="","",$E5&amp;"|"&amp;COUNTIF($E$5:$E5,$E5))</f>
        <v/>
      </c>
      <c r="K5" s="40" t="str">
        <f aca="false">IF($I5="","",LEN($I5))</f>
        <v/>
      </c>
      <c r="L5" s="125" t="str">
        <f aca="false">IF($C$2="前の単元と同じ",単元04!$L5&amp;"",IF($C$2="学級ごと",IF(設定!$B$11="","",設定!$B$11&amp;""),IF(設定!$D$11="","",設定!$D$11&amp;"")))</f>
        <v>かためる</v>
      </c>
      <c r="M5" s="39"/>
      <c r="N5" s="140" t="n">
        <f aca="false">IF($L5="","",COUNTIF($E$5:$E$164,$L5))</f>
        <v>0</v>
      </c>
      <c r="O5" s="13"/>
      <c r="P5" s="152"/>
      <c r="Q5" s="149"/>
      <c r="R5" s="152"/>
      <c r="S5" s="152"/>
      <c r="T5" s="62" t="str">
        <f aca="false">IF(OR($C5="",R5=""),"",IF(R5/IF($R$2="",100,$R$2)&gt;=設定!$I$28,設定!$G$8,IF(R5/IF($R$2="",100,$R$2)&lt;設定!$I$29,設定!$G$10,設定!$G$9)))</f>
        <v/>
      </c>
      <c r="U5" s="62" t="str">
        <f aca="false">IF(OR($C5="",S5=""),"",IF(S5/IF($S$2="",100,$S$2)&gt;=設定!$I$28,設定!$G$8,IF(S5/IF($S$2="",100,$S$2)&lt;設定!$I$29,設定!$G$10,設定!$G$9)))</f>
        <v/>
      </c>
    </row>
    <row r="6" customFormat="false" ht="21" hidden="false" customHeight="true" outlineLevel="0" collapsed="false">
      <c r="A6" s="91" t="str">
        <f aca="false">IF(名簿!$D6="","",名簿!$B6&amp;"")</f>
        <v/>
      </c>
      <c r="B6" s="91" t="str">
        <f aca="false">IF(名簿!$D6="","",名簿!$C6)</f>
        <v/>
      </c>
      <c r="C6" s="59" t="str">
        <f aca="false">IF(名簿!$D6="","",名簿!$D6&amp;IF(名簿!$F6="転出","（転出）",""))</f>
        <v/>
      </c>
      <c r="D6" s="149"/>
      <c r="E6" s="61" t="str">
        <f aca="false">IF(OR($C6="",名簿!$F6="転出"),"",IF($C$2="学級ごと",$A6,IF($C$2="前の単元と同じ",単元04!$E6&amp;"",$D6&amp;"")))</f>
        <v/>
      </c>
      <c r="F6" s="150"/>
      <c r="G6" s="150"/>
      <c r="H6" s="150"/>
      <c r="I6" s="151"/>
      <c r="J6" s="41" t="str">
        <f aca="false">IF($E6="","",$E6&amp;"|"&amp;COUNTIF($E$5:$E6,$E6))</f>
        <v/>
      </c>
      <c r="K6" s="40" t="str">
        <f aca="false">IF($I6="","",LEN($I6))</f>
        <v/>
      </c>
      <c r="L6" s="126" t="str">
        <f aca="false">IF($C$2="前の単元と同じ",単元04!$L6&amp;"",IF($C$2="学級ごと",IF(設定!$B$12="","",設定!$B$12&amp;""),IF(設定!$D$12="","",設定!$D$12&amp;"")))</f>
        <v/>
      </c>
      <c r="M6" s="39"/>
      <c r="N6" s="153" t="str">
        <f aca="false">IF($L6="","",COUNTIF($E$5:$E$164,$L6))</f>
        <v/>
      </c>
      <c r="O6" s="13"/>
      <c r="P6" s="152"/>
      <c r="Q6" s="149"/>
      <c r="R6" s="152"/>
      <c r="S6" s="152"/>
      <c r="T6" s="62" t="str">
        <f aca="false">IF(OR($C6="",R6=""),"",IF(R6/IF($R$2="",100,$R$2)&gt;=設定!$I$28,設定!$G$8,IF(R6/IF($R$2="",100,$R$2)&lt;設定!$I$29,設定!$G$10,設定!$G$9)))</f>
        <v/>
      </c>
      <c r="U6" s="62" t="str">
        <f aca="false">IF(OR($C6="",S6=""),"",IF(S6/IF($S$2="",100,$S$2)&gt;=設定!$I$28,設定!$G$8,IF(S6/IF($S$2="",100,$S$2)&lt;設定!$I$29,設定!$G$10,設定!$G$9)))</f>
        <v/>
      </c>
    </row>
    <row r="7" customFormat="false" ht="21" hidden="false" customHeight="true" outlineLevel="0" collapsed="false">
      <c r="A7" s="91" t="str">
        <f aca="false">IF(名簿!$D7="","",名簿!$B7&amp;"")</f>
        <v/>
      </c>
      <c r="B7" s="91" t="str">
        <f aca="false">IF(名簿!$D7="","",名簿!$C7)</f>
        <v/>
      </c>
      <c r="C7" s="59" t="str">
        <f aca="false">IF(名簿!$D7="","",名簿!$D7&amp;IF(名簿!$F7="転出","（転出）",""))</f>
        <v/>
      </c>
      <c r="D7" s="149"/>
      <c r="E7" s="61" t="str">
        <f aca="false">IF(OR($C7="",名簿!$F7="転出"),"",IF($C$2="学級ごと",$A7,IF($C$2="前の単元と同じ",単元04!$E7&amp;"",$D7&amp;"")))</f>
        <v/>
      </c>
      <c r="F7" s="150"/>
      <c r="G7" s="150"/>
      <c r="H7" s="150"/>
      <c r="I7" s="151"/>
      <c r="J7" s="41" t="str">
        <f aca="false">IF($E7="","",$E7&amp;"|"&amp;COUNTIF($E$5:$E7,$E7))</f>
        <v/>
      </c>
      <c r="K7" s="40" t="str">
        <f aca="false">IF($I7="","",LEN($I7))</f>
        <v/>
      </c>
      <c r="L7" s="154" t="s">
        <v>133</v>
      </c>
      <c r="M7" s="155" t="s">
        <v>173</v>
      </c>
      <c r="N7" s="156" t="n">
        <f aca="false">SUMPRODUCT(($C$5:$C$164&lt;&gt;"")*(名簿!$F$5:$F$164&lt;&gt;"転出")*($E$5:$E$164=""))</f>
        <v>0</v>
      </c>
      <c r="O7" s="13"/>
      <c r="P7" s="152"/>
      <c r="Q7" s="149"/>
      <c r="R7" s="152"/>
      <c r="S7" s="152"/>
      <c r="T7" s="62" t="str">
        <f aca="false">IF(OR($C7="",R7=""),"",IF(R7/IF($R$2="",100,$R$2)&gt;=設定!$I$28,設定!$G$8,IF(R7/IF($R$2="",100,$R$2)&lt;設定!$I$29,設定!$G$10,設定!$G$9)))</f>
        <v/>
      </c>
      <c r="U7" s="62" t="str">
        <f aca="false">IF(OR($C7="",S7=""),"",IF(S7/IF($S$2="",100,$S$2)&gt;=設定!$I$28,設定!$G$8,IF(S7/IF($S$2="",100,$S$2)&lt;設定!$I$29,設定!$G$10,設定!$G$9)))</f>
        <v/>
      </c>
    </row>
    <row r="8" customFormat="false" ht="21" hidden="false" customHeight="true" outlineLevel="0" collapsed="false">
      <c r="A8" s="91" t="str">
        <f aca="false">IF(名簿!$D8="","",名簿!$B8&amp;"")</f>
        <v/>
      </c>
      <c r="B8" s="91" t="str">
        <f aca="false">IF(名簿!$D8="","",名簿!$C8)</f>
        <v/>
      </c>
      <c r="C8" s="59" t="str">
        <f aca="false">IF(名簿!$D8="","",名簿!$D8&amp;IF(名簿!$F8="転出","（転出）",""))</f>
        <v/>
      </c>
      <c r="D8" s="149"/>
      <c r="E8" s="61" t="str">
        <f aca="false">IF(OR($C8="",名簿!$F8="転出"),"",IF($C$2="学級ごと",$A8,IF($C$2="前の単元と同じ",単元04!$E8&amp;"",$D8&amp;"")))</f>
        <v/>
      </c>
      <c r="F8" s="150"/>
      <c r="G8" s="150"/>
      <c r="H8" s="150"/>
      <c r="I8" s="151"/>
      <c r="J8" s="41" t="str">
        <f aca="false">IF($E8="","",$E8&amp;"|"&amp;COUNTIF($E$5:$E8,$E8))</f>
        <v/>
      </c>
      <c r="K8" s="40" t="str">
        <f aca="false">IF($I8="","",LEN($I8))</f>
        <v/>
      </c>
      <c r="L8" s="157" t="s">
        <v>174</v>
      </c>
      <c r="M8" s="158" t="s">
        <v>175</v>
      </c>
      <c r="N8" s="159" t="n">
        <f aca="false">SUMPRODUCT(($E$5:$E$164&lt;&gt;"")*(($F$5:$F$164="")+($G$5:$G$164="")+($H$5:$H$164="")&gt;0))</f>
        <v>0</v>
      </c>
      <c r="O8" s="13"/>
      <c r="P8" s="152"/>
      <c r="Q8" s="149"/>
      <c r="R8" s="152"/>
      <c r="S8" s="152"/>
      <c r="T8" s="62" t="str">
        <f aca="false">IF(OR($C8="",R8=""),"",IF(R8/IF($R$2="",100,$R$2)&gt;=設定!$I$28,設定!$G$8,IF(R8/IF($R$2="",100,$R$2)&lt;設定!$I$29,設定!$G$10,設定!$G$9)))</f>
        <v/>
      </c>
      <c r="U8" s="62" t="str">
        <f aca="false">IF(OR($C8="",S8=""),"",IF(S8/IF($S$2="",100,$S$2)&gt;=設定!$I$28,設定!$G$8,IF(S8/IF($S$2="",100,$S$2)&lt;設定!$I$29,設定!$G$10,設定!$G$9)))</f>
        <v/>
      </c>
    </row>
    <row r="9" customFormat="false" ht="21" hidden="false" customHeight="true" outlineLevel="0" collapsed="false">
      <c r="A9" s="91" t="str">
        <f aca="false">IF(名簿!$D9="","",名簿!$B9&amp;"")</f>
        <v/>
      </c>
      <c r="B9" s="91" t="str">
        <f aca="false">IF(名簿!$D9="","",名簿!$C9)</f>
        <v/>
      </c>
      <c r="C9" s="59" t="str">
        <f aca="false">IF(名簿!$D9="","",名簿!$D9&amp;IF(名簿!$F9="転出","（転出）",""))</f>
        <v/>
      </c>
      <c r="D9" s="149"/>
      <c r="E9" s="61" t="str">
        <f aca="false">IF(OR($C9="",名簿!$F9="転出"),"",IF($C$2="学級ごと",$A9,IF($C$2="前の単元と同じ",単元04!$E9&amp;"",$D9&amp;"")))</f>
        <v/>
      </c>
      <c r="F9" s="150"/>
      <c r="G9" s="150"/>
      <c r="H9" s="150"/>
      <c r="I9" s="151"/>
      <c r="J9" s="41" t="str">
        <f aca="false">IF($E9="","",$E9&amp;"|"&amp;COUNTIF($E$5:$E9,$E9))</f>
        <v/>
      </c>
      <c r="K9" s="40" t="str">
        <f aca="false">IF($I9="","",LEN($I9))</f>
        <v/>
      </c>
      <c r="L9" s="13"/>
      <c r="M9" s="13"/>
      <c r="N9" s="13"/>
      <c r="O9" s="13"/>
      <c r="P9" s="152"/>
      <c r="Q9" s="149"/>
      <c r="R9" s="152"/>
      <c r="S9" s="152"/>
      <c r="T9" s="62" t="str">
        <f aca="false">IF(OR($C9="",R9=""),"",IF(R9/IF($R$2="",100,$R$2)&gt;=設定!$I$28,設定!$G$8,IF(R9/IF($R$2="",100,$R$2)&lt;設定!$I$29,設定!$G$10,設定!$G$9)))</f>
        <v/>
      </c>
      <c r="U9" s="62" t="str">
        <f aca="false">IF(OR($C9="",S9=""),"",IF(S9/IF($S$2="",100,$S$2)&gt;=設定!$I$28,設定!$G$8,IF(S9/IF($S$2="",100,$S$2)&lt;設定!$I$29,設定!$G$10,設定!$G$9)))</f>
        <v/>
      </c>
    </row>
    <row r="10" customFormat="false" ht="21" hidden="false" customHeight="true" outlineLevel="0" collapsed="false">
      <c r="A10" s="91" t="str">
        <f aca="false">IF(名簿!$D10="","",名簿!$B10&amp;"")</f>
        <v/>
      </c>
      <c r="B10" s="91" t="str">
        <f aca="false">IF(名簿!$D10="","",名簿!$C10)</f>
        <v/>
      </c>
      <c r="C10" s="59" t="str">
        <f aca="false">IF(名簿!$D10="","",名簿!$D10&amp;IF(名簿!$F10="転出","（転出）",""))</f>
        <v/>
      </c>
      <c r="D10" s="149"/>
      <c r="E10" s="61" t="str">
        <f aca="false">IF(OR($C10="",名簿!$F10="転出"),"",IF($C$2="学級ごと",$A10,IF($C$2="前の単元と同じ",単元04!$E10&amp;"",$D10&amp;"")))</f>
        <v/>
      </c>
      <c r="F10" s="150"/>
      <c r="G10" s="150"/>
      <c r="H10" s="150"/>
      <c r="I10" s="151"/>
      <c r="J10" s="41" t="str">
        <f aca="false">IF($E10="","",$E10&amp;"|"&amp;COUNTIF($E$5:$E10,$E10))</f>
        <v/>
      </c>
      <c r="K10" s="40" t="str">
        <f aca="false">IF($I10="","",LEN($I10))</f>
        <v/>
      </c>
      <c r="L10" s="13"/>
      <c r="M10" s="13"/>
      <c r="N10" s="13"/>
      <c r="O10" s="13"/>
      <c r="P10" s="152"/>
      <c r="Q10" s="149"/>
      <c r="R10" s="152"/>
      <c r="S10" s="152"/>
      <c r="T10" s="62" t="str">
        <f aca="false">IF(OR($C10="",R10=""),"",IF(R10/IF($R$2="",100,$R$2)&gt;=設定!$I$28,設定!$G$8,IF(R10/IF($R$2="",100,$R$2)&lt;設定!$I$29,設定!$G$10,設定!$G$9)))</f>
        <v/>
      </c>
      <c r="U10" s="62" t="str">
        <f aca="false">IF(OR($C10="",S10=""),"",IF(S10/IF($S$2="",100,$S$2)&gt;=設定!$I$28,設定!$G$8,IF(S10/IF($S$2="",100,$S$2)&lt;設定!$I$29,設定!$G$10,設定!$G$9)))</f>
        <v/>
      </c>
    </row>
    <row r="11" customFormat="false" ht="21" hidden="false" customHeight="true" outlineLevel="0" collapsed="false">
      <c r="A11" s="91" t="str">
        <f aca="false">IF(名簿!$D11="","",名簿!$B11&amp;"")</f>
        <v/>
      </c>
      <c r="B11" s="91" t="str">
        <f aca="false">IF(名簿!$D11="","",名簿!$C11)</f>
        <v/>
      </c>
      <c r="C11" s="59" t="str">
        <f aca="false">IF(名簿!$D11="","",名簿!$D11&amp;IF(名簿!$F11="転出","（転出）",""))</f>
        <v/>
      </c>
      <c r="D11" s="149"/>
      <c r="E11" s="61" t="str">
        <f aca="false">IF(OR($C11="",名簿!$F11="転出"),"",IF($C$2="学級ごと",$A11,IF($C$2="前の単元と同じ",単元04!$E11&amp;"",$D11&amp;"")))</f>
        <v/>
      </c>
      <c r="F11" s="150"/>
      <c r="G11" s="150"/>
      <c r="H11" s="150"/>
      <c r="I11" s="151"/>
      <c r="J11" s="41" t="str">
        <f aca="false">IF($E11="","",$E11&amp;"|"&amp;COUNTIF($E$5:$E11,$E11))</f>
        <v/>
      </c>
      <c r="K11" s="40" t="str">
        <f aca="false">IF($I11="","",LEN($I11))</f>
        <v/>
      </c>
      <c r="L11" s="13"/>
      <c r="M11" s="13"/>
      <c r="N11" s="13"/>
      <c r="O11" s="13"/>
      <c r="P11" s="152"/>
      <c r="Q11" s="149"/>
      <c r="R11" s="152"/>
      <c r="S11" s="152"/>
      <c r="T11" s="62" t="str">
        <f aca="false">IF(OR($C11="",R11=""),"",IF(R11/IF($R$2="",100,$R$2)&gt;=設定!$I$28,設定!$G$8,IF(R11/IF($R$2="",100,$R$2)&lt;設定!$I$29,設定!$G$10,設定!$G$9)))</f>
        <v/>
      </c>
      <c r="U11" s="62" t="str">
        <f aca="false">IF(OR($C11="",S11=""),"",IF(S11/IF($S$2="",100,$S$2)&gt;=設定!$I$28,設定!$G$8,IF(S11/IF($S$2="",100,$S$2)&lt;設定!$I$29,設定!$G$10,設定!$G$9)))</f>
        <v/>
      </c>
    </row>
    <row r="12" customFormat="false" ht="21" hidden="false" customHeight="true" outlineLevel="0" collapsed="false">
      <c r="A12" s="91" t="str">
        <f aca="false">IF(名簿!$D12="","",名簿!$B12&amp;"")</f>
        <v/>
      </c>
      <c r="B12" s="91" t="str">
        <f aca="false">IF(名簿!$D12="","",名簿!$C12)</f>
        <v/>
      </c>
      <c r="C12" s="59" t="str">
        <f aca="false">IF(名簿!$D12="","",名簿!$D12&amp;IF(名簿!$F12="転出","（転出）",""))</f>
        <v/>
      </c>
      <c r="D12" s="149"/>
      <c r="E12" s="61" t="str">
        <f aca="false">IF(OR($C12="",名簿!$F12="転出"),"",IF($C$2="学級ごと",$A12,IF($C$2="前の単元と同じ",単元04!$E12&amp;"",$D12&amp;"")))</f>
        <v/>
      </c>
      <c r="F12" s="150"/>
      <c r="G12" s="150"/>
      <c r="H12" s="150"/>
      <c r="I12" s="151"/>
      <c r="J12" s="41" t="str">
        <f aca="false">IF($E12="","",$E12&amp;"|"&amp;COUNTIF($E$5:$E12,$E12))</f>
        <v/>
      </c>
      <c r="K12" s="40" t="str">
        <f aca="false">IF($I12="","",LEN($I12))</f>
        <v/>
      </c>
      <c r="L12" s="13"/>
      <c r="M12" s="13"/>
      <c r="N12" s="13"/>
      <c r="O12" s="13"/>
      <c r="P12" s="152"/>
      <c r="Q12" s="149"/>
      <c r="R12" s="152"/>
      <c r="S12" s="152"/>
      <c r="T12" s="62" t="str">
        <f aca="false">IF(OR($C12="",R12=""),"",IF(R12/IF($R$2="",100,$R$2)&gt;=設定!$I$28,設定!$G$8,IF(R12/IF($R$2="",100,$R$2)&lt;設定!$I$29,設定!$G$10,設定!$G$9)))</f>
        <v/>
      </c>
      <c r="U12" s="62" t="str">
        <f aca="false">IF(OR($C12="",S12=""),"",IF(S12/IF($S$2="",100,$S$2)&gt;=設定!$I$28,設定!$G$8,IF(S12/IF($S$2="",100,$S$2)&lt;設定!$I$29,設定!$G$10,設定!$G$9)))</f>
        <v/>
      </c>
    </row>
    <row r="13" customFormat="false" ht="21" hidden="false" customHeight="true" outlineLevel="0" collapsed="false">
      <c r="A13" s="91" t="str">
        <f aca="false">IF(名簿!$D13="","",名簿!$B13&amp;"")</f>
        <v/>
      </c>
      <c r="B13" s="91" t="str">
        <f aca="false">IF(名簿!$D13="","",名簿!$C13)</f>
        <v/>
      </c>
      <c r="C13" s="59" t="str">
        <f aca="false">IF(名簿!$D13="","",名簿!$D13&amp;IF(名簿!$F13="転出","（転出）",""))</f>
        <v/>
      </c>
      <c r="D13" s="149"/>
      <c r="E13" s="61" t="str">
        <f aca="false">IF(OR($C13="",名簿!$F13="転出"),"",IF($C$2="学級ごと",$A13,IF($C$2="前の単元と同じ",単元04!$E13&amp;"",$D13&amp;"")))</f>
        <v/>
      </c>
      <c r="F13" s="150"/>
      <c r="G13" s="150"/>
      <c r="H13" s="150"/>
      <c r="I13" s="151"/>
      <c r="J13" s="41" t="str">
        <f aca="false">IF($E13="","",$E13&amp;"|"&amp;COUNTIF($E$5:$E13,$E13))</f>
        <v/>
      </c>
      <c r="K13" s="40" t="str">
        <f aca="false">IF($I13="","",LEN($I13))</f>
        <v/>
      </c>
      <c r="L13" s="13"/>
      <c r="M13" s="13"/>
      <c r="N13" s="13"/>
      <c r="O13" s="13"/>
      <c r="P13" s="152"/>
      <c r="Q13" s="149"/>
      <c r="R13" s="152"/>
      <c r="S13" s="152"/>
      <c r="T13" s="62" t="str">
        <f aca="false">IF(OR($C13="",R13=""),"",IF(R13/IF($R$2="",100,$R$2)&gt;=設定!$I$28,設定!$G$8,IF(R13/IF($R$2="",100,$R$2)&lt;設定!$I$29,設定!$G$10,設定!$G$9)))</f>
        <v/>
      </c>
      <c r="U13" s="62" t="str">
        <f aca="false">IF(OR($C13="",S13=""),"",IF(S13/IF($S$2="",100,$S$2)&gt;=設定!$I$28,設定!$G$8,IF(S13/IF($S$2="",100,$S$2)&lt;設定!$I$29,設定!$G$10,設定!$G$9)))</f>
        <v/>
      </c>
    </row>
    <row r="14" customFormat="false" ht="21" hidden="false" customHeight="true" outlineLevel="0" collapsed="false">
      <c r="A14" s="91" t="str">
        <f aca="false">IF(名簿!$D14="","",名簿!$B14&amp;"")</f>
        <v/>
      </c>
      <c r="B14" s="91" t="str">
        <f aca="false">IF(名簿!$D14="","",名簿!$C14)</f>
        <v/>
      </c>
      <c r="C14" s="59" t="str">
        <f aca="false">IF(名簿!$D14="","",名簿!$D14&amp;IF(名簿!$F14="転出","（転出）",""))</f>
        <v/>
      </c>
      <c r="D14" s="149"/>
      <c r="E14" s="61" t="str">
        <f aca="false">IF(OR($C14="",名簿!$F14="転出"),"",IF($C$2="学級ごと",$A14,IF($C$2="前の単元と同じ",単元04!$E14&amp;"",$D14&amp;"")))</f>
        <v/>
      </c>
      <c r="F14" s="150"/>
      <c r="G14" s="150"/>
      <c r="H14" s="150"/>
      <c r="I14" s="151"/>
      <c r="J14" s="41" t="str">
        <f aca="false">IF($E14="","",$E14&amp;"|"&amp;COUNTIF($E$5:$E14,$E14))</f>
        <v/>
      </c>
      <c r="K14" s="40" t="str">
        <f aca="false">IF($I14="","",LEN($I14))</f>
        <v/>
      </c>
      <c r="L14" s="13"/>
      <c r="M14" s="13"/>
      <c r="N14" s="13"/>
      <c r="O14" s="13"/>
      <c r="P14" s="152"/>
      <c r="Q14" s="149"/>
      <c r="R14" s="152"/>
      <c r="S14" s="152"/>
      <c r="T14" s="62" t="str">
        <f aca="false">IF(OR($C14="",R14=""),"",IF(R14/IF($R$2="",100,$R$2)&gt;=設定!$I$28,設定!$G$8,IF(R14/IF($R$2="",100,$R$2)&lt;設定!$I$29,設定!$G$10,設定!$G$9)))</f>
        <v/>
      </c>
      <c r="U14" s="62" t="str">
        <f aca="false">IF(OR($C14="",S14=""),"",IF(S14/IF($S$2="",100,$S$2)&gt;=設定!$I$28,設定!$G$8,IF(S14/IF($S$2="",100,$S$2)&lt;設定!$I$29,設定!$G$10,設定!$G$9)))</f>
        <v/>
      </c>
    </row>
    <row r="15" customFormat="false" ht="21" hidden="false" customHeight="true" outlineLevel="0" collapsed="false">
      <c r="A15" s="91" t="str">
        <f aca="false">IF(名簿!$D15="","",名簿!$B15&amp;"")</f>
        <v/>
      </c>
      <c r="B15" s="91" t="str">
        <f aca="false">IF(名簿!$D15="","",名簿!$C15)</f>
        <v/>
      </c>
      <c r="C15" s="59" t="str">
        <f aca="false">IF(名簿!$D15="","",名簿!$D15&amp;IF(名簿!$F15="転出","（転出）",""))</f>
        <v/>
      </c>
      <c r="D15" s="149"/>
      <c r="E15" s="61" t="str">
        <f aca="false">IF(OR($C15="",名簿!$F15="転出"),"",IF($C$2="学級ごと",$A15,IF($C$2="前の単元と同じ",単元04!$E15&amp;"",$D15&amp;"")))</f>
        <v/>
      </c>
      <c r="F15" s="150"/>
      <c r="G15" s="150"/>
      <c r="H15" s="150"/>
      <c r="I15" s="151"/>
      <c r="J15" s="41" t="str">
        <f aca="false">IF($E15="","",$E15&amp;"|"&amp;COUNTIF($E$5:$E15,$E15))</f>
        <v/>
      </c>
      <c r="K15" s="40" t="str">
        <f aca="false">IF($I15="","",LEN($I15))</f>
        <v/>
      </c>
      <c r="L15" s="13"/>
      <c r="M15" s="13"/>
      <c r="N15" s="13"/>
      <c r="O15" s="13"/>
      <c r="P15" s="152"/>
      <c r="Q15" s="149"/>
      <c r="R15" s="152"/>
      <c r="S15" s="152"/>
      <c r="T15" s="62" t="str">
        <f aca="false">IF(OR($C15="",R15=""),"",IF(R15/IF($R$2="",100,$R$2)&gt;=設定!$I$28,設定!$G$8,IF(R15/IF($R$2="",100,$R$2)&lt;設定!$I$29,設定!$G$10,設定!$G$9)))</f>
        <v/>
      </c>
      <c r="U15" s="62" t="str">
        <f aca="false">IF(OR($C15="",S15=""),"",IF(S15/IF($S$2="",100,$S$2)&gt;=設定!$I$28,設定!$G$8,IF(S15/IF($S$2="",100,$S$2)&lt;設定!$I$29,設定!$G$10,設定!$G$9)))</f>
        <v/>
      </c>
    </row>
    <row r="16" customFormat="false" ht="21" hidden="false" customHeight="true" outlineLevel="0" collapsed="false">
      <c r="A16" s="91" t="str">
        <f aca="false">IF(名簿!$D16="","",名簿!$B16&amp;"")</f>
        <v/>
      </c>
      <c r="B16" s="91" t="str">
        <f aca="false">IF(名簿!$D16="","",名簿!$C16)</f>
        <v/>
      </c>
      <c r="C16" s="59" t="str">
        <f aca="false">IF(名簿!$D16="","",名簿!$D16&amp;IF(名簿!$F16="転出","（転出）",""))</f>
        <v/>
      </c>
      <c r="D16" s="149"/>
      <c r="E16" s="61" t="str">
        <f aca="false">IF(OR($C16="",名簿!$F16="転出"),"",IF($C$2="学級ごと",$A16,IF($C$2="前の単元と同じ",単元04!$E16&amp;"",$D16&amp;"")))</f>
        <v/>
      </c>
      <c r="F16" s="150"/>
      <c r="G16" s="150"/>
      <c r="H16" s="150"/>
      <c r="I16" s="151"/>
      <c r="J16" s="41" t="str">
        <f aca="false">IF($E16="","",$E16&amp;"|"&amp;COUNTIF($E$5:$E16,$E16))</f>
        <v/>
      </c>
      <c r="K16" s="40" t="str">
        <f aca="false">IF($I16="","",LEN($I16))</f>
        <v/>
      </c>
      <c r="L16" s="13"/>
      <c r="M16" s="13"/>
      <c r="N16" s="13"/>
      <c r="O16" s="13"/>
      <c r="P16" s="152"/>
      <c r="Q16" s="149"/>
      <c r="R16" s="152"/>
      <c r="S16" s="152"/>
      <c r="T16" s="62" t="str">
        <f aca="false">IF(OR($C16="",R16=""),"",IF(R16/IF($R$2="",100,$R$2)&gt;=設定!$I$28,設定!$G$8,IF(R16/IF($R$2="",100,$R$2)&lt;設定!$I$29,設定!$G$10,設定!$G$9)))</f>
        <v/>
      </c>
      <c r="U16" s="62" t="str">
        <f aca="false">IF(OR($C16="",S16=""),"",IF(S16/IF($S$2="",100,$S$2)&gt;=設定!$I$28,設定!$G$8,IF(S16/IF($S$2="",100,$S$2)&lt;設定!$I$29,設定!$G$10,設定!$G$9)))</f>
        <v/>
      </c>
    </row>
    <row r="17" customFormat="false" ht="21" hidden="false" customHeight="true" outlineLevel="0" collapsed="false">
      <c r="A17" s="91" t="str">
        <f aca="false">IF(名簿!$D17="","",名簿!$B17&amp;"")</f>
        <v/>
      </c>
      <c r="B17" s="91" t="str">
        <f aca="false">IF(名簿!$D17="","",名簿!$C17)</f>
        <v/>
      </c>
      <c r="C17" s="59" t="str">
        <f aca="false">IF(名簿!$D17="","",名簿!$D17&amp;IF(名簿!$F17="転出","（転出）",""))</f>
        <v/>
      </c>
      <c r="D17" s="149"/>
      <c r="E17" s="61" t="str">
        <f aca="false">IF(OR($C17="",名簿!$F17="転出"),"",IF($C$2="学級ごと",$A17,IF($C$2="前の単元と同じ",単元04!$E17&amp;"",$D17&amp;"")))</f>
        <v/>
      </c>
      <c r="F17" s="150"/>
      <c r="G17" s="150"/>
      <c r="H17" s="150"/>
      <c r="I17" s="151"/>
      <c r="J17" s="41" t="str">
        <f aca="false">IF($E17="","",$E17&amp;"|"&amp;COUNTIF($E$5:$E17,$E17))</f>
        <v/>
      </c>
      <c r="K17" s="40" t="str">
        <f aca="false">IF($I17="","",LEN($I17))</f>
        <v/>
      </c>
      <c r="L17" s="13"/>
      <c r="M17" s="13"/>
      <c r="N17" s="13"/>
      <c r="O17" s="13"/>
      <c r="P17" s="152"/>
      <c r="Q17" s="149"/>
      <c r="R17" s="152"/>
      <c r="S17" s="152"/>
      <c r="T17" s="62" t="str">
        <f aca="false">IF(OR($C17="",R17=""),"",IF(R17/IF($R$2="",100,$R$2)&gt;=設定!$I$28,設定!$G$8,IF(R17/IF($R$2="",100,$R$2)&lt;設定!$I$29,設定!$G$10,設定!$G$9)))</f>
        <v/>
      </c>
      <c r="U17" s="62" t="str">
        <f aca="false">IF(OR($C17="",S17=""),"",IF(S17/IF($S$2="",100,$S$2)&gt;=設定!$I$28,設定!$G$8,IF(S17/IF($S$2="",100,$S$2)&lt;設定!$I$29,設定!$G$10,設定!$G$9)))</f>
        <v/>
      </c>
    </row>
    <row r="18" customFormat="false" ht="21" hidden="false" customHeight="true" outlineLevel="0" collapsed="false">
      <c r="A18" s="91" t="str">
        <f aca="false">IF(名簿!$D18="","",名簿!$B18&amp;"")</f>
        <v/>
      </c>
      <c r="B18" s="91" t="str">
        <f aca="false">IF(名簿!$D18="","",名簿!$C18)</f>
        <v/>
      </c>
      <c r="C18" s="59" t="str">
        <f aca="false">IF(名簿!$D18="","",名簿!$D18&amp;IF(名簿!$F18="転出","（転出）",""))</f>
        <v/>
      </c>
      <c r="D18" s="149"/>
      <c r="E18" s="61" t="str">
        <f aca="false">IF(OR($C18="",名簿!$F18="転出"),"",IF($C$2="学級ごと",$A18,IF($C$2="前の単元と同じ",単元04!$E18&amp;"",$D18&amp;"")))</f>
        <v/>
      </c>
      <c r="F18" s="150"/>
      <c r="G18" s="150"/>
      <c r="H18" s="150"/>
      <c r="I18" s="151"/>
      <c r="J18" s="41" t="str">
        <f aca="false">IF($E18="","",$E18&amp;"|"&amp;COUNTIF($E$5:$E18,$E18))</f>
        <v/>
      </c>
      <c r="K18" s="40" t="str">
        <f aca="false">IF($I18="","",LEN($I18))</f>
        <v/>
      </c>
      <c r="L18" s="13"/>
      <c r="M18" s="13"/>
      <c r="N18" s="13"/>
      <c r="O18" s="13"/>
      <c r="P18" s="152"/>
      <c r="Q18" s="149"/>
      <c r="R18" s="152"/>
      <c r="S18" s="152"/>
      <c r="T18" s="62" t="str">
        <f aca="false">IF(OR($C18="",R18=""),"",IF(R18/IF($R$2="",100,$R$2)&gt;=設定!$I$28,設定!$G$8,IF(R18/IF($R$2="",100,$R$2)&lt;設定!$I$29,設定!$G$10,設定!$G$9)))</f>
        <v/>
      </c>
      <c r="U18" s="62" t="str">
        <f aca="false">IF(OR($C18="",S18=""),"",IF(S18/IF($S$2="",100,$S$2)&gt;=設定!$I$28,設定!$G$8,IF(S18/IF($S$2="",100,$S$2)&lt;設定!$I$29,設定!$G$10,設定!$G$9)))</f>
        <v/>
      </c>
    </row>
    <row r="19" customFormat="false" ht="21" hidden="false" customHeight="true" outlineLevel="0" collapsed="false">
      <c r="A19" s="91" t="str">
        <f aca="false">IF(名簿!$D19="","",名簿!$B19&amp;"")</f>
        <v/>
      </c>
      <c r="B19" s="91" t="str">
        <f aca="false">IF(名簿!$D19="","",名簿!$C19)</f>
        <v/>
      </c>
      <c r="C19" s="59" t="str">
        <f aca="false">IF(名簿!$D19="","",名簿!$D19&amp;IF(名簿!$F19="転出","（転出）",""))</f>
        <v/>
      </c>
      <c r="D19" s="149"/>
      <c r="E19" s="61" t="str">
        <f aca="false">IF(OR($C19="",名簿!$F19="転出"),"",IF($C$2="学級ごと",$A19,IF($C$2="前の単元と同じ",単元04!$E19&amp;"",$D19&amp;"")))</f>
        <v/>
      </c>
      <c r="F19" s="150"/>
      <c r="G19" s="150"/>
      <c r="H19" s="150"/>
      <c r="I19" s="151"/>
      <c r="J19" s="41" t="str">
        <f aca="false">IF($E19="","",$E19&amp;"|"&amp;COUNTIF($E$5:$E19,$E19))</f>
        <v/>
      </c>
      <c r="K19" s="40" t="str">
        <f aca="false">IF($I19="","",LEN($I19))</f>
        <v/>
      </c>
      <c r="L19" s="13"/>
      <c r="M19" s="13"/>
      <c r="N19" s="13"/>
      <c r="O19" s="13"/>
      <c r="P19" s="152"/>
      <c r="Q19" s="149"/>
      <c r="R19" s="152"/>
      <c r="S19" s="152"/>
      <c r="T19" s="62" t="str">
        <f aca="false">IF(OR($C19="",R19=""),"",IF(R19/IF($R$2="",100,$R$2)&gt;=設定!$I$28,設定!$G$8,IF(R19/IF($R$2="",100,$R$2)&lt;設定!$I$29,設定!$G$10,設定!$G$9)))</f>
        <v/>
      </c>
      <c r="U19" s="62" t="str">
        <f aca="false">IF(OR($C19="",S19=""),"",IF(S19/IF($S$2="",100,$S$2)&gt;=設定!$I$28,設定!$G$8,IF(S19/IF($S$2="",100,$S$2)&lt;設定!$I$29,設定!$G$10,設定!$G$9)))</f>
        <v/>
      </c>
    </row>
    <row r="20" customFormat="false" ht="21" hidden="false" customHeight="true" outlineLevel="0" collapsed="false">
      <c r="A20" s="91" t="str">
        <f aca="false">IF(名簿!$D20="","",名簿!$B20&amp;"")</f>
        <v/>
      </c>
      <c r="B20" s="91" t="str">
        <f aca="false">IF(名簿!$D20="","",名簿!$C20)</f>
        <v/>
      </c>
      <c r="C20" s="59" t="str">
        <f aca="false">IF(名簿!$D20="","",名簿!$D20&amp;IF(名簿!$F20="転出","（転出）",""))</f>
        <v/>
      </c>
      <c r="D20" s="149"/>
      <c r="E20" s="61" t="str">
        <f aca="false">IF(OR($C20="",名簿!$F20="転出"),"",IF($C$2="学級ごと",$A20,IF($C$2="前の単元と同じ",単元04!$E20&amp;"",$D20&amp;"")))</f>
        <v/>
      </c>
      <c r="F20" s="150"/>
      <c r="G20" s="150"/>
      <c r="H20" s="150"/>
      <c r="I20" s="151"/>
      <c r="J20" s="41" t="str">
        <f aca="false">IF($E20="","",$E20&amp;"|"&amp;COUNTIF($E$5:$E20,$E20))</f>
        <v/>
      </c>
      <c r="K20" s="40" t="str">
        <f aca="false">IF($I20="","",LEN($I20))</f>
        <v/>
      </c>
      <c r="L20" s="13"/>
      <c r="M20" s="13"/>
      <c r="N20" s="13"/>
      <c r="O20" s="13"/>
      <c r="P20" s="152"/>
      <c r="Q20" s="149"/>
      <c r="R20" s="152"/>
      <c r="S20" s="152"/>
      <c r="T20" s="62" t="str">
        <f aca="false">IF(OR($C20="",R20=""),"",IF(R20/IF($R$2="",100,$R$2)&gt;=設定!$I$28,設定!$G$8,IF(R20/IF($R$2="",100,$R$2)&lt;設定!$I$29,設定!$G$10,設定!$G$9)))</f>
        <v/>
      </c>
      <c r="U20" s="62" t="str">
        <f aca="false">IF(OR($C20="",S20=""),"",IF(S20/IF($S$2="",100,$S$2)&gt;=設定!$I$28,設定!$G$8,IF(S20/IF($S$2="",100,$S$2)&lt;設定!$I$29,設定!$G$10,設定!$G$9)))</f>
        <v/>
      </c>
    </row>
    <row r="21" customFormat="false" ht="21" hidden="false" customHeight="true" outlineLevel="0" collapsed="false">
      <c r="A21" s="91" t="str">
        <f aca="false">IF(名簿!$D21="","",名簿!$B21&amp;"")</f>
        <v/>
      </c>
      <c r="B21" s="91" t="str">
        <f aca="false">IF(名簿!$D21="","",名簿!$C21)</f>
        <v/>
      </c>
      <c r="C21" s="59" t="str">
        <f aca="false">IF(名簿!$D21="","",名簿!$D21&amp;IF(名簿!$F21="転出","（転出）",""))</f>
        <v/>
      </c>
      <c r="D21" s="149"/>
      <c r="E21" s="61" t="str">
        <f aca="false">IF(OR($C21="",名簿!$F21="転出"),"",IF($C$2="学級ごと",$A21,IF($C$2="前の単元と同じ",単元04!$E21&amp;"",$D21&amp;"")))</f>
        <v/>
      </c>
      <c r="F21" s="150"/>
      <c r="G21" s="150"/>
      <c r="H21" s="150"/>
      <c r="I21" s="151"/>
      <c r="J21" s="41" t="str">
        <f aca="false">IF($E21="","",$E21&amp;"|"&amp;COUNTIF($E$5:$E21,$E21))</f>
        <v/>
      </c>
      <c r="K21" s="40" t="str">
        <f aca="false">IF($I21="","",LEN($I21))</f>
        <v/>
      </c>
      <c r="L21" s="13"/>
      <c r="M21" s="13"/>
      <c r="N21" s="13"/>
      <c r="O21" s="13"/>
      <c r="P21" s="152"/>
      <c r="Q21" s="149"/>
      <c r="R21" s="152"/>
      <c r="S21" s="152"/>
      <c r="T21" s="62" t="str">
        <f aca="false">IF(OR($C21="",R21=""),"",IF(R21/IF($R$2="",100,$R$2)&gt;=設定!$I$28,設定!$G$8,IF(R21/IF($R$2="",100,$R$2)&lt;設定!$I$29,設定!$G$10,設定!$G$9)))</f>
        <v/>
      </c>
      <c r="U21" s="62" t="str">
        <f aca="false">IF(OR($C21="",S21=""),"",IF(S21/IF($S$2="",100,$S$2)&gt;=設定!$I$28,設定!$G$8,IF(S21/IF($S$2="",100,$S$2)&lt;設定!$I$29,設定!$G$10,設定!$G$9)))</f>
        <v/>
      </c>
    </row>
    <row r="22" customFormat="false" ht="21" hidden="false" customHeight="true" outlineLevel="0" collapsed="false">
      <c r="A22" s="91" t="str">
        <f aca="false">IF(名簿!$D22="","",名簿!$B22&amp;"")</f>
        <v/>
      </c>
      <c r="B22" s="91" t="str">
        <f aca="false">IF(名簿!$D22="","",名簿!$C22)</f>
        <v/>
      </c>
      <c r="C22" s="59" t="str">
        <f aca="false">IF(名簿!$D22="","",名簿!$D22&amp;IF(名簿!$F22="転出","（転出）",""))</f>
        <v/>
      </c>
      <c r="D22" s="149"/>
      <c r="E22" s="61" t="str">
        <f aca="false">IF(OR($C22="",名簿!$F22="転出"),"",IF($C$2="学級ごと",$A22,IF($C$2="前の単元と同じ",単元04!$E22&amp;"",$D22&amp;"")))</f>
        <v/>
      </c>
      <c r="F22" s="150"/>
      <c r="G22" s="150"/>
      <c r="H22" s="150"/>
      <c r="I22" s="151"/>
      <c r="J22" s="41" t="str">
        <f aca="false">IF($E22="","",$E22&amp;"|"&amp;COUNTIF($E$5:$E22,$E22))</f>
        <v/>
      </c>
      <c r="K22" s="40" t="str">
        <f aca="false">IF($I22="","",LEN($I22))</f>
        <v/>
      </c>
      <c r="L22" s="13"/>
      <c r="M22" s="13"/>
      <c r="N22" s="13"/>
      <c r="O22" s="13"/>
      <c r="P22" s="152"/>
      <c r="Q22" s="149"/>
      <c r="R22" s="152"/>
      <c r="S22" s="152"/>
      <c r="T22" s="62" t="str">
        <f aca="false">IF(OR($C22="",R22=""),"",IF(R22/IF($R$2="",100,$R$2)&gt;=設定!$I$28,設定!$G$8,IF(R22/IF($R$2="",100,$R$2)&lt;設定!$I$29,設定!$G$10,設定!$G$9)))</f>
        <v/>
      </c>
      <c r="U22" s="62" t="str">
        <f aca="false">IF(OR($C22="",S22=""),"",IF(S22/IF($S$2="",100,$S$2)&gt;=設定!$I$28,設定!$G$8,IF(S22/IF($S$2="",100,$S$2)&lt;設定!$I$29,設定!$G$10,設定!$G$9)))</f>
        <v/>
      </c>
    </row>
    <row r="23" customFormat="false" ht="21" hidden="false" customHeight="true" outlineLevel="0" collapsed="false">
      <c r="A23" s="91" t="str">
        <f aca="false">IF(名簿!$D23="","",名簿!$B23&amp;"")</f>
        <v/>
      </c>
      <c r="B23" s="91" t="str">
        <f aca="false">IF(名簿!$D23="","",名簿!$C23)</f>
        <v/>
      </c>
      <c r="C23" s="59" t="str">
        <f aca="false">IF(名簿!$D23="","",名簿!$D23&amp;IF(名簿!$F23="転出","（転出）",""))</f>
        <v/>
      </c>
      <c r="D23" s="149"/>
      <c r="E23" s="61" t="str">
        <f aca="false">IF(OR($C23="",名簿!$F23="転出"),"",IF($C$2="学級ごと",$A23,IF($C$2="前の単元と同じ",単元04!$E23&amp;"",$D23&amp;"")))</f>
        <v/>
      </c>
      <c r="F23" s="150"/>
      <c r="G23" s="150"/>
      <c r="H23" s="150"/>
      <c r="I23" s="151"/>
      <c r="J23" s="41" t="str">
        <f aca="false">IF($E23="","",$E23&amp;"|"&amp;COUNTIF($E$5:$E23,$E23))</f>
        <v/>
      </c>
      <c r="K23" s="40" t="str">
        <f aca="false">IF($I23="","",LEN($I23))</f>
        <v/>
      </c>
      <c r="L23" s="13"/>
      <c r="M23" s="13"/>
      <c r="N23" s="13"/>
      <c r="O23" s="13"/>
      <c r="P23" s="152"/>
      <c r="Q23" s="149"/>
      <c r="R23" s="152"/>
      <c r="S23" s="152"/>
      <c r="T23" s="62" t="str">
        <f aca="false">IF(OR($C23="",R23=""),"",IF(R23/IF($R$2="",100,$R$2)&gt;=設定!$I$28,設定!$G$8,IF(R23/IF($R$2="",100,$R$2)&lt;設定!$I$29,設定!$G$10,設定!$G$9)))</f>
        <v/>
      </c>
      <c r="U23" s="62" t="str">
        <f aca="false">IF(OR($C23="",S23=""),"",IF(S23/IF($S$2="",100,$S$2)&gt;=設定!$I$28,設定!$G$8,IF(S23/IF($S$2="",100,$S$2)&lt;設定!$I$29,設定!$G$10,設定!$G$9)))</f>
        <v/>
      </c>
    </row>
    <row r="24" customFormat="false" ht="21" hidden="false" customHeight="true" outlineLevel="0" collapsed="false">
      <c r="A24" s="91" t="str">
        <f aca="false">IF(名簿!$D24="","",名簿!$B24&amp;"")</f>
        <v/>
      </c>
      <c r="B24" s="91" t="str">
        <f aca="false">IF(名簿!$D24="","",名簿!$C24)</f>
        <v/>
      </c>
      <c r="C24" s="59" t="str">
        <f aca="false">IF(名簿!$D24="","",名簿!$D24&amp;IF(名簿!$F24="転出","（転出）",""))</f>
        <v/>
      </c>
      <c r="D24" s="149"/>
      <c r="E24" s="61" t="str">
        <f aca="false">IF(OR($C24="",名簿!$F24="転出"),"",IF($C$2="学級ごと",$A24,IF($C$2="前の単元と同じ",単元04!$E24&amp;"",$D24&amp;"")))</f>
        <v/>
      </c>
      <c r="F24" s="150"/>
      <c r="G24" s="150"/>
      <c r="H24" s="150"/>
      <c r="I24" s="151"/>
      <c r="J24" s="41" t="str">
        <f aca="false">IF($E24="","",$E24&amp;"|"&amp;COUNTIF($E$5:$E24,$E24))</f>
        <v/>
      </c>
      <c r="K24" s="40" t="str">
        <f aca="false">IF($I24="","",LEN($I24))</f>
        <v/>
      </c>
      <c r="L24" s="13"/>
      <c r="M24" s="13"/>
      <c r="N24" s="13"/>
      <c r="O24" s="13"/>
      <c r="P24" s="152"/>
      <c r="Q24" s="149"/>
      <c r="R24" s="152"/>
      <c r="S24" s="152"/>
      <c r="T24" s="62" t="str">
        <f aca="false">IF(OR($C24="",R24=""),"",IF(R24/IF($R$2="",100,$R$2)&gt;=設定!$I$28,設定!$G$8,IF(R24/IF($R$2="",100,$R$2)&lt;設定!$I$29,設定!$G$10,設定!$G$9)))</f>
        <v/>
      </c>
      <c r="U24" s="62" t="str">
        <f aca="false">IF(OR($C24="",S24=""),"",IF(S24/IF($S$2="",100,$S$2)&gt;=設定!$I$28,設定!$G$8,IF(S24/IF($S$2="",100,$S$2)&lt;設定!$I$29,設定!$G$10,設定!$G$9)))</f>
        <v/>
      </c>
    </row>
    <row r="25" customFormat="false" ht="21" hidden="false" customHeight="true" outlineLevel="0" collapsed="false">
      <c r="A25" s="91" t="str">
        <f aca="false">IF(名簿!$D25="","",名簿!$B25&amp;"")</f>
        <v/>
      </c>
      <c r="B25" s="91" t="str">
        <f aca="false">IF(名簿!$D25="","",名簿!$C25)</f>
        <v/>
      </c>
      <c r="C25" s="59" t="str">
        <f aca="false">IF(名簿!$D25="","",名簿!$D25&amp;IF(名簿!$F25="転出","（転出）",""))</f>
        <v/>
      </c>
      <c r="D25" s="149"/>
      <c r="E25" s="61" t="str">
        <f aca="false">IF(OR($C25="",名簿!$F25="転出"),"",IF($C$2="学級ごと",$A25,IF($C$2="前の単元と同じ",単元04!$E25&amp;"",$D25&amp;"")))</f>
        <v/>
      </c>
      <c r="F25" s="150"/>
      <c r="G25" s="150"/>
      <c r="H25" s="150"/>
      <c r="I25" s="151"/>
      <c r="J25" s="41" t="str">
        <f aca="false">IF($E25="","",$E25&amp;"|"&amp;COUNTIF($E$5:$E25,$E25))</f>
        <v/>
      </c>
      <c r="K25" s="40" t="str">
        <f aca="false">IF($I25="","",LEN($I25))</f>
        <v/>
      </c>
      <c r="L25" s="13"/>
      <c r="M25" s="13"/>
      <c r="N25" s="13"/>
      <c r="O25" s="13"/>
      <c r="P25" s="152"/>
      <c r="Q25" s="149"/>
      <c r="R25" s="152"/>
      <c r="S25" s="152"/>
      <c r="T25" s="62" t="str">
        <f aca="false">IF(OR($C25="",R25=""),"",IF(R25/IF($R$2="",100,$R$2)&gt;=設定!$I$28,設定!$G$8,IF(R25/IF($R$2="",100,$R$2)&lt;設定!$I$29,設定!$G$10,設定!$G$9)))</f>
        <v/>
      </c>
      <c r="U25" s="62" t="str">
        <f aca="false">IF(OR($C25="",S25=""),"",IF(S25/IF($S$2="",100,$S$2)&gt;=設定!$I$28,設定!$G$8,IF(S25/IF($S$2="",100,$S$2)&lt;設定!$I$29,設定!$G$10,設定!$G$9)))</f>
        <v/>
      </c>
    </row>
    <row r="26" customFormat="false" ht="21" hidden="false" customHeight="true" outlineLevel="0" collapsed="false">
      <c r="A26" s="91" t="str">
        <f aca="false">IF(名簿!$D26="","",名簿!$B26&amp;"")</f>
        <v/>
      </c>
      <c r="B26" s="91" t="str">
        <f aca="false">IF(名簿!$D26="","",名簿!$C26)</f>
        <v/>
      </c>
      <c r="C26" s="59" t="str">
        <f aca="false">IF(名簿!$D26="","",名簿!$D26&amp;IF(名簿!$F26="転出","（転出）",""))</f>
        <v/>
      </c>
      <c r="D26" s="149"/>
      <c r="E26" s="61" t="str">
        <f aca="false">IF(OR($C26="",名簿!$F26="転出"),"",IF($C$2="学級ごと",$A26,IF($C$2="前の単元と同じ",単元04!$E26&amp;"",$D26&amp;"")))</f>
        <v/>
      </c>
      <c r="F26" s="150"/>
      <c r="G26" s="150"/>
      <c r="H26" s="150"/>
      <c r="I26" s="151"/>
      <c r="J26" s="41" t="str">
        <f aca="false">IF($E26="","",$E26&amp;"|"&amp;COUNTIF($E$5:$E26,$E26))</f>
        <v/>
      </c>
      <c r="K26" s="40" t="str">
        <f aca="false">IF($I26="","",LEN($I26))</f>
        <v/>
      </c>
      <c r="L26" s="13"/>
      <c r="M26" s="13"/>
      <c r="N26" s="13"/>
      <c r="O26" s="13"/>
      <c r="P26" s="152"/>
      <c r="Q26" s="149"/>
      <c r="R26" s="152"/>
      <c r="S26" s="152"/>
      <c r="T26" s="62" t="str">
        <f aca="false">IF(OR($C26="",R26=""),"",IF(R26/IF($R$2="",100,$R$2)&gt;=設定!$I$28,設定!$G$8,IF(R26/IF($R$2="",100,$R$2)&lt;設定!$I$29,設定!$G$10,設定!$G$9)))</f>
        <v/>
      </c>
      <c r="U26" s="62" t="str">
        <f aca="false">IF(OR($C26="",S26=""),"",IF(S26/IF($S$2="",100,$S$2)&gt;=設定!$I$28,設定!$G$8,IF(S26/IF($S$2="",100,$S$2)&lt;設定!$I$29,設定!$G$10,設定!$G$9)))</f>
        <v/>
      </c>
    </row>
    <row r="27" customFormat="false" ht="21" hidden="false" customHeight="true" outlineLevel="0" collapsed="false">
      <c r="A27" s="91" t="str">
        <f aca="false">IF(名簿!$D27="","",名簿!$B27&amp;"")</f>
        <v/>
      </c>
      <c r="B27" s="91" t="str">
        <f aca="false">IF(名簿!$D27="","",名簿!$C27)</f>
        <v/>
      </c>
      <c r="C27" s="59" t="str">
        <f aca="false">IF(名簿!$D27="","",名簿!$D27&amp;IF(名簿!$F27="転出","（転出）",""))</f>
        <v/>
      </c>
      <c r="D27" s="149"/>
      <c r="E27" s="61" t="str">
        <f aca="false">IF(OR($C27="",名簿!$F27="転出"),"",IF($C$2="学級ごと",$A27,IF($C$2="前の単元と同じ",単元04!$E27&amp;"",$D27&amp;"")))</f>
        <v/>
      </c>
      <c r="F27" s="150"/>
      <c r="G27" s="150"/>
      <c r="H27" s="150"/>
      <c r="I27" s="151"/>
      <c r="J27" s="41" t="str">
        <f aca="false">IF($E27="","",$E27&amp;"|"&amp;COUNTIF($E$5:$E27,$E27))</f>
        <v/>
      </c>
      <c r="K27" s="40" t="str">
        <f aca="false">IF($I27="","",LEN($I27))</f>
        <v/>
      </c>
      <c r="L27" s="13"/>
      <c r="M27" s="13"/>
      <c r="N27" s="13"/>
      <c r="O27" s="13"/>
      <c r="P27" s="152"/>
      <c r="Q27" s="149"/>
      <c r="R27" s="152"/>
      <c r="S27" s="152"/>
      <c r="T27" s="62" t="str">
        <f aca="false">IF(OR($C27="",R27=""),"",IF(R27/IF($R$2="",100,$R$2)&gt;=設定!$I$28,設定!$G$8,IF(R27/IF($R$2="",100,$R$2)&lt;設定!$I$29,設定!$G$10,設定!$G$9)))</f>
        <v/>
      </c>
      <c r="U27" s="62" t="str">
        <f aca="false">IF(OR($C27="",S27=""),"",IF(S27/IF($S$2="",100,$S$2)&gt;=設定!$I$28,設定!$G$8,IF(S27/IF($S$2="",100,$S$2)&lt;設定!$I$29,設定!$G$10,設定!$G$9)))</f>
        <v/>
      </c>
    </row>
    <row r="28" customFormat="false" ht="21" hidden="false" customHeight="true" outlineLevel="0" collapsed="false">
      <c r="A28" s="91" t="str">
        <f aca="false">IF(名簿!$D28="","",名簿!$B28&amp;"")</f>
        <v/>
      </c>
      <c r="B28" s="91" t="str">
        <f aca="false">IF(名簿!$D28="","",名簿!$C28)</f>
        <v/>
      </c>
      <c r="C28" s="59" t="str">
        <f aca="false">IF(名簿!$D28="","",名簿!$D28&amp;IF(名簿!$F28="転出","（転出）",""))</f>
        <v/>
      </c>
      <c r="D28" s="149"/>
      <c r="E28" s="61" t="str">
        <f aca="false">IF(OR($C28="",名簿!$F28="転出"),"",IF($C$2="学級ごと",$A28,IF($C$2="前の単元と同じ",単元04!$E28&amp;"",$D28&amp;"")))</f>
        <v/>
      </c>
      <c r="F28" s="150"/>
      <c r="G28" s="150"/>
      <c r="H28" s="150"/>
      <c r="I28" s="151"/>
      <c r="J28" s="41" t="str">
        <f aca="false">IF($E28="","",$E28&amp;"|"&amp;COUNTIF($E$5:$E28,$E28))</f>
        <v/>
      </c>
      <c r="K28" s="40" t="str">
        <f aca="false">IF($I28="","",LEN($I28))</f>
        <v/>
      </c>
      <c r="L28" s="13"/>
      <c r="M28" s="13"/>
      <c r="N28" s="13"/>
      <c r="O28" s="13"/>
      <c r="P28" s="152"/>
      <c r="Q28" s="149"/>
      <c r="R28" s="152"/>
      <c r="S28" s="152"/>
      <c r="T28" s="62" t="str">
        <f aca="false">IF(OR($C28="",R28=""),"",IF(R28/IF($R$2="",100,$R$2)&gt;=設定!$I$28,設定!$G$8,IF(R28/IF($R$2="",100,$R$2)&lt;設定!$I$29,設定!$G$10,設定!$G$9)))</f>
        <v/>
      </c>
      <c r="U28" s="62" t="str">
        <f aca="false">IF(OR($C28="",S28=""),"",IF(S28/IF($S$2="",100,$S$2)&gt;=設定!$I$28,設定!$G$8,IF(S28/IF($S$2="",100,$S$2)&lt;設定!$I$29,設定!$G$10,設定!$G$9)))</f>
        <v/>
      </c>
    </row>
    <row r="29" customFormat="false" ht="21" hidden="false" customHeight="true" outlineLevel="0" collapsed="false">
      <c r="A29" s="91" t="str">
        <f aca="false">IF(名簿!$D29="","",名簿!$B29&amp;"")</f>
        <v/>
      </c>
      <c r="B29" s="91" t="str">
        <f aca="false">IF(名簿!$D29="","",名簿!$C29)</f>
        <v/>
      </c>
      <c r="C29" s="59" t="str">
        <f aca="false">IF(名簿!$D29="","",名簿!$D29&amp;IF(名簿!$F29="転出","（転出）",""))</f>
        <v/>
      </c>
      <c r="D29" s="149"/>
      <c r="E29" s="61" t="str">
        <f aca="false">IF(OR($C29="",名簿!$F29="転出"),"",IF($C$2="学級ごと",$A29,IF($C$2="前の単元と同じ",単元04!$E29&amp;"",$D29&amp;"")))</f>
        <v/>
      </c>
      <c r="F29" s="150"/>
      <c r="G29" s="150"/>
      <c r="H29" s="150"/>
      <c r="I29" s="151"/>
      <c r="J29" s="41" t="str">
        <f aca="false">IF($E29="","",$E29&amp;"|"&amp;COUNTIF($E$5:$E29,$E29))</f>
        <v/>
      </c>
      <c r="K29" s="40" t="str">
        <f aca="false">IF($I29="","",LEN($I29))</f>
        <v/>
      </c>
      <c r="L29" s="13"/>
      <c r="M29" s="13"/>
      <c r="N29" s="13"/>
      <c r="O29" s="13"/>
      <c r="P29" s="152"/>
      <c r="Q29" s="149"/>
      <c r="R29" s="152"/>
      <c r="S29" s="152"/>
      <c r="T29" s="62" t="str">
        <f aca="false">IF(OR($C29="",R29=""),"",IF(R29/IF($R$2="",100,$R$2)&gt;=設定!$I$28,設定!$G$8,IF(R29/IF($R$2="",100,$R$2)&lt;設定!$I$29,設定!$G$10,設定!$G$9)))</f>
        <v/>
      </c>
      <c r="U29" s="62" t="str">
        <f aca="false">IF(OR($C29="",S29=""),"",IF(S29/IF($S$2="",100,$S$2)&gt;=設定!$I$28,設定!$G$8,IF(S29/IF($S$2="",100,$S$2)&lt;設定!$I$29,設定!$G$10,設定!$G$9)))</f>
        <v/>
      </c>
    </row>
    <row r="30" customFormat="false" ht="21" hidden="false" customHeight="true" outlineLevel="0" collapsed="false">
      <c r="A30" s="91" t="str">
        <f aca="false">IF(名簿!$D30="","",名簿!$B30&amp;"")</f>
        <v/>
      </c>
      <c r="B30" s="91" t="str">
        <f aca="false">IF(名簿!$D30="","",名簿!$C30)</f>
        <v/>
      </c>
      <c r="C30" s="59" t="str">
        <f aca="false">IF(名簿!$D30="","",名簿!$D30&amp;IF(名簿!$F30="転出","（転出）",""))</f>
        <v/>
      </c>
      <c r="D30" s="149"/>
      <c r="E30" s="61" t="str">
        <f aca="false">IF(OR($C30="",名簿!$F30="転出"),"",IF($C$2="学級ごと",$A30,IF($C$2="前の単元と同じ",単元04!$E30&amp;"",$D30&amp;"")))</f>
        <v/>
      </c>
      <c r="F30" s="150"/>
      <c r="G30" s="150"/>
      <c r="H30" s="150"/>
      <c r="I30" s="151"/>
      <c r="J30" s="41" t="str">
        <f aca="false">IF($E30="","",$E30&amp;"|"&amp;COUNTIF($E$5:$E30,$E30))</f>
        <v/>
      </c>
      <c r="K30" s="40" t="str">
        <f aca="false">IF($I30="","",LEN($I30))</f>
        <v/>
      </c>
      <c r="L30" s="13"/>
      <c r="M30" s="13"/>
      <c r="N30" s="13"/>
      <c r="O30" s="13"/>
      <c r="P30" s="152"/>
      <c r="Q30" s="149"/>
      <c r="R30" s="152"/>
      <c r="S30" s="152"/>
      <c r="T30" s="62" t="str">
        <f aca="false">IF(OR($C30="",R30=""),"",IF(R30/IF($R$2="",100,$R$2)&gt;=設定!$I$28,設定!$G$8,IF(R30/IF($R$2="",100,$R$2)&lt;設定!$I$29,設定!$G$10,設定!$G$9)))</f>
        <v/>
      </c>
      <c r="U30" s="62" t="str">
        <f aca="false">IF(OR($C30="",S30=""),"",IF(S30/IF($S$2="",100,$S$2)&gt;=設定!$I$28,設定!$G$8,IF(S30/IF($S$2="",100,$S$2)&lt;設定!$I$29,設定!$G$10,設定!$G$9)))</f>
        <v/>
      </c>
    </row>
    <row r="31" customFormat="false" ht="21" hidden="false" customHeight="true" outlineLevel="0" collapsed="false">
      <c r="A31" s="91" t="str">
        <f aca="false">IF(名簿!$D31="","",名簿!$B31&amp;"")</f>
        <v/>
      </c>
      <c r="B31" s="91" t="str">
        <f aca="false">IF(名簿!$D31="","",名簿!$C31)</f>
        <v/>
      </c>
      <c r="C31" s="59" t="str">
        <f aca="false">IF(名簿!$D31="","",名簿!$D31&amp;IF(名簿!$F31="転出","（転出）",""))</f>
        <v/>
      </c>
      <c r="D31" s="149"/>
      <c r="E31" s="61" t="str">
        <f aca="false">IF(OR($C31="",名簿!$F31="転出"),"",IF($C$2="学級ごと",$A31,IF($C$2="前の単元と同じ",単元04!$E31&amp;"",$D31&amp;"")))</f>
        <v/>
      </c>
      <c r="F31" s="150"/>
      <c r="G31" s="150"/>
      <c r="H31" s="150"/>
      <c r="I31" s="151"/>
      <c r="J31" s="41" t="str">
        <f aca="false">IF($E31="","",$E31&amp;"|"&amp;COUNTIF($E$5:$E31,$E31))</f>
        <v/>
      </c>
      <c r="K31" s="40" t="str">
        <f aca="false">IF($I31="","",LEN($I31))</f>
        <v/>
      </c>
      <c r="L31" s="13"/>
      <c r="M31" s="13"/>
      <c r="N31" s="13"/>
      <c r="O31" s="13"/>
      <c r="P31" s="152"/>
      <c r="Q31" s="149"/>
      <c r="R31" s="152"/>
      <c r="S31" s="152"/>
      <c r="T31" s="62" t="str">
        <f aca="false">IF(OR($C31="",R31=""),"",IF(R31/IF($R$2="",100,$R$2)&gt;=設定!$I$28,設定!$G$8,IF(R31/IF($R$2="",100,$R$2)&lt;設定!$I$29,設定!$G$10,設定!$G$9)))</f>
        <v/>
      </c>
      <c r="U31" s="62" t="str">
        <f aca="false">IF(OR($C31="",S31=""),"",IF(S31/IF($S$2="",100,$S$2)&gt;=設定!$I$28,設定!$G$8,IF(S31/IF($S$2="",100,$S$2)&lt;設定!$I$29,設定!$G$10,設定!$G$9)))</f>
        <v/>
      </c>
    </row>
    <row r="32" customFormat="false" ht="21" hidden="false" customHeight="true" outlineLevel="0" collapsed="false">
      <c r="A32" s="91" t="str">
        <f aca="false">IF(名簿!$D32="","",名簿!$B32&amp;"")</f>
        <v/>
      </c>
      <c r="B32" s="91" t="str">
        <f aca="false">IF(名簿!$D32="","",名簿!$C32)</f>
        <v/>
      </c>
      <c r="C32" s="59" t="str">
        <f aca="false">IF(名簿!$D32="","",名簿!$D32&amp;IF(名簿!$F32="転出","（転出）",""))</f>
        <v/>
      </c>
      <c r="D32" s="149"/>
      <c r="E32" s="61" t="str">
        <f aca="false">IF(OR($C32="",名簿!$F32="転出"),"",IF($C$2="学級ごと",$A32,IF($C$2="前の単元と同じ",単元04!$E32&amp;"",$D32&amp;"")))</f>
        <v/>
      </c>
      <c r="F32" s="150"/>
      <c r="G32" s="150"/>
      <c r="H32" s="150"/>
      <c r="I32" s="151"/>
      <c r="J32" s="41" t="str">
        <f aca="false">IF($E32="","",$E32&amp;"|"&amp;COUNTIF($E$5:$E32,$E32))</f>
        <v/>
      </c>
      <c r="K32" s="40" t="str">
        <f aca="false">IF($I32="","",LEN($I32))</f>
        <v/>
      </c>
      <c r="L32" s="13"/>
      <c r="M32" s="13"/>
      <c r="N32" s="13"/>
      <c r="O32" s="13"/>
      <c r="P32" s="152"/>
      <c r="Q32" s="149"/>
      <c r="R32" s="152"/>
      <c r="S32" s="152"/>
      <c r="T32" s="62" t="str">
        <f aca="false">IF(OR($C32="",R32=""),"",IF(R32/IF($R$2="",100,$R$2)&gt;=設定!$I$28,設定!$G$8,IF(R32/IF($R$2="",100,$R$2)&lt;設定!$I$29,設定!$G$10,設定!$G$9)))</f>
        <v/>
      </c>
      <c r="U32" s="62" t="str">
        <f aca="false">IF(OR($C32="",S32=""),"",IF(S32/IF($S$2="",100,$S$2)&gt;=設定!$I$28,設定!$G$8,IF(S32/IF($S$2="",100,$S$2)&lt;設定!$I$29,設定!$G$10,設定!$G$9)))</f>
        <v/>
      </c>
    </row>
    <row r="33" customFormat="false" ht="21" hidden="false" customHeight="true" outlineLevel="0" collapsed="false">
      <c r="A33" s="91" t="str">
        <f aca="false">IF(名簿!$D33="","",名簿!$B33&amp;"")</f>
        <v/>
      </c>
      <c r="B33" s="91" t="str">
        <f aca="false">IF(名簿!$D33="","",名簿!$C33)</f>
        <v/>
      </c>
      <c r="C33" s="59" t="str">
        <f aca="false">IF(名簿!$D33="","",名簿!$D33&amp;IF(名簿!$F33="転出","（転出）",""))</f>
        <v/>
      </c>
      <c r="D33" s="149"/>
      <c r="E33" s="61" t="str">
        <f aca="false">IF(OR($C33="",名簿!$F33="転出"),"",IF($C$2="学級ごと",$A33,IF($C$2="前の単元と同じ",単元04!$E33&amp;"",$D33&amp;"")))</f>
        <v/>
      </c>
      <c r="F33" s="150"/>
      <c r="G33" s="150"/>
      <c r="H33" s="150"/>
      <c r="I33" s="151"/>
      <c r="J33" s="41" t="str">
        <f aca="false">IF($E33="","",$E33&amp;"|"&amp;COUNTIF($E$5:$E33,$E33))</f>
        <v/>
      </c>
      <c r="K33" s="40" t="str">
        <f aca="false">IF($I33="","",LEN($I33))</f>
        <v/>
      </c>
      <c r="L33" s="13"/>
      <c r="M33" s="13"/>
      <c r="N33" s="13"/>
      <c r="O33" s="13"/>
      <c r="P33" s="152"/>
      <c r="Q33" s="149"/>
      <c r="R33" s="152"/>
      <c r="S33" s="152"/>
      <c r="T33" s="62" t="str">
        <f aca="false">IF(OR($C33="",R33=""),"",IF(R33/IF($R$2="",100,$R$2)&gt;=設定!$I$28,設定!$G$8,IF(R33/IF($R$2="",100,$R$2)&lt;設定!$I$29,設定!$G$10,設定!$G$9)))</f>
        <v/>
      </c>
      <c r="U33" s="62" t="str">
        <f aca="false">IF(OR($C33="",S33=""),"",IF(S33/IF($S$2="",100,$S$2)&gt;=設定!$I$28,設定!$G$8,IF(S33/IF($S$2="",100,$S$2)&lt;設定!$I$29,設定!$G$10,設定!$G$9)))</f>
        <v/>
      </c>
    </row>
    <row r="34" customFormat="false" ht="21" hidden="false" customHeight="true" outlineLevel="0" collapsed="false">
      <c r="A34" s="91" t="str">
        <f aca="false">IF(名簿!$D34="","",名簿!$B34&amp;"")</f>
        <v/>
      </c>
      <c r="B34" s="91" t="str">
        <f aca="false">IF(名簿!$D34="","",名簿!$C34)</f>
        <v/>
      </c>
      <c r="C34" s="59" t="str">
        <f aca="false">IF(名簿!$D34="","",名簿!$D34&amp;IF(名簿!$F34="転出","（転出）",""))</f>
        <v/>
      </c>
      <c r="D34" s="149"/>
      <c r="E34" s="61" t="str">
        <f aca="false">IF(OR($C34="",名簿!$F34="転出"),"",IF($C$2="学級ごと",$A34,IF($C$2="前の単元と同じ",単元04!$E34&amp;"",$D34&amp;"")))</f>
        <v/>
      </c>
      <c r="F34" s="150"/>
      <c r="G34" s="150"/>
      <c r="H34" s="150"/>
      <c r="I34" s="151"/>
      <c r="J34" s="41" t="str">
        <f aca="false">IF($E34="","",$E34&amp;"|"&amp;COUNTIF($E$5:$E34,$E34))</f>
        <v/>
      </c>
      <c r="K34" s="40" t="str">
        <f aca="false">IF($I34="","",LEN($I34))</f>
        <v/>
      </c>
      <c r="L34" s="13"/>
      <c r="M34" s="13"/>
      <c r="N34" s="13"/>
      <c r="O34" s="13"/>
      <c r="P34" s="152"/>
      <c r="Q34" s="149"/>
      <c r="R34" s="152"/>
      <c r="S34" s="152"/>
      <c r="T34" s="62" t="str">
        <f aca="false">IF(OR($C34="",R34=""),"",IF(R34/IF($R$2="",100,$R$2)&gt;=設定!$I$28,設定!$G$8,IF(R34/IF($R$2="",100,$R$2)&lt;設定!$I$29,設定!$G$10,設定!$G$9)))</f>
        <v/>
      </c>
      <c r="U34" s="62" t="str">
        <f aca="false">IF(OR($C34="",S34=""),"",IF(S34/IF($S$2="",100,$S$2)&gt;=設定!$I$28,設定!$G$8,IF(S34/IF($S$2="",100,$S$2)&lt;設定!$I$29,設定!$G$10,設定!$G$9)))</f>
        <v/>
      </c>
    </row>
    <row r="35" customFormat="false" ht="21" hidden="false" customHeight="true" outlineLevel="0" collapsed="false">
      <c r="A35" s="91" t="str">
        <f aca="false">IF(名簿!$D35="","",名簿!$B35&amp;"")</f>
        <v/>
      </c>
      <c r="B35" s="91" t="str">
        <f aca="false">IF(名簿!$D35="","",名簿!$C35)</f>
        <v/>
      </c>
      <c r="C35" s="59" t="str">
        <f aca="false">IF(名簿!$D35="","",名簿!$D35&amp;IF(名簿!$F35="転出","（転出）",""))</f>
        <v/>
      </c>
      <c r="D35" s="149"/>
      <c r="E35" s="61" t="str">
        <f aca="false">IF(OR($C35="",名簿!$F35="転出"),"",IF($C$2="学級ごと",$A35,IF($C$2="前の単元と同じ",単元04!$E35&amp;"",$D35&amp;"")))</f>
        <v/>
      </c>
      <c r="F35" s="150"/>
      <c r="G35" s="150"/>
      <c r="H35" s="150"/>
      <c r="I35" s="151"/>
      <c r="J35" s="41" t="str">
        <f aca="false">IF($E35="","",$E35&amp;"|"&amp;COUNTIF($E$5:$E35,$E35))</f>
        <v/>
      </c>
      <c r="K35" s="40" t="str">
        <f aca="false">IF($I35="","",LEN($I35))</f>
        <v/>
      </c>
      <c r="L35" s="13"/>
      <c r="M35" s="13"/>
      <c r="N35" s="13"/>
      <c r="O35" s="13"/>
      <c r="P35" s="152"/>
      <c r="Q35" s="149"/>
      <c r="R35" s="152"/>
      <c r="S35" s="152"/>
      <c r="T35" s="62" t="str">
        <f aca="false">IF(OR($C35="",R35=""),"",IF(R35/IF($R$2="",100,$R$2)&gt;=設定!$I$28,設定!$G$8,IF(R35/IF($R$2="",100,$R$2)&lt;設定!$I$29,設定!$G$10,設定!$G$9)))</f>
        <v/>
      </c>
      <c r="U35" s="62" t="str">
        <f aca="false">IF(OR($C35="",S35=""),"",IF(S35/IF($S$2="",100,$S$2)&gt;=設定!$I$28,設定!$G$8,IF(S35/IF($S$2="",100,$S$2)&lt;設定!$I$29,設定!$G$10,設定!$G$9)))</f>
        <v/>
      </c>
    </row>
    <row r="36" customFormat="false" ht="21" hidden="false" customHeight="true" outlineLevel="0" collapsed="false">
      <c r="A36" s="91" t="str">
        <f aca="false">IF(名簿!$D36="","",名簿!$B36&amp;"")</f>
        <v/>
      </c>
      <c r="B36" s="91" t="str">
        <f aca="false">IF(名簿!$D36="","",名簿!$C36)</f>
        <v/>
      </c>
      <c r="C36" s="59" t="str">
        <f aca="false">IF(名簿!$D36="","",名簿!$D36&amp;IF(名簿!$F36="転出","（転出）",""))</f>
        <v/>
      </c>
      <c r="D36" s="149"/>
      <c r="E36" s="61" t="str">
        <f aca="false">IF(OR($C36="",名簿!$F36="転出"),"",IF($C$2="学級ごと",$A36,IF($C$2="前の単元と同じ",単元04!$E36&amp;"",$D36&amp;"")))</f>
        <v/>
      </c>
      <c r="F36" s="150"/>
      <c r="G36" s="150"/>
      <c r="H36" s="150"/>
      <c r="I36" s="151"/>
      <c r="J36" s="41" t="str">
        <f aca="false">IF($E36="","",$E36&amp;"|"&amp;COUNTIF($E$5:$E36,$E36))</f>
        <v/>
      </c>
      <c r="K36" s="40" t="str">
        <f aca="false">IF($I36="","",LEN($I36))</f>
        <v/>
      </c>
      <c r="L36" s="13"/>
      <c r="M36" s="13"/>
      <c r="N36" s="13"/>
      <c r="O36" s="13"/>
      <c r="P36" s="152"/>
      <c r="Q36" s="149"/>
      <c r="R36" s="152"/>
      <c r="S36" s="152"/>
      <c r="T36" s="62" t="str">
        <f aca="false">IF(OR($C36="",R36=""),"",IF(R36/IF($R$2="",100,$R$2)&gt;=設定!$I$28,設定!$G$8,IF(R36/IF($R$2="",100,$R$2)&lt;設定!$I$29,設定!$G$10,設定!$G$9)))</f>
        <v/>
      </c>
      <c r="U36" s="62" t="str">
        <f aca="false">IF(OR($C36="",S36=""),"",IF(S36/IF($S$2="",100,$S$2)&gt;=設定!$I$28,設定!$G$8,IF(S36/IF($S$2="",100,$S$2)&lt;設定!$I$29,設定!$G$10,設定!$G$9)))</f>
        <v/>
      </c>
    </row>
    <row r="37" customFormat="false" ht="21" hidden="false" customHeight="true" outlineLevel="0" collapsed="false">
      <c r="A37" s="91" t="str">
        <f aca="false">IF(名簿!$D37="","",名簿!$B37&amp;"")</f>
        <v/>
      </c>
      <c r="B37" s="91" t="str">
        <f aca="false">IF(名簿!$D37="","",名簿!$C37)</f>
        <v/>
      </c>
      <c r="C37" s="59" t="str">
        <f aca="false">IF(名簿!$D37="","",名簿!$D37&amp;IF(名簿!$F37="転出","（転出）",""))</f>
        <v/>
      </c>
      <c r="D37" s="149"/>
      <c r="E37" s="61" t="str">
        <f aca="false">IF(OR($C37="",名簿!$F37="転出"),"",IF($C$2="学級ごと",$A37,IF($C$2="前の単元と同じ",単元04!$E37&amp;"",$D37&amp;"")))</f>
        <v/>
      </c>
      <c r="F37" s="150"/>
      <c r="G37" s="150"/>
      <c r="H37" s="150"/>
      <c r="I37" s="151"/>
      <c r="J37" s="41" t="str">
        <f aca="false">IF($E37="","",$E37&amp;"|"&amp;COUNTIF($E$5:$E37,$E37))</f>
        <v/>
      </c>
      <c r="K37" s="40" t="str">
        <f aca="false">IF($I37="","",LEN($I37))</f>
        <v/>
      </c>
      <c r="L37" s="13"/>
      <c r="M37" s="13"/>
      <c r="N37" s="13"/>
      <c r="O37" s="13"/>
      <c r="P37" s="152"/>
      <c r="Q37" s="149"/>
      <c r="R37" s="152"/>
      <c r="S37" s="152"/>
      <c r="T37" s="62" t="str">
        <f aca="false">IF(OR($C37="",R37=""),"",IF(R37/IF($R$2="",100,$R$2)&gt;=設定!$I$28,設定!$G$8,IF(R37/IF($R$2="",100,$R$2)&lt;設定!$I$29,設定!$G$10,設定!$G$9)))</f>
        <v/>
      </c>
      <c r="U37" s="62" t="str">
        <f aca="false">IF(OR($C37="",S37=""),"",IF(S37/IF($S$2="",100,$S$2)&gt;=設定!$I$28,設定!$G$8,IF(S37/IF($S$2="",100,$S$2)&lt;設定!$I$29,設定!$G$10,設定!$G$9)))</f>
        <v/>
      </c>
    </row>
    <row r="38" customFormat="false" ht="21" hidden="false" customHeight="true" outlineLevel="0" collapsed="false">
      <c r="A38" s="91" t="str">
        <f aca="false">IF(名簿!$D38="","",名簿!$B38&amp;"")</f>
        <v/>
      </c>
      <c r="B38" s="91" t="str">
        <f aca="false">IF(名簿!$D38="","",名簿!$C38)</f>
        <v/>
      </c>
      <c r="C38" s="59" t="str">
        <f aca="false">IF(名簿!$D38="","",名簿!$D38&amp;IF(名簿!$F38="転出","（転出）",""))</f>
        <v/>
      </c>
      <c r="D38" s="149"/>
      <c r="E38" s="61" t="str">
        <f aca="false">IF(OR($C38="",名簿!$F38="転出"),"",IF($C$2="学級ごと",$A38,IF($C$2="前の単元と同じ",単元04!$E38&amp;"",$D38&amp;"")))</f>
        <v/>
      </c>
      <c r="F38" s="150"/>
      <c r="G38" s="150"/>
      <c r="H38" s="150"/>
      <c r="I38" s="151"/>
      <c r="J38" s="41" t="str">
        <f aca="false">IF($E38="","",$E38&amp;"|"&amp;COUNTIF($E$5:$E38,$E38))</f>
        <v/>
      </c>
      <c r="K38" s="40" t="str">
        <f aca="false">IF($I38="","",LEN($I38))</f>
        <v/>
      </c>
      <c r="L38" s="13"/>
      <c r="M38" s="13"/>
      <c r="N38" s="13"/>
      <c r="O38" s="13"/>
      <c r="P38" s="152"/>
      <c r="Q38" s="149"/>
      <c r="R38" s="152"/>
      <c r="S38" s="152"/>
      <c r="T38" s="62" t="str">
        <f aca="false">IF(OR($C38="",R38=""),"",IF(R38/IF($R$2="",100,$R$2)&gt;=設定!$I$28,設定!$G$8,IF(R38/IF($R$2="",100,$R$2)&lt;設定!$I$29,設定!$G$10,設定!$G$9)))</f>
        <v/>
      </c>
      <c r="U38" s="62" t="str">
        <f aca="false">IF(OR($C38="",S38=""),"",IF(S38/IF($S$2="",100,$S$2)&gt;=設定!$I$28,設定!$G$8,IF(S38/IF($S$2="",100,$S$2)&lt;設定!$I$29,設定!$G$10,設定!$G$9)))</f>
        <v/>
      </c>
    </row>
    <row r="39" customFormat="false" ht="21" hidden="false" customHeight="true" outlineLevel="0" collapsed="false">
      <c r="A39" s="91" t="str">
        <f aca="false">IF(名簿!$D39="","",名簿!$B39&amp;"")</f>
        <v/>
      </c>
      <c r="B39" s="91" t="str">
        <f aca="false">IF(名簿!$D39="","",名簿!$C39)</f>
        <v/>
      </c>
      <c r="C39" s="59" t="str">
        <f aca="false">IF(名簿!$D39="","",名簿!$D39&amp;IF(名簿!$F39="転出","（転出）",""))</f>
        <v/>
      </c>
      <c r="D39" s="149"/>
      <c r="E39" s="61" t="str">
        <f aca="false">IF(OR($C39="",名簿!$F39="転出"),"",IF($C$2="学級ごと",$A39,IF($C$2="前の単元と同じ",単元04!$E39&amp;"",$D39&amp;"")))</f>
        <v/>
      </c>
      <c r="F39" s="150"/>
      <c r="G39" s="150"/>
      <c r="H39" s="150"/>
      <c r="I39" s="151"/>
      <c r="J39" s="41" t="str">
        <f aca="false">IF($E39="","",$E39&amp;"|"&amp;COUNTIF($E$5:$E39,$E39))</f>
        <v/>
      </c>
      <c r="K39" s="40" t="str">
        <f aca="false">IF($I39="","",LEN($I39))</f>
        <v/>
      </c>
      <c r="L39" s="13"/>
      <c r="M39" s="13"/>
      <c r="N39" s="13"/>
      <c r="O39" s="13"/>
      <c r="P39" s="152"/>
      <c r="Q39" s="149"/>
      <c r="R39" s="152"/>
      <c r="S39" s="152"/>
      <c r="T39" s="62" t="str">
        <f aca="false">IF(OR($C39="",R39=""),"",IF(R39/IF($R$2="",100,$R$2)&gt;=設定!$I$28,設定!$G$8,IF(R39/IF($R$2="",100,$R$2)&lt;設定!$I$29,設定!$G$10,設定!$G$9)))</f>
        <v/>
      </c>
      <c r="U39" s="62" t="str">
        <f aca="false">IF(OR($C39="",S39=""),"",IF(S39/IF($S$2="",100,$S$2)&gt;=設定!$I$28,設定!$G$8,IF(S39/IF($S$2="",100,$S$2)&lt;設定!$I$29,設定!$G$10,設定!$G$9)))</f>
        <v/>
      </c>
    </row>
    <row r="40" customFormat="false" ht="21" hidden="false" customHeight="true" outlineLevel="0" collapsed="false">
      <c r="A40" s="91" t="str">
        <f aca="false">IF(名簿!$D40="","",名簿!$B40&amp;"")</f>
        <v/>
      </c>
      <c r="B40" s="91" t="str">
        <f aca="false">IF(名簿!$D40="","",名簿!$C40)</f>
        <v/>
      </c>
      <c r="C40" s="59" t="str">
        <f aca="false">IF(名簿!$D40="","",名簿!$D40&amp;IF(名簿!$F40="転出","（転出）",""))</f>
        <v/>
      </c>
      <c r="D40" s="149"/>
      <c r="E40" s="61" t="str">
        <f aca="false">IF(OR($C40="",名簿!$F40="転出"),"",IF($C$2="学級ごと",$A40,IF($C$2="前の単元と同じ",単元04!$E40&amp;"",$D40&amp;"")))</f>
        <v/>
      </c>
      <c r="F40" s="150"/>
      <c r="G40" s="150"/>
      <c r="H40" s="150"/>
      <c r="I40" s="151"/>
      <c r="J40" s="41" t="str">
        <f aca="false">IF($E40="","",$E40&amp;"|"&amp;COUNTIF($E$5:$E40,$E40))</f>
        <v/>
      </c>
      <c r="K40" s="40" t="str">
        <f aca="false">IF($I40="","",LEN($I40))</f>
        <v/>
      </c>
      <c r="L40" s="13"/>
      <c r="M40" s="13"/>
      <c r="N40" s="13"/>
      <c r="O40" s="13"/>
      <c r="P40" s="152"/>
      <c r="Q40" s="149"/>
      <c r="R40" s="152"/>
      <c r="S40" s="152"/>
      <c r="T40" s="62" t="str">
        <f aca="false">IF(OR($C40="",R40=""),"",IF(R40/IF($R$2="",100,$R$2)&gt;=設定!$I$28,設定!$G$8,IF(R40/IF($R$2="",100,$R$2)&lt;設定!$I$29,設定!$G$10,設定!$G$9)))</f>
        <v/>
      </c>
      <c r="U40" s="62" t="str">
        <f aca="false">IF(OR($C40="",S40=""),"",IF(S40/IF($S$2="",100,$S$2)&gt;=設定!$I$28,設定!$G$8,IF(S40/IF($S$2="",100,$S$2)&lt;設定!$I$29,設定!$G$10,設定!$G$9)))</f>
        <v/>
      </c>
    </row>
    <row r="41" customFormat="false" ht="21" hidden="false" customHeight="true" outlineLevel="0" collapsed="false">
      <c r="A41" s="91" t="str">
        <f aca="false">IF(名簿!$D41="","",名簿!$B41&amp;"")</f>
        <v/>
      </c>
      <c r="B41" s="91" t="str">
        <f aca="false">IF(名簿!$D41="","",名簿!$C41)</f>
        <v/>
      </c>
      <c r="C41" s="59" t="str">
        <f aca="false">IF(名簿!$D41="","",名簿!$D41&amp;IF(名簿!$F41="転出","（転出）",""))</f>
        <v/>
      </c>
      <c r="D41" s="149"/>
      <c r="E41" s="61" t="str">
        <f aca="false">IF(OR($C41="",名簿!$F41="転出"),"",IF($C$2="学級ごと",$A41,IF($C$2="前の単元と同じ",単元04!$E41&amp;"",$D41&amp;"")))</f>
        <v/>
      </c>
      <c r="F41" s="150"/>
      <c r="G41" s="150"/>
      <c r="H41" s="150"/>
      <c r="I41" s="151"/>
      <c r="J41" s="41" t="str">
        <f aca="false">IF($E41="","",$E41&amp;"|"&amp;COUNTIF($E$5:$E41,$E41))</f>
        <v/>
      </c>
      <c r="K41" s="40" t="str">
        <f aca="false">IF($I41="","",LEN($I41))</f>
        <v/>
      </c>
      <c r="L41" s="13"/>
      <c r="M41" s="13"/>
      <c r="N41" s="13"/>
      <c r="O41" s="13"/>
      <c r="P41" s="152"/>
      <c r="Q41" s="149"/>
      <c r="R41" s="152"/>
      <c r="S41" s="152"/>
      <c r="T41" s="62" t="str">
        <f aca="false">IF(OR($C41="",R41=""),"",IF(R41/IF($R$2="",100,$R$2)&gt;=設定!$I$28,設定!$G$8,IF(R41/IF($R$2="",100,$R$2)&lt;設定!$I$29,設定!$G$10,設定!$G$9)))</f>
        <v/>
      </c>
      <c r="U41" s="62" t="str">
        <f aca="false">IF(OR($C41="",S41=""),"",IF(S41/IF($S$2="",100,$S$2)&gt;=設定!$I$28,設定!$G$8,IF(S41/IF($S$2="",100,$S$2)&lt;設定!$I$29,設定!$G$10,設定!$G$9)))</f>
        <v/>
      </c>
    </row>
    <row r="42" customFormat="false" ht="21" hidden="false" customHeight="true" outlineLevel="0" collapsed="false">
      <c r="A42" s="91" t="str">
        <f aca="false">IF(名簿!$D42="","",名簿!$B42&amp;"")</f>
        <v/>
      </c>
      <c r="B42" s="91" t="str">
        <f aca="false">IF(名簿!$D42="","",名簿!$C42)</f>
        <v/>
      </c>
      <c r="C42" s="59" t="str">
        <f aca="false">IF(名簿!$D42="","",名簿!$D42&amp;IF(名簿!$F42="転出","（転出）",""))</f>
        <v/>
      </c>
      <c r="D42" s="149"/>
      <c r="E42" s="61" t="str">
        <f aca="false">IF(OR($C42="",名簿!$F42="転出"),"",IF($C$2="学級ごと",$A42,IF($C$2="前の単元と同じ",単元04!$E42&amp;"",$D42&amp;"")))</f>
        <v/>
      </c>
      <c r="F42" s="150"/>
      <c r="G42" s="150"/>
      <c r="H42" s="150"/>
      <c r="I42" s="151"/>
      <c r="J42" s="41" t="str">
        <f aca="false">IF($E42="","",$E42&amp;"|"&amp;COUNTIF($E$5:$E42,$E42))</f>
        <v/>
      </c>
      <c r="K42" s="40" t="str">
        <f aca="false">IF($I42="","",LEN($I42))</f>
        <v/>
      </c>
      <c r="L42" s="13"/>
      <c r="M42" s="13"/>
      <c r="N42" s="13"/>
      <c r="O42" s="13"/>
      <c r="P42" s="152"/>
      <c r="Q42" s="149"/>
      <c r="R42" s="152"/>
      <c r="S42" s="152"/>
      <c r="T42" s="62" t="str">
        <f aca="false">IF(OR($C42="",R42=""),"",IF(R42/IF($R$2="",100,$R$2)&gt;=設定!$I$28,設定!$G$8,IF(R42/IF($R$2="",100,$R$2)&lt;設定!$I$29,設定!$G$10,設定!$G$9)))</f>
        <v/>
      </c>
      <c r="U42" s="62" t="str">
        <f aca="false">IF(OR($C42="",S42=""),"",IF(S42/IF($S$2="",100,$S$2)&gt;=設定!$I$28,設定!$G$8,IF(S42/IF($S$2="",100,$S$2)&lt;設定!$I$29,設定!$G$10,設定!$G$9)))</f>
        <v/>
      </c>
    </row>
    <row r="43" customFormat="false" ht="21" hidden="false" customHeight="true" outlineLevel="0" collapsed="false">
      <c r="A43" s="91" t="str">
        <f aca="false">IF(名簿!$D43="","",名簿!$B43&amp;"")</f>
        <v/>
      </c>
      <c r="B43" s="91" t="str">
        <f aca="false">IF(名簿!$D43="","",名簿!$C43)</f>
        <v/>
      </c>
      <c r="C43" s="59" t="str">
        <f aca="false">IF(名簿!$D43="","",名簿!$D43&amp;IF(名簿!$F43="転出","（転出）",""))</f>
        <v/>
      </c>
      <c r="D43" s="149"/>
      <c r="E43" s="61" t="str">
        <f aca="false">IF(OR($C43="",名簿!$F43="転出"),"",IF($C$2="学級ごと",$A43,IF($C$2="前の単元と同じ",単元04!$E43&amp;"",$D43&amp;"")))</f>
        <v/>
      </c>
      <c r="F43" s="150"/>
      <c r="G43" s="150"/>
      <c r="H43" s="150"/>
      <c r="I43" s="151"/>
      <c r="J43" s="41" t="str">
        <f aca="false">IF($E43="","",$E43&amp;"|"&amp;COUNTIF($E$5:$E43,$E43))</f>
        <v/>
      </c>
      <c r="K43" s="40" t="str">
        <f aca="false">IF($I43="","",LEN($I43))</f>
        <v/>
      </c>
      <c r="L43" s="13"/>
      <c r="M43" s="13"/>
      <c r="N43" s="13"/>
      <c r="O43" s="13"/>
      <c r="P43" s="152"/>
      <c r="Q43" s="149"/>
      <c r="R43" s="152"/>
      <c r="S43" s="152"/>
      <c r="T43" s="62" t="str">
        <f aca="false">IF(OR($C43="",R43=""),"",IF(R43/IF($R$2="",100,$R$2)&gt;=設定!$I$28,設定!$G$8,IF(R43/IF($R$2="",100,$R$2)&lt;設定!$I$29,設定!$G$10,設定!$G$9)))</f>
        <v/>
      </c>
      <c r="U43" s="62" t="str">
        <f aca="false">IF(OR($C43="",S43=""),"",IF(S43/IF($S$2="",100,$S$2)&gt;=設定!$I$28,設定!$G$8,IF(S43/IF($S$2="",100,$S$2)&lt;設定!$I$29,設定!$G$10,設定!$G$9)))</f>
        <v/>
      </c>
    </row>
    <row r="44" customFormat="false" ht="21" hidden="false" customHeight="true" outlineLevel="0" collapsed="false">
      <c r="A44" s="91" t="str">
        <f aca="false">IF(名簿!$D44="","",名簿!$B44&amp;"")</f>
        <v/>
      </c>
      <c r="B44" s="91" t="str">
        <f aca="false">IF(名簿!$D44="","",名簿!$C44)</f>
        <v/>
      </c>
      <c r="C44" s="59" t="str">
        <f aca="false">IF(名簿!$D44="","",名簿!$D44&amp;IF(名簿!$F44="転出","（転出）",""))</f>
        <v/>
      </c>
      <c r="D44" s="149"/>
      <c r="E44" s="61" t="str">
        <f aca="false">IF(OR($C44="",名簿!$F44="転出"),"",IF($C$2="学級ごと",$A44,IF($C$2="前の単元と同じ",単元04!$E44&amp;"",$D44&amp;"")))</f>
        <v/>
      </c>
      <c r="F44" s="150"/>
      <c r="G44" s="150"/>
      <c r="H44" s="150"/>
      <c r="I44" s="151"/>
      <c r="J44" s="41" t="str">
        <f aca="false">IF($E44="","",$E44&amp;"|"&amp;COUNTIF($E$5:$E44,$E44))</f>
        <v/>
      </c>
      <c r="K44" s="40" t="str">
        <f aca="false">IF($I44="","",LEN($I44))</f>
        <v/>
      </c>
      <c r="L44" s="13"/>
      <c r="M44" s="13"/>
      <c r="N44" s="13"/>
      <c r="O44" s="13"/>
      <c r="P44" s="152"/>
      <c r="Q44" s="149"/>
      <c r="R44" s="152"/>
      <c r="S44" s="152"/>
      <c r="T44" s="62" t="str">
        <f aca="false">IF(OR($C44="",R44=""),"",IF(R44/IF($R$2="",100,$R$2)&gt;=設定!$I$28,設定!$G$8,IF(R44/IF($R$2="",100,$R$2)&lt;設定!$I$29,設定!$G$10,設定!$G$9)))</f>
        <v/>
      </c>
      <c r="U44" s="62" t="str">
        <f aca="false">IF(OR($C44="",S44=""),"",IF(S44/IF($S$2="",100,$S$2)&gt;=設定!$I$28,設定!$G$8,IF(S44/IF($S$2="",100,$S$2)&lt;設定!$I$29,設定!$G$10,設定!$G$9)))</f>
        <v/>
      </c>
    </row>
    <row r="45" customFormat="false" ht="21" hidden="false" customHeight="true" outlineLevel="0" collapsed="false">
      <c r="A45" s="91" t="str">
        <f aca="false">IF(名簿!$D45="","",名簿!$B45&amp;"")</f>
        <v/>
      </c>
      <c r="B45" s="91" t="str">
        <f aca="false">IF(名簿!$D45="","",名簿!$C45)</f>
        <v/>
      </c>
      <c r="C45" s="59" t="str">
        <f aca="false">IF(名簿!$D45="","",名簿!$D45&amp;IF(名簿!$F45="転出","（転出）",""))</f>
        <v/>
      </c>
      <c r="D45" s="149"/>
      <c r="E45" s="61" t="str">
        <f aca="false">IF(OR($C45="",名簿!$F45="転出"),"",IF($C$2="学級ごと",$A45,IF($C$2="前の単元と同じ",単元04!$E45&amp;"",$D45&amp;"")))</f>
        <v/>
      </c>
      <c r="F45" s="150"/>
      <c r="G45" s="150"/>
      <c r="H45" s="150"/>
      <c r="I45" s="151"/>
      <c r="J45" s="41" t="str">
        <f aca="false">IF($E45="","",$E45&amp;"|"&amp;COUNTIF($E$5:$E45,$E45))</f>
        <v/>
      </c>
      <c r="K45" s="40" t="str">
        <f aca="false">IF($I45="","",LEN($I45))</f>
        <v/>
      </c>
      <c r="L45" s="13"/>
      <c r="M45" s="13"/>
      <c r="N45" s="13"/>
      <c r="O45" s="13"/>
      <c r="P45" s="152"/>
      <c r="Q45" s="149"/>
      <c r="R45" s="152"/>
      <c r="S45" s="152"/>
      <c r="T45" s="62" t="str">
        <f aca="false">IF(OR($C45="",R45=""),"",IF(R45/IF($R$2="",100,$R$2)&gt;=設定!$I$28,設定!$G$8,IF(R45/IF($R$2="",100,$R$2)&lt;設定!$I$29,設定!$G$10,設定!$G$9)))</f>
        <v/>
      </c>
      <c r="U45" s="62" t="str">
        <f aca="false">IF(OR($C45="",S45=""),"",IF(S45/IF($S$2="",100,$S$2)&gt;=設定!$I$28,設定!$G$8,IF(S45/IF($S$2="",100,$S$2)&lt;設定!$I$29,設定!$G$10,設定!$G$9)))</f>
        <v/>
      </c>
    </row>
    <row r="46" customFormat="false" ht="21" hidden="false" customHeight="true" outlineLevel="0" collapsed="false">
      <c r="A46" s="91" t="str">
        <f aca="false">IF(名簿!$D46="","",名簿!$B46&amp;"")</f>
        <v/>
      </c>
      <c r="B46" s="91" t="str">
        <f aca="false">IF(名簿!$D46="","",名簿!$C46)</f>
        <v/>
      </c>
      <c r="C46" s="59" t="str">
        <f aca="false">IF(名簿!$D46="","",名簿!$D46&amp;IF(名簿!$F46="転出","（転出）",""))</f>
        <v/>
      </c>
      <c r="D46" s="149"/>
      <c r="E46" s="61" t="str">
        <f aca="false">IF(OR($C46="",名簿!$F46="転出"),"",IF($C$2="学級ごと",$A46,IF($C$2="前の単元と同じ",単元04!$E46&amp;"",$D46&amp;"")))</f>
        <v/>
      </c>
      <c r="F46" s="150"/>
      <c r="G46" s="150"/>
      <c r="H46" s="150"/>
      <c r="I46" s="151"/>
      <c r="J46" s="41" t="str">
        <f aca="false">IF($E46="","",$E46&amp;"|"&amp;COUNTIF($E$5:$E46,$E46))</f>
        <v/>
      </c>
      <c r="K46" s="40" t="str">
        <f aca="false">IF($I46="","",LEN($I46))</f>
        <v/>
      </c>
      <c r="L46" s="13"/>
      <c r="M46" s="13"/>
      <c r="N46" s="13"/>
      <c r="O46" s="13"/>
      <c r="P46" s="152"/>
      <c r="Q46" s="149"/>
      <c r="R46" s="152"/>
      <c r="S46" s="152"/>
      <c r="T46" s="62" t="str">
        <f aca="false">IF(OR($C46="",R46=""),"",IF(R46/IF($R$2="",100,$R$2)&gt;=設定!$I$28,設定!$G$8,IF(R46/IF($R$2="",100,$R$2)&lt;設定!$I$29,設定!$G$10,設定!$G$9)))</f>
        <v/>
      </c>
      <c r="U46" s="62" t="str">
        <f aca="false">IF(OR($C46="",S46=""),"",IF(S46/IF($S$2="",100,$S$2)&gt;=設定!$I$28,設定!$G$8,IF(S46/IF($S$2="",100,$S$2)&lt;設定!$I$29,設定!$G$10,設定!$G$9)))</f>
        <v/>
      </c>
    </row>
    <row r="47" customFormat="false" ht="21" hidden="false" customHeight="true" outlineLevel="0" collapsed="false">
      <c r="A47" s="91" t="str">
        <f aca="false">IF(名簿!$D47="","",名簿!$B47&amp;"")</f>
        <v/>
      </c>
      <c r="B47" s="91" t="str">
        <f aca="false">IF(名簿!$D47="","",名簿!$C47)</f>
        <v/>
      </c>
      <c r="C47" s="59" t="str">
        <f aca="false">IF(名簿!$D47="","",名簿!$D47&amp;IF(名簿!$F47="転出","（転出）",""))</f>
        <v/>
      </c>
      <c r="D47" s="149"/>
      <c r="E47" s="61" t="str">
        <f aca="false">IF(OR($C47="",名簿!$F47="転出"),"",IF($C$2="学級ごと",$A47,IF($C$2="前の単元と同じ",単元04!$E47&amp;"",$D47&amp;"")))</f>
        <v/>
      </c>
      <c r="F47" s="150"/>
      <c r="G47" s="150"/>
      <c r="H47" s="150"/>
      <c r="I47" s="151"/>
      <c r="J47" s="41" t="str">
        <f aca="false">IF($E47="","",$E47&amp;"|"&amp;COUNTIF($E$5:$E47,$E47))</f>
        <v/>
      </c>
      <c r="K47" s="40" t="str">
        <f aca="false">IF($I47="","",LEN($I47))</f>
        <v/>
      </c>
      <c r="L47" s="13"/>
      <c r="M47" s="13"/>
      <c r="N47" s="13"/>
      <c r="O47" s="13"/>
      <c r="P47" s="152"/>
      <c r="Q47" s="149"/>
      <c r="R47" s="152"/>
      <c r="S47" s="152"/>
      <c r="T47" s="62" t="str">
        <f aca="false">IF(OR($C47="",R47=""),"",IF(R47/IF($R$2="",100,$R$2)&gt;=設定!$I$28,設定!$G$8,IF(R47/IF($R$2="",100,$R$2)&lt;設定!$I$29,設定!$G$10,設定!$G$9)))</f>
        <v/>
      </c>
      <c r="U47" s="62" t="str">
        <f aca="false">IF(OR($C47="",S47=""),"",IF(S47/IF($S$2="",100,$S$2)&gt;=設定!$I$28,設定!$G$8,IF(S47/IF($S$2="",100,$S$2)&lt;設定!$I$29,設定!$G$10,設定!$G$9)))</f>
        <v/>
      </c>
    </row>
    <row r="48" customFormat="false" ht="21" hidden="false" customHeight="true" outlineLevel="0" collapsed="false">
      <c r="A48" s="91" t="str">
        <f aca="false">IF(名簿!$D48="","",名簿!$B48&amp;"")</f>
        <v/>
      </c>
      <c r="B48" s="91" t="str">
        <f aca="false">IF(名簿!$D48="","",名簿!$C48)</f>
        <v/>
      </c>
      <c r="C48" s="59" t="str">
        <f aca="false">IF(名簿!$D48="","",名簿!$D48&amp;IF(名簿!$F48="転出","（転出）",""))</f>
        <v/>
      </c>
      <c r="D48" s="149"/>
      <c r="E48" s="61" t="str">
        <f aca="false">IF(OR($C48="",名簿!$F48="転出"),"",IF($C$2="学級ごと",$A48,IF($C$2="前の単元と同じ",単元04!$E48&amp;"",$D48&amp;"")))</f>
        <v/>
      </c>
      <c r="F48" s="150"/>
      <c r="G48" s="150"/>
      <c r="H48" s="150"/>
      <c r="I48" s="151"/>
      <c r="J48" s="41" t="str">
        <f aca="false">IF($E48="","",$E48&amp;"|"&amp;COUNTIF($E$5:$E48,$E48))</f>
        <v/>
      </c>
      <c r="K48" s="40" t="str">
        <f aca="false">IF($I48="","",LEN($I48))</f>
        <v/>
      </c>
      <c r="L48" s="13"/>
      <c r="M48" s="13"/>
      <c r="N48" s="13"/>
      <c r="O48" s="13"/>
      <c r="P48" s="152"/>
      <c r="Q48" s="149"/>
      <c r="R48" s="152"/>
      <c r="S48" s="152"/>
      <c r="T48" s="62" t="str">
        <f aca="false">IF(OR($C48="",R48=""),"",IF(R48/IF($R$2="",100,$R$2)&gt;=設定!$I$28,設定!$G$8,IF(R48/IF($R$2="",100,$R$2)&lt;設定!$I$29,設定!$G$10,設定!$G$9)))</f>
        <v/>
      </c>
      <c r="U48" s="62" t="str">
        <f aca="false">IF(OR($C48="",S48=""),"",IF(S48/IF($S$2="",100,$S$2)&gt;=設定!$I$28,設定!$G$8,IF(S48/IF($S$2="",100,$S$2)&lt;設定!$I$29,設定!$G$10,設定!$G$9)))</f>
        <v/>
      </c>
    </row>
    <row r="49" customFormat="false" ht="21" hidden="false" customHeight="true" outlineLevel="0" collapsed="false">
      <c r="A49" s="91" t="str">
        <f aca="false">IF(名簿!$D49="","",名簿!$B49&amp;"")</f>
        <v/>
      </c>
      <c r="B49" s="91" t="str">
        <f aca="false">IF(名簿!$D49="","",名簿!$C49)</f>
        <v/>
      </c>
      <c r="C49" s="59" t="str">
        <f aca="false">IF(名簿!$D49="","",名簿!$D49&amp;IF(名簿!$F49="転出","（転出）",""))</f>
        <v/>
      </c>
      <c r="D49" s="149"/>
      <c r="E49" s="61" t="str">
        <f aca="false">IF(OR($C49="",名簿!$F49="転出"),"",IF($C$2="学級ごと",$A49,IF($C$2="前の単元と同じ",単元04!$E49&amp;"",$D49&amp;"")))</f>
        <v/>
      </c>
      <c r="F49" s="150"/>
      <c r="G49" s="150"/>
      <c r="H49" s="150"/>
      <c r="I49" s="151"/>
      <c r="J49" s="41" t="str">
        <f aca="false">IF($E49="","",$E49&amp;"|"&amp;COUNTIF($E$5:$E49,$E49))</f>
        <v/>
      </c>
      <c r="K49" s="40" t="str">
        <f aca="false">IF($I49="","",LEN($I49))</f>
        <v/>
      </c>
      <c r="L49" s="13"/>
      <c r="M49" s="13"/>
      <c r="N49" s="13"/>
      <c r="O49" s="13"/>
      <c r="P49" s="152"/>
      <c r="Q49" s="149"/>
      <c r="R49" s="152"/>
      <c r="S49" s="152"/>
      <c r="T49" s="62" t="str">
        <f aca="false">IF(OR($C49="",R49=""),"",IF(R49/IF($R$2="",100,$R$2)&gt;=設定!$I$28,設定!$G$8,IF(R49/IF($R$2="",100,$R$2)&lt;設定!$I$29,設定!$G$10,設定!$G$9)))</f>
        <v/>
      </c>
      <c r="U49" s="62" t="str">
        <f aca="false">IF(OR($C49="",S49=""),"",IF(S49/IF($S$2="",100,$S$2)&gt;=設定!$I$28,設定!$G$8,IF(S49/IF($S$2="",100,$S$2)&lt;設定!$I$29,設定!$G$10,設定!$G$9)))</f>
        <v/>
      </c>
    </row>
    <row r="50" customFormat="false" ht="21" hidden="false" customHeight="true" outlineLevel="0" collapsed="false">
      <c r="A50" s="91" t="str">
        <f aca="false">IF(名簿!$D50="","",名簿!$B50&amp;"")</f>
        <v/>
      </c>
      <c r="B50" s="91" t="str">
        <f aca="false">IF(名簿!$D50="","",名簿!$C50)</f>
        <v/>
      </c>
      <c r="C50" s="59" t="str">
        <f aca="false">IF(名簿!$D50="","",名簿!$D50&amp;IF(名簿!$F50="転出","（転出）",""))</f>
        <v/>
      </c>
      <c r="D50" s="149"/>
      <c r="E50" s="61" t="str">
        <f aca="false">IF(OR($C50="",名簿!$F50="転出"),"",IF($C$2="学級ごと",$A50,IF($C$2="前の単元と同じ",単元04!$E50&amp;"",$D50&amp;"")))</f>
        <v/>
      </c>
      <c r="F50" s="150"/>
      <c r="G50" s="150"/>
      <c r="H50" s="150"/>
      <c r="I50" s="151"/>
      <c r="J50" s="41" t="str">
        <f aca="false">IF($E50="","",$E50&amp;"|"&amp;COUNTIF($E$5:$E50,$E50))</f>
        <v/>
      </c>
      <c r="K50" s="40" t="str">
        <f aca="false">IF($I50="","",LEN($I50))</f>
        <v/>
      </c>
      <c r="L50" s="13"/>
      <c r="M50" s="13"/>
      <c r="N50" s="13"/>
      <c r="O50" s="13"/>
      <c r="P50" s="152"/>
      <c r="Q50" s="149"/>
      <c r="R50" s="152"/>
      <c r="S50" s="152"/>
      <c r="T50" s="62" t="str">
        <f aca="false">IF(OR($C50="",R50=""),"",IF(R50/IF($R$2="",100,$R$2)&gt;=設定!$I$28,設定!$G$8,IF(R50/IF($R$2="",100,$R$2)&lt;設定!$I$29,設定!$G$10,設定!$G$9)))</f>
        <v/>
      </c>
      <c r="U50" s="62" t="str">
        <f aca="false">IF(OR($C50="",S50=""),"",IF(S50/IF($S$2="",100,$S$2)&gt;=設定!$I$28,設定!$G$8,IF(S50/IF($S$2="",100,$S$2)&lt;設定!$I$29,設定!$G$10,設定!$G$9)))</f>
        <v/>
      </c>
    </row>
    <row r="51" customFormat="false" ht="21" hidden="false" customHeight="true" outlineLevel="0" collapsed="false">
      <c r="A51" s="91" t="str">
        <f aca="false">IF(名簿!$D51="","",名簿!$B51&amp;"")</f>
        <v/>
      </c>
      <c r="B51" s="91" t="str">
        <f aca="false">IF(名簿!$D51="","",名簿!$C51)</f>
        <v/>
      </c>
      <c r="C51" s="59" t="str">
        <f aca="false">IF(名簿!$D51="","",名簿!$D51&amp;IF(名簿!$F51="転出","（転出）",""))</f>
        <v/>
      </c>
      <c r="D51" s="149"/>
      <c r="E51" s="61" t="str">
        <f aca="false">IF(OR($C51="",名簿!$F51="転出"),"",IF($C$2="学級ごと",$A51,IF($C$2="前の単元と同じ",単元04!$E51&amp;"",$D51&amp;"")))</f>
        <v/>
      </c>
      <c r="F51" s="150"/>
      <c r="G51" s="150"/>
      <c r="H51" s="150"/>
      <c r="I51" s="151"/>
      <c r="J51" s="41" t="str">
        <f aca="false">IF($E51="","",$E51&amp;"|"&amp;COUNTIF($E$5:$E51,$E51))</f>
        <v/>
      </c>
      <c r="K51" s="40" t="str">
        <f aca="false">IF($I51="","",LEN($I51))</f>
        <v/>
      </c>
      <c r="L51" s="13"/>
      <c r="M51" s="13"/>
      <c r="N51" s="13"/>
      <c r="O51" s="13"/>
      <c r="P51" s="152"/>
      <c r="Q51" s="149"/>
      <c r="R51" s="152"/>
      <c r="S51" s="152"/>
      <c r="T51" s="62" t="str">
        <f aca="false">IF(OR($C51="",R51=""),"",IF(R51/IF($R$2="",100,$R$2)&gt;=設定!$I$28,設定!$G$8,IF(R51/IF($R$2="",100,$R$2)&lt;設定!$I$29,設定!$G$10,設定!$G$9)))</f>
        <v/>
      </c>
      <c r="U51" s="62" t="str">
        <f aca="false">IF(OR($C51="",S51=""),"",IF(S51/IF($S$2="",100,$S$2)&gt;=設定!$I$28,設定!$G$8,IF(S51/IF($S$2="",100,$S$2)&lt;設定!$I$29,設定!$G$10,設定!$G$9)))</f>
        <v/>
      </c>
    </row>
    <row r="52" customFormat="false" ht="21" hidden="false" customHeight="true" outlineLevel="0" collapsed="false">
      <c r="A52" s="91" t="str">
        <f aca="false">IF(名簿!$D52="","",名簿!$B52&amp;"")</f>
        <v/>
      </c>
      <c r="B52" s="91" t="str">
        <f aca="false">IF(名簿!$D52="","",名簿!$C52)</f>
        <v/>
      </c>
      <c r="C52" s="59" t="str">
        <f aca="false">IF(名簿!$D52="","",名簿!$D52&amp;IF(名簿!$F52="転出","（転出）",""))</f>
        <v/>
      </c>
      <c r="D52" s="149"/>
      <c r="E52" s="61" t="str">
        <f aca="false">IF(OR($C52="",名簿!$F52="転出"),"",IF($C$2="学級ごと",$A52,IF($C$2="前の単元と同じ",単元04!$E52&amp;"",$D52&amp;"")))</f>
        <v/>
      </c>
      <c r="F52" s="150"/>
      <c r="G52" s="150"/>
      <c r="H52" s="150"/>
      <c r="I52" s="151"/>
      <c r="J52" s="41" t="str">
        <f aca="false">IF($E52="","",$E52&amp;"|"&amp;COUNTIF($E$5:$E52,$E52))</f>
        <v/>
      </c>
      <c r="K52" s="40" t="str">
        <f aca="false">IF($I52="","",LEN($I52))</f>
        <v/>
      </c>
      <c r="L52" s="13"/>
      <c r="M52" s="13"/>
      <c r="N52" s="13"/>
      <c r="O52" s="13"/>
      <c r="P52" s="152"/>
      <c r="Q52" s="149"/>
      <c r="R52" s="152"/>
      <c r="S52" s="152"/>
      <c r="T52" s="62" t="str">
        <f aca="false">IF(OR($C52="",R52=""),"",IF(R52/IF($R$2="",100,$R$2)&gt;=設定!$I$28,設定!$G$8,IF(R52/IF($R$2="",100,$R$2)&lt;設定!$I$29,設定!$G$10,設定!$G$9)))</f>
        <v/>
      </c>
      <c r="U52" s="62" t="str">
        <f aca="false">IF(OR($C52="",S52=""),"",IF(S52/IF($S$2="",100,$S$2)&gt;=設定!$I$28,設定!$G$8,IF(S52/IF($S$2="",100,$S$2)&lt;設定!$I$29,設定!$G$10,設定!$G$9)))</f>
        <v/>
      </c>
    </row>
    <row r="53" customFormat="false" ht="21" hidden="false" customHeight="true" outlineLevel="0" collapsed="false">
      <c r="A53" s="91" t="str">
        <f aca="false">IF(名簿!$D53="","",名簿!$B53&amp;"")</f>
        <v/>
      </c>
      <c r="B53" s="91" t="str">
        <f aca="false">IF(名簿!$D53="","",名簿!$C53)</f>
        <v/>
      </c>
      <c r="C53" s="59" t="str">
        <f aca="false">IF(名簿!$D53="","",名簿!$D53&amp;IF(名簿!$F53="転出","（転出）",""))</f>
        <v/>
      </c>
      <c r="D53" s="149"/>
      <c r="E53" s="61" t="str">
        <f aca="false">IF(OR($C53="",名簿!$F53="転出"),"",IF($C$2="学級ごと",$A53,IF($C$2="前の単元と同じ",単元04!$E53&amp;"",$D53&amp;"")))</f>
        <v/>
      </c>
      <c r="F53" s="150"/>
      <c r="G53" s="150"/>
      <c r="H53" s="150"/>
      <c r="I53" s="151"/>
      <c r="J53" s="41" t="str">
        <f aca="false">IF($E53="","",$E53&amp;"|"&amp;COUNTIF($E$5:$E53,$E53))</f>
        <v/>
      </c>
      <c r="K53" s="40" t="str">
        <f aca="false">IF($I53="","",LEN($I53))</f>
        <v/>
      </c>
      <c r="L53" s="13"/>
      <c r="M53" s="13"/>
      <c r="N53" s="13"/>
      <c r="O53" s="13"/>
      <c r="P53" s="152"/>
      <c r="Q53" s="149"/>
      <c r="R53" s="152"/>
      <c r="S53" s="152"/>
      <c r="T53" s="62" t="str">
        <f aca="false">IF(OR($C53="",R53=""),"",IF(R53/IF($R$2="",100,$R$2)&gt;=設定!$I$28,設定!$G$8,IF(R53/IF($R$2="",100,$R$2)&lt;設定!$I$29,設定!$G$10,設定!$G$9)))</f>
        <v/>
      </c>
      <c r="U53" s="62" t="str">
        <f aca="false">IF(OR($C53="",S53=""),"",IF(S53/IF($S$2="",100,$S$2)&gt;=設定!$I$28,設定!$G$8,IF(S53/IF($S$2="",100,$S$2)&lt;設定!$I$29,設定!$G$10,設定!$G$9)))</f>
        <v/>
      </c>
    </row>
    <row r="54" customFormat="false" ht="21" hidden="false" customHeight="true" outlineLevel="0" collapsed="false">
      <c r="A54" s="91" t="str">
        <f aca="false">IF(名簿!$D54="","",名簿!$B54&amp;"")</f>
        <v/>
      </c>
      <c r="B54" s="91" t="str">
        <f aca="false">IF(名簿!$D54="","",名簿!$C54)</f>
        <v/>
      </c>
      <c r="C54" s="59" t="str">
        <f aca="false">IF(名簿!$D54="","",名簿!$D54&amp;IF(名簿!$F54="転出","（転出）",""))</f>
        <v/>
      </c>
      <c r="D54" s="149"/>
      <c r="E54" s="61" t="str">
        <f aca="false">IF(OR($C54="",名簿!$F54="転出"),"",IF($C$2="学級ごと",$A54,IF($C$2="前の単元と同じ",単元04!$E54&amp;"",$D54&amp;"")))</f>
        <v/>
      </c>
      <c r="F54" s="150"/>
      <c r="G54" s="150"/>
      <c r="H54" s="150"/>
      <c r="I54" s="151"/>
      <c r="J54" s="41" t="str">
        <f aca="false">IF($E54="","",$E54&amp;"|"&amp;COUNTIF($E$5:$E54,$E54))</f>
        <v/>
      </c>
      <c r="K54" s="40" t="str">
        <f aca="false">IF($I54="","",LEN($I54))</f>
        <v/>
      </c>
      <c r="L54" s="13"/>
      <c r="M54" s="13"/>
      <c r="N54" s="13"/>
      <c r="O54" s="13"/>
      <c r="P54" s="152"/>
      <c r="Q54" s="149"/>
      <c r="R54" s="152"/>
      <c r="S54" s="152"/>
      <c r="T54" s="62" t="str">
        <f aca="false">IF(OR($C54="",R54=""),"",IF(R54/IF($R$2="",100,$R$2)&gt;=設定!$I$28,設定!$G$8,IF(R54/IF($R$2="",100,$R$2)&lt;設定!$I$29,設定!$G$10,設定!$G$9)))</f>
        <v/>
      </c>
      <c r="U54" s="62" t="str">
        <f aca="false">IF(OR($C54="",S54=""),"",IF(S54/IF($S$2="",100,$S$2)&gt;=設定!$I$28,設定!$G$8,IF(S54/IF($S$2="",100,$S$2)&lt;設定!$I$29,設定!$G$10,設定!$G$9)))</f>
        <v/>
      </c>
    </row>
    <row r="55" customFormat="false" ht="21" hidden="false" customHeight="true" outlineLevel="0" collapsed="false">
      <c r="A55" s="91" t="str">
        <f aca="false">IF(名簿!$D55="","",名簿!$B55&amp;"")</f>
        <v/>
      </c>
      <c r="B55" s="91" t="str">
        <f aca="false">IF(名簿!$D55="","",名簿!$C55)</f>
        <v/>
      </c>
      <c r="C55" s="59" t="str">
        <f aca="false">IF(名簿!$D55="","",名簿!$D55&amp;IF(名簿!$F55="転出","（転出）",""))</f>
        <v/>
      </c>
      <c r="D55" s="149"/>
      <c r="E55" s="61" t="str">
        <f aca="false">IF(OR($C55="",名簿!$F55="転出"),"",IF($C$2="学級ごと",$A55,IF($C$2="前の単元と同じ",単元04!$E55&amp;"",$D55&amp;"")))</f>
        <v/>
      </c>
      <c r="F55" s="150"/>
      <c r="G55" s="150"/>
      <c r="H55" s="150"/>
      <c r="I55" s="151"/>
      <c r="J55" s="41" t="str">
        <f aca="false">IF($E55="","",$E55&amp;"|"&amp;COUNTIF($E$5:$E55,$E55))</f>
        <v/>
      </c>
      <c r="K55" s="40" t="str">
        <f aca="false">IF($I55="","",LEN($I55))</f>
        <v/>
      </c>
      <c r="L55" s="13"/>
      <c r="M55" s="13"/>
      <c r="N55" s="13"/>
      <c r="O55" s="13"/>
      <c r="P55" s="152"/>
      <c r="Q55" s="149"/>
      <c r="R55" s="152"/>
      <c r="S55" s="152"/>
      <c r="T55" s="62" t="str">
        <f aca="false">IF(OR($C55="",R55=""),"",IF(R55/IF($R$2="",100,$R$2)&gt;=設定!$I$28,設定!$G$8,IF(R55/IF($R$2="",100,$R$2)&lt;設定!$I$29,設定!$G$10,設定!$G$9)))</f>
        <v/>
      </c>
      <c r="U55" s="62" t="str">
        <f aca="false">IF(OR($C55="",S55=""),"",IF(S55/IF($S$2="",100,$S$2)&gt;=設定!$I$28,設定!$G$8,IF(S55/IF($S$2="",100,$S$2)&lt;設定!$I$29,設定!$G$10,設定!$G$9)))</f>
        <v/>
      </c>
    </row>
    <row r="56" customFormat="false" ht="21" hidden="false" customHeight="true" outlineLevel="0" collapsed="false">
      <c r="A56" s="91" t="str">
        <f aca="false">IF(名簿!$D56="","",名簿!$B56&amp;"")</f>
        <v/>
      </c>
      <c r="B56" s="91" t="str">
        <f aca="false">IF(名簿!$D56="","",名簿!$C56)</f>
        <v/>
      </c>
      <c r="C56" s="59" t="str">
        <f aca="false">IF(名簿!$D56="","",名簿!$D56&amp;IF(名簿!$F56="転出","（転出）",""))</f>
        <v/>
      </c>
      <c r="D56" s="149"/>
      <c r="E56" s="61" t="str">
        <f aca="false">IF(OR($C56="",名簿!$F56="転出"),"",IF($C$2="学級ごと",$A56,IF($C$2="前の単元と同じ",単元04!$E56&amp;"",$D56&amp;"")))</f>
        <v/>
      </c>
      <c r="F56" s="150"/>
      <c r="G56" s="150"/>
      <c r="H56" s="150"/>
      <c r="I56" s="151"/>
      <c r="J56" s="41" t="str">
        <f aca="false">IF($E56="","",$E56&amp;"|"&amp;COUNTIF($E$5:$E56,$E56))</f>
        <v/>
      </c>
      <c r="K56" s="40" t="str">
        <f aca="false">IF($I56="","",LEN($I56))</f>
        <v/>
      </c>
      <c r="L56" s="13"/>
      <c r="M56" s="13"/>
      <c r="N56" s="13"/>
      <c r="O56" s="13"/>
      <c r="P56" s="152"/>
      <c r="Q56" s="149"/>
      <c r="R56" s="152"/>
      <c r="S56" s="152"/>
      <c r="T56" s="62" t="str">
        <f aca="false">IF(OR($C56="",R56=""),"",IF(R56/IF($R$2="",100,$R$2)&gt;=設定!$I$28,設定!$G$8,IF(R56/IF($R$2="",100,$R$2)&lt;設定!$I$29,設定!$G$10,設定!$G$9)))</f>
        <v/>
      </c>
      <c r="U56" s="62" t="str">
        <f aca="false">IF(OR($C56="",S56=""),"",IF(S56/IF($S$2="",100,$S$2)&gt;=設定!$I$28,設定!$G$8,IF(S56/IF($S$2="",100,$S$2)&lt;設定!$I$29,設定!$G$10,設定!$G$9)))</f>
        <v/>
      </c>
    </row>
    <row r="57" customFormat="false" ht="21" hidden="false" customHeight="true" outlineLevel="0" collapsed="false">
      <c r="A57" s="91" t="str">
        <f aca="false">IF(名簿!$D57="","",名簿!$B57&amp;"")</f>
        <v/>
      </c>
      <c r="B57" s="91" t="str">
        <f aca="false">IF(名簿!$D57="","",名簿!$C57)</f>
        <v/>
      </c>
      <c r="C57" s="59" t="str">
        <f aca="false">IF(名簿!$D57="","",名簿!$D57&amp;IF(名簿!$F57="転出","（転出）",""))</f>
        <v/>
      </c>
      <c r="D57" s="149"/>
      <c r="E57" s="61" t="str">
        <f aca="false">IF(OR($C57="",名簿!$F57="転出"),"",IF($C$2="学級ごと",$A57,IF($C$2="前の単元と同じ",単元04!$E57&amp;"",$D57&amp;"")))</f>
        <v/>
      </c>
      <c r="F57" s="150"/>
      <c r="G57" s="150"/>
      <c r="H57" s="150"/>
      <c r="I57" s="151"/>
      <c r="J57" s="41" t="str">
        <f aca="false">IF($E57="","",$E57&amp;"|"&amp;COUNTIF($E$5:$E57,$E57))</f>
        <v/>
      </c>
      <c r="K57" s="40" t="str">
        <f aca="false">IF($I57="","",LEN($I57))</f>
        <v/>
      </c>
      <c r="L57" s="13"/>
      <c r="M57" s="13"/>
      <c r="N57" s="13"/>
      <c r="O57" s="13"/>
      <c r="P57" s="152"/>
      <c r="Q57" s="149"/>
      <c r="R57" s="152"/>
      <c r="S57" s="152"/>
      <c r="T57" s="62" t="str">
        <f aca="false">IF(OR($C57="",R57=""),"",IF(R57/IF($R$2="",100,$R$2)&gt;=設定!$I$28,設定!$G$8,IF(R57/IF($R$2="",100,$R$2)&lt;設定!$I$29,設定!$G$10,設定!$G$9)))</f>
        <v/>
      </c>
      <c r="U57" s="62" t="str">
        <f aca="false">IF(OR($C57="",S57=""),"",IF(S57/IF($S$2="",100,$S$2)&gt;=設定!$I$28,設定!$G$8,IF(S57/IF($S$2="",100,$S$2)&lt;設定!$I$29,設定!$G$10,設定!$G$9)))</f>
        <v/>
      </c>
    </row>
    <row r="58" customFormat="false" ht="21" hidden="false" customHeight="true" outlineLevel="0" collapsed="false">
      <c r="A58" s="91" t="str">
        <f aca="false">IF(名簿!$D58="","",名簿!$B58&amp;"")</f>
        <v/>
      </c>
      <c r="B58" s="91" t="str">
        <f aca="false">IF(名簿!$D58="","",名簿!$C58)</f>
        <v/>
      </c>
      <c r="C58" s="59" t="str">
        <f aca="false">IF(名簿!$D58="","",名簿!$D58&amp;IF(名簿!$F58="転出","（転出）",""))</f>
        <v/>
      </c>
      <c r="D58" s="149"/>
      <c r="E58" s="61" t="str">
        <f aca="false">IF(OR($C58="",名簿!$F58="転出"),"",IF($C$2="学級ごと",$A58,IF($C$2="前の単元と同じ",単元04!$E58&amp;"",$D58&amp;"")))</f>
        <v/>
      </c>
      <c r="F58" s="150"/>
      <c r="G58" s="150"/>
      <c r="H58" s="150"/>
      <c r="I58" s="151"/>
      <c r="J58" s="41" t="str">
        <f aca="false">IF($E58="","",$E58&amp;"|"&amp;COUNTIF($E$5:$E58,$E58))</f>
        <v/>
      </c>
      <c r="K58" s="40" t="str">
        <f aca="false">IF($I58="","",LEN($I58))</f>
        <v/>
      </c>
      <c r="L58" s="13"/>
      <c r="M58" s="13"/>
      <c r="N58" s="13"/>
      <c r="O58" s="13"/>
      <c r="P58" s="152"/>
      <c r="Q58" s="149"/>
      <c r="R58" s="152"/>
      <c r="S58" s="152"/>
      <c r="T58" s="62" t="str">
        <f aca="false">IF(OR($C58="",R58=""),"",IF(R58/IF($R$2="",100,$R$2)&gt;=設定!$I$28,設定!$G$8,IF(R58/IF($R$2="",100,$R$2)&lt;設定!$I$29,設定!$G$10,設定!$G$9)))</f>
        <v/>
      </c>
      <c r="U58" s="62" t="str">
        <f aca="false">IF(OR($C58="",S58=""),"",IF(S58/IF($S$2="",100,$S$2)&gt;=設定!$I$28,設定!$G$8,IF(S58/IF($S$2="",100,$S$2)&lt;設定!$I$29,設定!$G$10,設定!$G$9)))</f>
        <v/>
      </c>
    </row>
    <row r="59" customFormat="false" ht="21" hidden="false" customHeight="true" outlineLevel="0" collapsed="false">
      <c r="A59" s="91" t="str">
        <f aca="false">IF(名簿!$D59="","",名簿!$B59&amp;"")</f>
        <v/>
      </c>
      <c r="B59" s="91" t="str">
        <f aca="false">IF(名簿!$D59="","",名簿!$C59)</f>
        <v/>
      </c>
      <c r="C59" s="59" t="str">
        <f aca="false">IF(名簿!$D59="","",名簿!$D59&amp;IF(名簿!$F59="転出","（転出）",""))</f>
        <v/>
      </c>
      <c r="D59" s="149"/>
      <c r="E59" s="61" t="str">
        <f aca="false">IF(OR($C59="",名簿!$F59="転出"),"",IF($C$2="学級ごと",$A59,IF($C$2="前の単元と同じ",単元04!$E59&amp;"",$D59&amp;"")))</f>
        <v/>
      </c>
      <c r="F59" s="150"/>
      <c r="G59" s="150"/>
      <c r="H59" s="150"/>
      <c r="I59" s="151"/>
      <c r="J59" s="41" t="str">
        <f aca="false">IF($E59="","",$E59&amp;"|"&amp;COUNTIF($E$5:$E59,$E59))</f>
        <v/>
      </c>
      <c r="K59" s="40" t="str">
        <f aca="false">IF($I59="","",LEN($I59))</f>
        <v/>
      </c>
      <c r="L59" s="13"/>
      <c r="M59" s="13"/>
      <c r="N59" s="13"/>
      <c r="O59" s="13"/>
      <c r="P59" s="152"/>
      <c r="Q59" s="149"/>
      <c r="R59" s="152"/>
      <c r="S59" s="152"/>
      <c r="T59" s="62" t="str">
        <f aca="false">IF(OR($C59="",R59=""),"",IF(R59/IF($R$2="",100,$R$2)&gt;=設定!$I$28,設定!$G$8,IF(R59/IF($R$2="",100,$R$2)&lt;設定!$I$29,設定!$G$10,設定!$G$9)))</f>
        <v/>
      </c>
      <c r="U59" s="62" t="str">
        <f aca="false">IF(OR($C59="",S59=""),"",IF(S59/IF($S$2="",100,$S$2)&gt;=設定!$I$28,設定!$G$8,IF(S59/IF($S$2="",100,$S$2)&lt;設定!$I$29,設定!$G$10,設定!$G$9)))</f>
        <v/>
      </c>
    </row>
    <row r="60" customFormat="false" ht="21" hidden="false" customHeight="true" outlineLevel="0" collapsed="false">
      <c r="A60" s="91" t="str">
        <f aca="false">IF(名簿!$D60="","",名簿!$B60&amp;"")</f>
        <v/>
      </c>
      <c r="B60" s="91" t="str">
        <f aca="false">IF(名簿!$D60="","",名簿!$C60)</f>
        <v/>
      </c>
      <c r="C60" s="59" t="str">
        <f aca="false">IF(名簿!$D60="","",名簿!$D60&amp;IF(名簿!$F60="転出","（転出）",""))</f>
        <v/>
      </c>
      <c r="D60" s="149"/>
      <c r="E60" s="61" t="str">
        <f aca="false">IF(OR($C60="",名簿!$F60="転出"),"",IF($C$2="学級ごと",$A60,IF($C$2="前の単元と同じ",単元04!$E60&amp;"",$D60&amp;"")))</f>
        <v/>
      </c>
      <c r="F60" s="150"/>
      <c r="G60" s="150"/>
      <c r="H60" s="150"/>
      <c r="I60" s="151"/>
      <c r="J60" s="41" t="str">
        <f aca="false">IF($E60="","",$E60&amp;"|"&amp;COUNTIF($E$5:$E60,$E60))</f>
        <v/>
      </c>
      <c r="K60" s="40" t="str">
        <f aca="false">IF($I60="","",LEN($I60))</f>
        <v/>
      </c>
      <c r="L60" s="13"/>
      <c r="M60" s="13"/>
      <c r="N60" s="13"/>
      <c r="O60" s="13"/>
      <c r="P60" s="152"/>
      <c r="Q60" s="149"/>
      <c r="R60" s="152"/>
      <c r="S60" s="152"/>
      <c r="T60" s="62" t="str">
        <f aca="false">IF(OR($C60="",R60=""),"",IF(R60/IF($R$2="",100,$R$2)&gt;=設定!$I$28,設定!$G$8,IF(R60/IF($R$2="",100,$R$2)&lt;設定!$I$29,設定!$G$10,設定!$G$9)))</f>
        <v/>
      </c>
      <c r="U60" s="62" t="str">
        <f aca="false">IF(OR($C60="",S60=""),"",IF(S60/IF($S$2="",100,$S$2)&gt;=設定!$I$28,設定!$G$8,IF(S60/IF($S$2="",100,$S$2)&lt;設定!$I$29,設定!$G$10,設定!$G$9)))</f>
        <v/>
      </c>
    </row>
    <row r="61" customFormat="false" ht="21" hidden="false" customHeight="true" outlineLevel="0" collapsed="false">
      <c r="A61" s="91" t="str">
        <f aca="false">IF(名簿!$D61="","",名簿!$B61&amp;"")</f>
        <v/>
      </c>
      <c r="B61" s="91" t="str">
        <f aca="false">IF(名簿!$D61="","",名簿!$C61)</f>
        <v/>
      </c>
      <c r="C61" s="59" t="str">
        <f aca="false">IF(名簿!$D61="","",名簿!$D61&amp;IF(名簿!$F61="転出","（転出）",""))</f>
        <v/>
      </c>
      <c r="D61" s="149"/>
      <c r="E61" s="61" t="str">
        <f aca="false">IF(OR($C61="",名簿!$F61="転出"),"",IF($C$2="学級ごと",$A61,IF($C$2="前の単元と同じ",単元04!$E61&amp;"",$D61&amp;"")))</f>
        <v/>
      </c>
      <c r="F61" s="150"/>
      <c r="G61" s="150"/>
      <c r="H61" s="150"/>
      <c r="I61" s="151"/>
      <c r="J61" s="41" t="str">
        <f aca="false">IF($E61="","",$E61&amp;"|"&amp;COUNTIF($E$5:$E61,$E61))</f>
        <v/>
      </c>
      <c r="K61" s="40" t="str">
        <f aca="false">IF($I61="","",LEN($I61))</f>
        <v/>
      </c>
      <c r="L61" s="13"/>
      <c r="M61" s="13"/>
      <c r="N61" s="13"/>
      <c r="O61" s="13"/>
      <c r="P61" s="152"/>
      <c r="Q61" s="149"/>
      <c r="R61" s="152"/>
      <c r="S61" s="152"/>
      <c r="T61" s="62" t="str">
        <f aca="false">IF(OR($C61="",R61=""),"",IF(R61/IF($R$2="",100,$R$2)&gt;=設定!$I$28,設定!$G$8,IF(R61/IF($R$2="",100,$R$2)&lt;設定!$I$29,設定!$G$10,設定!$G$9)))</f>
        <v/>
      </c>
      <c r="U61" s="62" t="str">
        <f aca="false">IF(OR($C61="",S61=""),"",IF(S61/IF($S$2="",100,$S$2)&gt;=設定!$I$28,設定!$G$8,IF(S61/IF($S$2="",100,$S$2)&lt;設定!$I$29,設定!$G$10,設定!$G$9)))</f>
        <v/>
      </c>
    </row>
    <row r="62" customFormat="false" ht="21" hidden="false" customHeight="true" outlineLevel="0" collapsed="false">
      <c r="A62" s="91" t="str">
        <f aca="false">IF(名簿!$D62="","",名簿!$B62&amp;"")</f>
        <v/>
      </c>
      <c r="B62" s="91" t="str">
        <f aca="false">IF(名簿!$D62="","",名簿!$C62)</f>
        <v/>
      </c>
      <c r="C62" s="59" t="str">
        <f aca="false">IF(名簿!$D62="","",名簿!$D62&amp;IF(名簿!$F62="転出","（転出）",""))</f>
        <v/>
      </c>
      <c r="D62" s="149"/>
      <c r="E62" s="61" t="str">
        <f aca="false">IF(OR($C62="",名簿!$F62="転出"),"",IF($C$2="学級ごと",$A62,IF($C$2="前の単元と同じ",単元04!$E62&amp;"",$D62&amp;"")))</f>
        <v/>
      </c>
      <c r="F62" s="150"/>
      <c r="G62" s="150"/>
      <c r="H62" s="150"/>
      <c r="I62" s="151"/>
      <c r="J62" s="41" t="str">
        <f aca="false">IF($E62="","",$E62&amp;"|"&amp;COUNTIF($E$5:$E62,$E62))</f>
        <v/>
      </c>
      <c r="K62" s="40" t="str">
        <f aca="false">IF($I62="","",LEN($I62))</f>
        <v/>
      </c>
      <c r="L62" s="13"/>
      <c r="M62" s="13"/>
      <c r="N62" s="13"/>
      <c r="O62" s="13"/>
      <c r="P62" s="152"/>
      <c r="Q62" s="149"/>
      <c r="R62" s="152"/>
      <c r="S62" s="152"/>
      <c r="T62" s="62" t="str">
        <f aca="false">IF(OR($C62="",R62=""),"",IF(R62/IF($R$2="",100,$R$2)&gt;=設定!$I$28,設定!$G$8,IF(R62/IF($R$2="",100,$R$2)&lt;設定!$I$29,設定!$G$10,設定!$G$9)))</f>
        <v/>
      </c>
      <c r="U62" s="62" t="str">
        <f aca="false">IF(OR($C62="",S62=""),"",IF(S62/IF($S$2="",100,$S$2)&gt;=設定!$I$28,設定!$G$8,IF(S62/IF($S$2="",100,$S$2)&lt;設定!$I$29,設定!$G$10,設定!$G$9)))</f>
        <v/>
      </c>
    </row>
    <row r="63" customFormat="false" ht="21" hidden="false" customHeight="true" outlineLevel="0" collapsed="false">
      <c r="A63" s="91" t="str">
        <f aca="false">IF(名簿!$D63="","",名簿!$B63&amp;"")</f>
        <v/>
      </c>
      <c r="B63" s="91" t="str">
        <f aca="false">IF(名簿!$D63="","",名簿!$C63)</f>
        <v/>
      </c>
      <c r="C63" s="59" t="str">
        <f aca="false">IF(名簿!$D63="","",名簿!$D63&amp;IF(名簿!$F63="転出","（転出）",""))</f>
        <v/>
      </c>
      <c r="D63" s="149"/>
      <c r="E63" s="61" t="str">
        <f aca="false">IF(OR($C63="",名簿!$F63="転出"),"",IF($C$2="学級ごと",$A63,IF($C$2="前の単元と同じ",単元04!$E63&amp;"",$D63&amp;"")))</f>
        <v/>
      </c>
      <c r="F63" s="150"/>
      <c r="G63" s="150"/>
      <c r="H63" s="150"/>
      <c r="I63" s="151"/>
      <c r="J63" s="41" t="str">
        <f aca="false">IF($E63="","",$E63&amp;"|"&amp;COUNTIF($E$5:$E63,$E63))</f>
        <v/>
      </c>
      <c r="K63" s="40" t="str">
        <f aca="false">IF($I63="","",LEN($I63))</f>
        <v/>
      </c>
      <c r="L63" s="13"/>
      <c r="M63" s="13"/>
      <c r="N63" s="13"/>
      <c r="O63" s="13"/>
      <c r="P63" s="152"/>
      <c r="Q63" s="149"/>
      <c r="R63" s="152"/>
      <c r="S63" s="152"/>
      <c r="T63" s="62" t="str">
        <f aca="false">IF(OR($C63="",R63=""),"",IF(R63/IF($R$2="",100,$R$2)&gt;=設定!$I$28,設定!$G$8,IF(R63/IF($R$2="",100,$R$2)&lt;設定!$I$29,設定!$G$10,設定!$G$9)))</f>
        <v/>
      </c>
      <c r="U63" s="62" t="str">
        <f aca="false">IF(OR($C63="",S63=""),"",IF(S63/IF($S$2="",100,$S$2)&gt;=設定!$I$28,設定!$G$8,IF(S63/IF($S$2="",100,$S$2)&lt;設定!$I$29,設定!$G$10,設定!$G$9)))</f>
        <v/>
      </c>
    </row>
    <row r="64" customFormat="false" ht="21" hidden="false" customHeight="true" outlineLevel="0" collapsed="false">
      <c r="A64" s="91" t="str">
        <f aca="false">IF(名簿!$D64="","",名簿!$B64&amp;"")</f>
        <v/>
      </c>
      <c r="B64" s="91" t="str">
        <f aca="false">IF(名簿!$D64="","",名簿!$C64)</f>
        <v/>
      </c>
      <c r="C64" s="59" t="str">
        <f aca="false">IF(名簿!$D64="","",名簿!$D64&amp;IF(名簿!$F64="転出","（転出）",""))</f>
        <v/>
      </c>
      <c r="D64" s="149"/>
      <c r="E64" s="61" t="str">
        <f aca="false">IF(OR($C64="",名簿!$F64="転出"),"",IF($C$2="学級ごと",$A64,IF($C$2="前の単元と同じ",単元04!$E64&amp;"",$D64&amp;"")))</f>
        <v/>
      </c>
      <c r="F64" s="150"/>
      <c r="G64" s="150"/>
      <c r="H64" s="150"/>
      <c r="I64" s="151"/>
      <c r="J64" s="41" t="str">
        <f aca="false">IF($E64="","",$E64&amp;"|"&amp;COUNTIF($E$5:$E64,$E64))</f>
        <v/>
      </c>
      <c r="K64" s="40" t="str">
        <f aca="false">IF($I64="","",LEN($I64))</f>
        <v/>
      </c>
      <c r="L64" s="13"/>
      <c r="M64" s="13"/>
      <c r="N64" s="13"/>
      <c r="O64" s="13"/>
      <c r="P64" s="152"/>
      <c r="Q64" s="149"/>
      <c r="R64" s="152"/>
      <c r="S64" s="152"/>
      <c r="T64" s="62" t="str">
        <f aca="false">IF(OR($C64="",R64=""),"",IF(R64/IF($R$2="",100,$R$2)&gt;=設定!$I$28,設定!$G$8,IF(R64/IF($R$2="",100,$R$2)&lt;設定!$I$29,設定!$G$10,設定!$G$9)))</f>
        <v/>
      </c>
      <c r="U64" s="62" t="str">
        <f aca="false">IF(OR($C64="",S64=""),"",IF(S64/IF($S$2="",100,$S$2)&gt;=設定!$I$28,設定!$G$8,IF(S64/IF($S$2="",100,$S$2)&lt;設定!$I$29,設定!$G$10,設定!$G$9)))</f>
        <v/>
      </c>
    </row>
    <row r="65" customFormat="false" ht="21" hidden="false" customHeight="true" outlineLevel="0" collapsed="false">
      <c r="A65" s="91" t="str">
        <f aca="false">IF(名簿!$D65="","",名簿!$B65&amp;"")</f>
        <v/>
      </c>
      <c r="B65" s="91" t="str">
        <f aca="false">IF(名簿!$D65="","",名簿!$C65)</f>
        <v/>
      </c>
      <c r="C65" s="59" t="str">
        <f aca="false">IF(名簿!$D65="","",名簿!$D65&amp;IF(名簿!$F65="転出","（転出）",""))</f>
        <v/>
      </c>
      <c r="D65" s="149"/>
      <c r="E65" s="61" t="str">
        <f aca="false">IF(OR($C65="",名簿!$F65="転出"),"",IF($C$2="学級ごと",$A65,IF($C$2="前の単元と同じ",単元04!$E65&amp;"",$D65&amp;"")))</f>
        <v/>
      </c>
      <c r="F65" s="150"/>
      <c r="G65" s="150"/>
      <c r="H65" s="150"/>
      <c r="I65" s="151"/>
      <c r="J65" s="41" t="str">
        <f aca="false">IF($E65="","",$E65&amp;"|"&amp;COUNTIF($E$5:$E65,$E65))</f>
        <v/>
      </c>
      <c r="K65" s="40" t="str">
        <f aca="false">IF($I65="","",LEN($I65))</f>
        <v/>
      </c>
      <c r="L65" s="13"/>
      <c r="M65" s="13"/>
      <c r="N65" s="13"/>
      <c r="O65" s="13"/>
      <c r="P65" s="152"/>
      <c r="Q65" s="149"/>
      <c r="R65" s="152"/>
      <c r="S65" s="152"/>
      <c r="T65" s="62" t="str">
        <f aca="false">IF(OR($C65="",R65=""),"",IF(R65/IF($R$2="",100,$R$2)&gt;=設定!$I$28,設定!$G$8,IF(R65/IF($R$2="",100,$R$2)&lt;設定!$I$29,設定!$G$10,設定!$G$9)))</f>
        <v/>
      </c>
      <c r="U65" s="62" t="str">
        <f aca="false">IF(OR($C65="",S65=""),"",IF(S65/IF($S$2="",100,$S$2)&gt;=設定!$I$28,設定!$G$8,IF(S65/IF($S$2="",100,$S$2)&lt;設定!$I$29,設定!$G$10,設定!$G$9)))</f>
        <v/>
      </c>
    </row>
    <row r="66" customFormat="false" ht="21" hidden="false" customHeight="true" outlineLevel="0" collapsed="false">
      <c r="A66" s="91" t="str">
        <f aca="false">IF(名簿!$D66="","",名簿!$B66&amp;"")</f>
        <v/>
      </c>
      <c r="B66" s="91" t="str">
        <f aca="false">IF(名簿!$D66="","",名簿!$C66)</f>
        <v/>
      </c>
      <c r="C66" s="59" t="str">
        <f aca="false">IF(名簿!$D66="","",名簿!$D66&amp;IF(名簿!$F66="転出","（転出）",""))</f>
        <v/>
      </c>
      <c r="D66" s="149"/>
      <c r="E66" s="61" t="str">
        <f aca="false">IF(OR($C66="",名簿!$F66="転出"),"",IF($C$2="学級ごと",$A66,IF($C$2="前の単元と同じ",単元04!$E66&amp;"",$D66&amp;"")))</f>
        <v/>
      </c>
      <c r="F66" s="150"/>
      <c r="G66" s="150"/>
      <c r="H66" s="150"/>
      <c r="I66" s="151"/>
      <c r="J66" s="41" t="str">
        <f aca="false">IF($E66="","",$E66&amp;"|"&amp;COUNTIF($E$5:$E66,$E66))</f>
        <v/>
      </c>
      <c r="K66" s="40" t="str">
        <f aca="false">IF($I66="","",LEN($I66))</f>
        <v/>
      </c>
      <c r="L66" s="13"/>
      <c r="M66" s="13"/>
      <c r="N66" s="13"/>
      <c r="O66" s="13"/>
      <c r="P66" s="152"/>
      <c r="Q66" s="149"/>
      <c r="R66" s="152"/>
      <c r="S66" s="152"/>
      <c r="T66" s="62" t="str">
        <f aca="false">IF(OR($C66="",R66=""),"",IF(R66/IF($R$2="",100,$R$2)&gt;=設定!$I$28,設定!$G$8,IF(R66/IF($R$2="",100,$R$2)&lt;設定!$I$29,設定!$G$10,設定!$G$9)))</f>
        <v/>
      </c>
      <c r="U66" s="62" t="str">
        <f aca="false">IF(OR($C66="",S66=""),"",IF(S66/IF($S$2="",100,$S$2)&gt;=設定!$I$28,設定!$G$8,IF(S66/IF($S$2="",100,$S$2)&lt;設定!$I$29,設定!$G$10,設定!$G$9)))</f>
        <v/>
      </c>
    </row>
    <row r="67" customFormat="false" ht="21" hidden="false" customHeight="true" outlineLevel="0" collapsed="false">
      <c r="A67" s="91" t="str">
        <f aca="false">IF(名簿!$D67="","",名簿!$B67&amp;"")</f>
        <v/>
      </c>
      <c r="B67" s="91" t="str">
        <f aca="false">IF(名簿!$D67="","",名簿!$C67)</f>
        <v/>
      </c>
      <c r="C67" s="59" t="str">
        <f aca="false">IF(名簿!$D67="","",名簿!$D67&amp;IF(名簿!$F67="転出","（転出）",""))</f>
        <v/>
      </c>
      <c r="D67" s="149"/>
      <c r="E67" s="61" t="str">
        <f aca="false">IF(OR($C67="",名簿!$F67="転出"),"",IF($C$2="学級ごと",$A67,IF($C$2="前の単元と同じ",単元04!$E67&amp;"",$D67&amp;"")))</f>
        <v/>
      </c>
      <c r="F67" s="150"/>
      <c r="G67" s="150"/>
      <c r="H67" s="150"/>
      <c r="I67" s="151"/>
      <c r="J67" s="41" t="str">
        <f aca="false">IF($E67="","",$E67&amp;"|"&amp;COUNTIF($E$5:$E67,$E67))</f>
        <v/>
      </c>
      <c r="K67" s="40" t="str">
        <f aca="false">IF($I67="","",LEN($I67))</f>
        <v/>
      </c>
      <c r="L67" s="13"/>
      <c r="M67" s="13"/>
      <c r="N67" s="13"/>
      <c r="O67" s="13"/>
      <c r="P67" s="152"/>
      <c r="Q67" s="149"/>
      <c r="R67" s="152"/>
      <c r="S67" s="152"/>
      <c r="T67" s="62" t="str">
        <f aca="false">IF(OR($C67="",R67=""),"",IF(R67/IF($R$2="",100,$R$2)&gt;=設定!$I$28,設定!$G$8,IF(R67/IF($R$2="",100,$R$2)&lt;設定!$I$29,設定!$G$10,設定!$G$9)))</f>
        <v/>
      </c>
      <c r="U67" s="62" t="str">
        <f aca="false">IF(OR($C67="",S67=""),"",IF(S67/IF($S$2="",100,$S$2)&gt;=設定!$I$28,設定!$G$8,IF(S67/IF($S$2="",100,$S$2)&lt;設定!$I$29,設定!$G$10,設定!$G$9)))</f>
        <v/>
      </c>
    </row>
    <row r="68" customFormat="false" ht="21" hidden="false" customHeight="true" outlineLevel="0" collapsed="false">
      <c r="A68" s="91" t="str">
        <f aca="false">IF(名簿!$D68="","",名簿!$B68&amp;"")</f>
        <v/>
      </c>
      <c r="B68" s="91" t="str">
        <f aca="false">IF(名簿!$D68="","",名簿!$C68)</f>
        <v/>
      </c>
      <c r="C68" s="59" t="str">
        <f aca="false">IF(名簿!$D68="","",名簿!$D68&amp;IF(名簿!$F68="転出","（転出）",""))</f>
        <v/>
      </c>
      <c r="D68" s="149"/>
      <c r="E68" s="61" t="str">
        <f aca="false">IF(OR($C68="",名簿!$F68="転出"),"",IF($C$2="学級ごと",$A68,IF($C$2="前の単元と同じ",単元04!$E68&amp;"",$D68&amp;"")))</f>
        <v/>
      </c>
      <c r="F68" s="150"/>
      <c r="G68" s="150"/>
      <c r="H68" s="150"/>
      <c r="I68" s="151"/>
      <c r="J68" s="41" t="str">
        <f aca="false">IF($E68="","",$E68&amp;"|"&amp;COUNTIF($E$5:$E68,$E68))</f>
        <v/>
      </c>
      <c r="K68" s="40" t="str">
        <f aca="false">IF($I68="","",LEN($I68))</f>
        <v/>
      </c>
      <c r="L68" s="13"/>
      <c r="M68" s="13"/>
      <c r="N68" s="13"/>
      <c r="O68" s="13"/>
      <c r="P68" s="152"/>
      <c r="Q68" s="149"/>
      <c r="R68" s="152"/>
      <c r="S68" s="152"/>
      <c r="T68" s="62" t="str">
        <f aca="false">IF(OR($C68="",R68=""),"",IF(R68/IF($R$2="",100,$R$2)&gt;=設定!$I$28,設定!$G$8,IF(R68/IF($R$2="",100,$R$2)&lt;設定!$I$29,設定!$G$10,設定!$G$9)))</f>
        <v/>
      </c>
      <c r="U68" s="62" t="str">
        <f aca="false">IF(OR($C68="",S68=""),"",IF(S68/IF($S$2="",100,$S$2)&gt;=設定!$I$28,設定!$G$8,IF(S68/IF($S$2="",100,$S$2)&lt;設定!$I$29,設定!$G$10,設定!$G$9)))</f>
        <v/>
      </c>
    </row>
    <row r="69" customFormat="false" ht="21" hidden="false" customHeight="true" outlineLevel="0" collapsed="false">
      <c r="A69" s="91" t="str">
        <f aca="false">IF(名簿!$D69="","",名簿!$B69&amp;"")</f>
        <v/>
      </c>
      <c r="B69" s="91" t="str">
        <f aca="false">IF(名簿!$D69="","",名簿!$C69)</f>
        <v/>
      </c>
      <c r="C69" s="59" t="str">
        <f aca="false">IF(名簿!$D69="","",名簿!$D69&amp;IF(名簿!$F69="転出","（転出）",""))</f>
        <v/>
      </c>
      <c r="D69" s="149"/>
      <c r="E69" s="61" t="str">
        <f aca="false">IF(OR($C69="",名簿!$F69="転出"),"",IF($C$2="学級ごと",$A69,IF($C$2="前の単元と同じ",単元04!$E69&amp;"",$D69&amp;"")))</f>
        <v/>
      </c>
      <c r="F69" s="150"/>
      <c r="G69" s="150"/>
      <c r="H69" s="150"/>
      <c r="I69" s="151"/>
      <c r="J69" s="41" t="str">
        <f aca="false">IF($E69="","",$E69&amp;"|"&amp;COUNTIF($E$5:$E69,$E69))</f>
        <v/>
      </c>
      <c r="K69" s="40" t="str">
        <f aca="false">IF($I69="","",LEN($I69))</f>
        <v/>
      </c>
      <c r="L69" s="13"/>
      <c r="M69" s="13"/>
      <c r="N69" s="13"/>
      <c r="O69" s="13"/>
      <c r="P69" s="152"/>
      <c r="Q69" s="149"/>
      <c r="R69" s="152"/>
      <c r="S69" s="152"/>
      <c r="T69" s="62" t="str">
        <f aca="false">IF(OR($C69="",R69=""),"",IF(R69/IF($R$2="",100,$R$2)&gt;=設定!$I$28,設定!$G$8,IF(R69/IF($R$2="",100,$R$2)&lt;設定!$I$29,設定!$G$10,設定!$G$9)))</f>
        <v/>
      </c>
      <c r="U69" s="62" t="str">
        <f aca="false">IF(OR($C69="",S69=""),"",IF(S69/IF($S$2="",100,$S$2)&gt;=設定!$I$28,設定!$G$8,IF(S69/IF($S$2="",100,$S$2)&lt;設定!$I$29,設定!$G$10,設定!$G$9)))</f>
        <v/>
      </c>
    </row>
    <row r="70" customFormat="false" ht="21" hidden="false" customHeight="true" outlineLevel="0" collapsed="false">
      <c r="A70" s="91" t="str">
        <f aca="false">IF(名簿!$D70="","",名簿!$B70&amp;"")</f>
        <v/>
      </c>
      <c r="B70" s="91" t="str">
        <f aca="false">IF(名簿!$D70="","",名簿!$C70)</f>
        <v/>
      </c>
      <c r="C70" s="59" t="str">
        <f aca="false">IF(名簿!$D70="","",名簿!$D70&amp;IF(名簿!$F70="転出","（転出）",""))</f>
        <v/>
      </c>
      <c r="D70" s="149"/>
      <c r="E70" s="61" t="str">
        <f aca="false">IF(OR($C70="",名簿!$F70="転出"),"",IF($C$2="学級ごと",$A70,IF($C$2="前の単元と同じ",単元04!$E70&amp;"",$D70&amp;"")))</f>
        <v/>
      </c>
      <c r="F70" s="150"/>
      <c r="G70" s="150"/>
      <c r="H70" s="150"/>
      <c r="I70" s="151"/>
      <c r="J70" s="41" t="str">
        <f aca="false">IF($E70="","",$E70&amp;"|"&amp;COUNTIF($E$5:$E70,$E70))</f>
        <v/>
      </c>
      <c r="K70" s="40" t="str">
        <f aca="false">IF($I70="","",LEN($I70))</f>
        <v/>
      </c>
      <c r="L70" s="13"/>
      <c r="M70" s="13"/>
      <c r="N70" s="13"/>
      <c r="O70" s="13"/>
      <c r="P70" s="152"/>
      <c r="Q70" s="149"/>
      <c r="R70" s="152"/>
      <c r="S70" s="152"/>
      <c r="T70" s="62" t="str">
        <f aca="false">IF(OR($C70="",R70=""),"",IF(R70/IF($R$2="",100,$R$2)&gt;=設定!$I$28,設定!$G$8,IF(R70/IF($R$2="",100,$R$2)&lt;設定!$I$29,設定!$G$10,設定!$G$9)))</f>
        <v/>
      </c>
      <c r="U70" s="62" t="str">
        <f aca="false">IF(OR($C70="",S70=""),"",IF(S70/IF($S$2="",100,$S$2)&gt;=設定!$I$28,設定!$G$8,IF(S70/IF($S$2="",100,$S$2)&lt;設定!$I$29,設定!$G$10,設定!$G$9)))</f>
        <v/>
      </c>
    </row>
    <row r="71" customFormat="false" ht="21" hidden="false" customHeight="true" outlineLevel="0" collapsed="false">
      <c r="A71" s="91" t="str">
        <f aca="false">IF(名簿!$D71="","",名簿!$B71&amp;"")</f>
        <v/>
      </c>
      <c r="B71" s="91" t="str">
        <f aca="false">IF(名簿!$D71="","",名簿!$C71)</f>
        <v/>
      </c>
      <c r="C71" s="59" t="str">
        <f aca="false">IF(名簿!$D71="","",名簿!$D71&amp;IF(名簿!$F71="転出","（転出）",""))</f>
        <v/>
      </c>
      <c r="D71" s="149"/>
      <c r="E71" s="61" t="str">
        <f aca="false">IF(OR($C71="",名簿!$F71="転出"),"",IF($C$2="学級ごと",$A71,IF($C$2="前の単元と同じ",単元04!$E71&amp;"",$D71&amp;"")))</f>
        <v/>
      </c>
      <c r="F71" s="150"/>
      <c r="G71" s="150"/>
      <c r="H71" s="150"/>
      <c r="I71" s="151"/>
      <c r="J71" s="41" t="str">
        <f aca="false">IF($E71="","",$E71&amp;"|"&amp;COUNTIF($E$5:$E71,$E71))</f>
        <v/>
      </c>
      <c r="K71" s="40" t="str">
        <f aca="false">IF($I71="","",LEN($I71))</f>
        <v/>
      </c>
      <c r="L71" s="13"/>
      <c r="M71" s="13"/>
      <c r="N71" s="13"/>
      <c r="O71" s="13"/>
      <c r="P71" s="152"/>
      <c r="Q71" s="149"/>
      <c r="R71" s="152"/>
      <c r="S71" s="152"/>
      <c r="T71" s="62" t="str">
        <f aca="false">IF(OR($C71="",R71=""),"",IF(R71/IF($R$2="",100,$R$2)&gt;=設定!$I$28,設定!$G$8,IF(R71/IF($R$2="",100,$R$2)&lt;設定!$I$29,設定!$G$10,設定!$G$9)))</f>
        <v/>
      </c>
      <c r="U71" s="62" t="str">
        <f aca="false">IF(OR($C71="",S71=""),"",IF(S71/IF($S$2="",100,$S$2)&gt;=設定!$I$28,設定!$G$8,IF(S71/IF($S$2="",100,$S$2)&lt;設定!$I$29,設定!$G$10,設定!$G$9)))</f>
        <v/>
      </c>
    </row>
    <row r="72" customFormat="false" ht="21" hidden="false" customHeight="true" outlineLevel="0" collapsed="false">
      <c r="A72" s="91" t="str">
        <f aca="false">IF(名簿!$D72="","",名簿!$B72&amp;"")</f>
        <v/>
      </c>
      <c r="B72" s="91" t="str">
        <f aca="false">IF(名簿!$D72="","",名簿!$C72)</f>
        <v/>
      </c>
      <c r="C72" s="59" t="str">
        <f aca="false">IF(名簿!$D72="","",名簿!$D72&amp;IF(名簿!$F72="転出","（転出）",""))</f>
        <v/>
      </c>
      <c r="D72" s="149"/>
      <c r="E72" s="61" t="str">
        <f aca="false">IF(OR($C72="",名簿!$F72="転出"),"",IF($C$2="学級ごと",$A72,IF($C$2="前の単元と同じ",単元04!$E72&amp;"",$D72&amp;"")))</f>
        <v/>
      </c>
      <c r="F72" s="150"/>
      <c r="G72" s="150"/>
      <c r="H72" s="150"/>
      <c r="I72" s="151"/>
      <c r="J72" s="41" t="str">
        <f aca="false">IF($E72="","",$E72&amp;"|"&amp;COUNTIF($E$5:$E72,$E72))</f>
        <v/>
      </c>
      <c r="K72" s="40" t="str">
        <f aca="false">IF($I72="","",LEN($I72))</f>
        <v/>
      </c>
      <c r="L72" s="13"/>
      <c r="M72" s="13"/>
      <c r="N72" s="13"/>
      <c r="O72" s="13"/>
      <c r="P72" s="152"/>
      <c r="Q72" s="149"/>
      <c r="R72" s="152"/>
      <c r="S72" s="152"/>
      <c r="T72" s="62" t="str">
        <f aca="false">IF(OR($C72="",R72=""),"",IF(R72/IF($R$2="",100,$R$2)&gt;=設定!$I$28,設定!$G$8,IF(R72/IF($R$2="",100,$R$2)&lt;設定!$I$29,設定!$G$10,設定!$G$9)))</f>
        <v/>
      </c>
      <c r="U72" s="62" t="str">
        <f aca="false">IF(OR($C72="",S72=""),"",IF(S72/IF($S$2="",100,$S$2)&gt;=設定!$I$28,設定!$G$8,IF(S72/IF($S$2="",100,$S$2)&lt;設定!$I$29,設定!$G$10,設定!$G$9)))</f>
        <v/>
      </c>
    </row>
    <row r="73" customFormat="false" ht="21" hidden="false" customHeight="true" outlineLevel="0" collapsed="false">
      <c r="A73" s="91" t="str">
        <f aca="false">IF(名簿!$D73="","",名簿!$B73&amp;"")</f>
        <v/>
      </c>
      <c r="B73" s="91" t="str">
        <f aca="false">IF(名簿!$D73="","",名簿!$C73)</f>
        <v/>
      </c>
      <c r="C73" s="59" t="str">
        <f aca="false">IF(名簿!$D73="","",名簿!$D73&amp;IF(名簿!$F73="転出","（転出）",""))</f>
        <v/>
      </c>
      <c r="D73" s="149"/>
      <c r="E73" s="61" t="str">
        <f aca="false">IF(OR($C73="",名簿!$F73="転出"),"",IF($C$2="学級ごと",$A73,IF($C$2="前の単元と同じ",単元04!$E73&amp;"",$D73&amp;"")))</f>
        <v/>
      </c>
      <c r="F73" s="150"/>
      <c r="G73" s="150"/>
      <c r="H73" s="150"/>
      <c r="I73" s="151"/>
      <c r="J73" s="41" t="str">
        <f aca="false">IF($E73="","",$E73&amp;"|"&amp;COUNTIF($E$5:$E73,$E73))</f>
        <v/>
      </c>
      <c r="K73" s="40" t="str">
        <f aca="false">IF($I73="","",LEN($I73))</f>
        <v/>
      </c>
      <c r="L73" s="13"/>
      <c r="M73" s="13"/>
      <c r="N73" s="13"/>
      <c r="O73" s="13"/>
      <c r="P73" s="152"/>
      <c r="Q73" s="149"/>
      <c r="R73" s="152"/>
      <c r="S73" s="152"/>
      <c r="T73" s="62" t="str">
        <f aca="false">IF(OR($C73="",R73=""),"",IF(R73/IF($R$2="",100,$R$2)&gt;=設定!$I$28,設定!$G$8,IF(R73/IF($R$2="",100,$R$2)&lt;設定!$I$29,設定!$G$10,設定!$G$9)))</f>
        <v/>
      </c>
      <c r="U73" s="62" t="str">
        <f aca="false">IF(OR($C73="",S73=""),"",IF(S73/IF($S$2="",100,$S$2)&gt;=設定!$I$28,設定!$G$8,IF(S73/IF($S$2="",100,$S$2)&lt;設定!$I$29,設定!$G$10,設定!$G$9)))</f>
        <v/>
      </c>
    </row>
    <row r="74" customFormat="false" ht="21" hidden="false" customHeight="true" outlineLevel="0" collapsed="false">
      <c r="A74" s="91" t="str">
        <f aca="false">IF(名簿!$D74="","",名簿!$B74&amp;"")</f>
        <v/>
      </c>
      <c r="B74" s="91" t="str">
        <f aca="false">IF(名簿!$D74="","",名簿!$C74)</f>
        <v/>
      </c>
      <c r="C74" s="59" t="str">
        <f aca="false">IF(名簿!$D74="","",名簿!$D74&amp;IF(名簿!$F74="転出","（転出）",""))</f>
        <v/>
      </c>
      <c r="D74" s="149"/>
      <c r="E74" s="61" t="str">
        <f aca="false">IF(OR($C74="",名簿!$F74="転出"),"",IF($C$2="学級ごと",$A74,IF($C$2="前の単元と同じ",単元04!$E74&amp;"",$D74&amp;"")))</f>
        <v/>
      </c>
      <c r="F74" s="150"/>
      <c r="G74" s="150"/>
      <c r="H74" s="150"/>
      <c r="I74" s="151"/>
      <c r="J74" s="41" t="str">
        <f aca="false">IF($E74="","",$E74&amp;"|"&amp;COUNTIF($E$5:$E74,$E74))</f>
        <v/>
      </c>
      <c r="K74" s="40" t="str">
        <f aca="false">IF($I74="","",LEN($I74))</f>
        <v/>
      </c>
      <c r="L74" s="13"/>
      <c r="M74" s="13"/>
      <c r="N74" s="13"/>
      <c r="O74" s="13"/>
      <c r="P74" s="152"/>
      <c r="Q74" s="149"/>
      <c r="R74" s="152"/>
      <c r="S74" s="152"/>
      <c r="T74" s="62" t="str">
        <f aca="false">IF(OR($C74="",R74=""),"",IF(R74/IF($R$2="",100,$R$2)&gt;=設定!$I$28,設定!$G$8,IF(R74/IF($R$2="",100,$R$2)&lt;設定!$I$29,設定!$G$10,設定!$G$9)))</f>
        <v/>
      </c>
      <c r="U74" s="62" t="str">
        <f aca="false">IF(OR($C74="",S74=""),"",IF(S74/IF($S$2="",100,$S$2)&gt;=設定!$I$28,設定!$G$8,IF(S74/IF($S$2="",100,$S$2)&lt;設定!$I$29,設定!$G$10,設定!$G$9)))</f>
        <v/>
      </c>
    </row>
    <row r="75" customFormat="false" ht="21" hidden="false" customHeight="true" outlineLevel="0" collapsed="false">
      <c r="A75" s="91" t="str">
        <f aca="false">IF(名簿!$D75="","",名簿!$B75&amp;"")</f>
        <v/>
      </c>
      <c r="B75" s="91" t="str">
        <f aca="false">IF(名簿!$D75="","",名簿!$C75)</f>
        <v/>
      </c>
      <c r="C75" s="59" t="str">
        <f aca="false">IF(名簿!$D75="","",名簿!$D75&amp;IF(名簿!$F75="転出","（転出）",""))</f>
        <v/>
      </c>
      <c r="D75" s="149"/>
      <c r="E75" s="61" t="str">
        <f aca="false">IF(OR($C75="",名簿!$F75="転出"),"",IF($C$2="学級ごと",$A75,IF($C$2="前の単元と同じ",単元04!$E75&amp;"",$D75&amp;"")))</f>
        <v/>
      </c>
      <c r="F75" s="150"/>
      <c r="G75" s="150"/>
      <c r="H75" s="150"/>
      <c r="I75" s="151"/>
      <c r="J75" s="41" t="str">
        <f aca="false">IF($E75="","",$E75&amp;"|"&amp;COUNTIF($E$5:$E75,$E75))</f>
        <v/>
      </c>
      <c r="K75" s="40" t="str">
        <f aca="false">IF($I75="","",LEN($I75))</f>
        <v/>
      </c>
      <c r="L75" s="13"/>
      <c r="M75" s="13"/>
      <c r="N75" s="13"/>
      <c r="O75" s="13"/>
      <c r="P75" s="152"/>
      <c r="Q75" s="149"/>
      <c r="R75" s="152"/>
      <c r="S75" s="152"/>
      <c r="T75" s="62" t="str">
        <f aca="false">IF(OR($C75="",R75=""),"",IF(R75/IF($R$2="",100,$R$2)&gt;=設定!$I$28,設定!$G$8,IF(R75/IF($R$2="",100,$R$2)&lt;設定!$I$29,設定!$G$10,設定!$G$9)))</f>
        <v/>
      </c>
      <c r="U75" s="62" t="str">
        <f aca="false">IF(OR($C75="",S75=""),"",IF(S75/IF($S$2="",100,$S$2)&gt;=設定!$I$28,設定!$G$8,IF(S75/IF($S$2="",100,$S$2)&lt;設定!$I$29,設定!$G$10,設定!$G$9)))</f>
        <v/>
      </c>
    </row>
    <row r="76" customFormat="false" ht="21" hidden="false" customHeight="true" outlineLevel="0" collapsed="false">
      <c r="A76" s="91" t="str">
        <f aca="false">IF(名簿!$D76="","",名簿!$B76&amp;"")</f>
        <v/>
      </c>
      <c r="B76" s="91" t="str">
        <f aca="false">IF(名簿!$D76="","",名簿!$C76)</f>
        <v/>
      </c>
      <c r="C76" s="59" t="str">
        <f aca="false">IF(名簿!$D76="","",名簿!$D76&amp;IF(名簿!$F76="転出","（転出）",""))</f>
        <v/>
      </c>
      <c r="D76" s="149"/>
      <c r="E76" s="61" t="str">
        <f aca="false">IF(OR($C76="",名簿!$F76="転出"),"",IF($C$2="学級ごと",$A76,IF($C$2="前の単元と同じ",単元04!$E76&amp;"",$D76&amp;"")))</f>
        <v/>
      </c>
      <c r="F76" s="150"/>
      <c r="G76" s="150"/>
      <c r="H76" s="150"/>
      <c r="I76" s="151"/>
      <c r="J76" s="41" t="str">
        <f aca="false">IF($E76="","",$E76&amp;"|"&amp;COUNTIF($E$5:$E76,$E76))</f>
        <v/>
      </c>
      <c r="K76" s="40" t="str">
        <f aca="false">IF($I76="","",LEN($I76))</f>
        <v/>
      </c>
      <c r="L76" s="13"/>
      <c r="M76" s="13"/>
      <c r="N76" s="13"/>
      <c r="O76" s="13"/>
      <c r="P76" s="152"/>
      <c r="Q76" s="149"/>
      <c r="R76" s="152"/>
      <c r="S76" s="152"/>
      <c r="T76" s="62" t="str">
        <f aca="false">IF(OR($C76="",R76=""),"",IF(R76/IF($R$2="",100,$R$2)&gt;=設定!$I$28,設定!$G$8,IF(R76/IF($R$2="",100,$R$2)&lt;設定!$I$29,設定!$G$10,設定!$G$9)))</f>
        <v/>
      </c>
      <c r="U76" s="62" t="str">
        <f aca="false">IF(OR($C76="",S76=""),"",IF(S76/IF($S$2="",100,$S$2)&gt;=設定!$I$28,設定!$G$8,IF(S76/IF($S$2="",100,$S$2)&lt;設定!$I$29,設定!$G$10,設定!$G$9)))</f>
        <v/>
      </c>
    </row>
    <row r="77" customFormat="false" ht="21" hidden="false" customHeight="true" outlineLevel="0" collapsed="false">
      <c r="A77" s="91" t="str">
        <f aca="false">IF(名簿!$D77="","",名簿!$B77&amp;"")</f>
        <v/>
      </c>
      <c r="B77" s="91" t="str">
        <f aca="false">IF(名簿!$D77="","",名簿!$C77)</f>
        <v/>
      </c>
      <c r="C77" s="59" t="str">
        <f aca="false">IF(名簿!$D77="","",名簿!$D77&amp;IF(名簿!$F77="転出","（転出）",""))</f>
        <v/>
      </c>
      <c r="D77" s="149"/>
      <c r="E77" s="61" t="str">
        <f aca="false">IF(OR($C77="",名簿!$F77="転出"),"",IF($C$2="学級ごと",$A77,IF($C$2="前の単元と同じ",単元04!$E77&amp;"",$D77&amp;"")))</f>
        <v/>
      </c>
      <c r="F77" s="150"/>
      <c r="G77" s="150"/>
      <c r="H77" s="150"/>
      <c r="I77" s="151"/>
      <c r="J77" s="41" t="str">
        <f aca="false">IF($E77="","",$E77&amp;"|"&amp;COUNTIF($E$5:$E77,$E77))</f>
        <v/>
      </c>
      <c r="K77" s="40" t="str">
        <f aca="false">IF($I77="","",LEN($I77))</f>
        <v/>
      </c>
      <c r="L77" s="13"/>
      <c r="M77" s="13"/>
      <c r="N77" s="13"/>
      <c r="O77" s="13"/>
      <c r="P77" s="152"/>
      <c r="Q77" s="149"/>
      <c r="R77" s="152"/>
      <c r="S77" s="152"/>
      <c r="T77" s="62" t="str">
        <f aca="false">IF(OR($C77="",R77=""),"",IF(R77/IF($R$2="",100,$R$2)&gt;=設定!$I$28,設定!$G$8,IF(R77/IF($R$2="",100,$R$2)&lt;設定!$I$29,設定!$G$10,設定!$G$9)))</f>
        <v/>
      </c>
      <c r="U77" s="62" t="str">
        <f aca="false">IF(OR($C77="",S77=""),"",IF(S77/IF($S$2="",100,$S$2)&gt;=設定!$I$28,設定!$G$8,IF(S77/IF($S$2="",100,$S$2)&lt;設定!$I$29,設定!$G$10,設定!$G$9)))</f>
        <v/>
      </c>
    </row>
    <row r="78" customFormat="false" ht="21" hidden="false" customHeight="true" outlineLevel="0" collapsed="false">
      <c r="A78" s="91" t="str">
        <f aca="false">IF(名簿!$D78="","",名簿!$B78&amp;"")</f>
        <v/>
      </c>
      <c r="B78" s="91" t="str">
        <f aca="false">IF(名簿!$D78="","",名簿!$C78)</f>
        <v/>
      </c>
      <c r="C78" s="59" t="str">
        <f aca="false">IF(名簿!$D78="","",名簿!$D78&amp;IF(名簿!$F78="転出","（転出）",""))</f>
        <v/>
      </c>
      <c r="D78" s="149"/>
      <c r="E78" s="61" t="str">
        <f aca="false">IF(OR($C78="",名簿!$F78="転出"),"",IF($C$2="学級ごと",$A78,IF($C$2="前の単元と同じ",単元04!$E78&amp;"",$D78&amp;"")))</f>
        <v/>
      </c>
      <c r="F78" s="150"/>
      <c r="G78" s="150"/>
      <c r="H78" s="150"/>
      <c r="I78" s="151"/>
      <c r="J78" s="41" t="str">
        <f aca="false">IF($E78="","",$E78&amp;"|"&amp;COUNTIF($E$5:$E78,$E78))</f>
        <v/>
      </c>
      <c r="K78" s="40" t="str">
        <f aca="false">IF($I78="","",LEN($I78))</f>
        <v/>
      </c>
      <c r="L78" s="13"/>
      <c r="M78" s="13"/>
      <c r="N78" s="13"/>
      <c r="O78" s="13"/>
      <c r="P78" s="152"/>
      <c r="Q78" s="149"/>
      <c r="R78" s="152"/>
      <c r="S78" s="152"/>
      <c r="T78" s="62" t="str">
        <f aca="false">IF(OR($C78="",R78=""),"",IF(R78/IF($R$2="",100,$R$2)&gt;=設定!$I$28,設定!$G$8,IF(R78/IF($R$2="",100,$R$2)&lt;設定!$I$29,設定!$G$10,設定!$G$9)))</f>
        <v/>
      </c>
      <c r="U78" s="62" t="str">
        <f aca="false">IF(OR($C78="",S78=""),"",IF(S78/IF($S$2="",100,$S$2)&gt;=設定!$I$28,設定!$G$8,IF(S78/IF($S$2="",100,$S$2)&lt;設定!$I$29,設定!$G$10,設定!$G$9)))</f>
        <v/>
      </c>
    </row>
    <row r="79" customFormat="false" ht="21" hidden="false" customHeight="true" outlineLevel="0" collapsed="false">
      <c r="A79" s="91" t="str">
        <f aca="false">IF(名簿!$D79="","",名簿!$B79&amp;"")</f>
        <v/>
      </c>
      <c r="B79" s="91" t="str">
        <f aca="false">IF(名簿!$D79="","",名簿!$C79)</f>
        <v/>
      </c>
      <c r="C79" s="59" t="str">
        <f aca="false">IF(名簿!$D79="","",名簿!$D79&amp;IF(名簿!$F79="転出","（転出）",""))</f>
        <v/>
      </c>
      <c r="D79" s="149"/>
      <c r="E79" s="61" t="str">
        <f aca="false">IF(OR($C79="",名簿!$F79="転出"),"",IF($C$2="学級ごと",$A79,IF($C$2="前の単元と同じ",単元04!$E79&amp;"",$D79&amp;"")))</f>
        <v/>
      </c>
      <c r="F79" s="150"/>
      <c r="G79" s="150"/>
      <c r="H79" s="150"/>
      <c r="I79" s="151"/>
      <c r="J79" s="41" t="str">
        <f aca="false">IF($E79="","",$E79&amp;"|"&amp;COUNTIF($E$5:$E79,$E79))</f>
        <v/>
      </c>
      <c r="K79" s="40" t="str">
        <f aca="false">IF($I79="","",LEN($I79))</f>
        <v/>
      </c>
      <c r="L79" s="13"/>
      <c r="M79" s="13"/>
      <c r="N79" s="13"/>
      <c r="O79" s="13"/>
      <c r="P79" s="152"/>
      <c r="Q79" s="149"/>
      <c r="R79" s="152"/>
      <c r="S79" s="152"/>
      <c r="T79" s="62" t="str">
        <f aca="false">IF(OR($C79="",R79=""),"",IF(R79/IF($R$2="",100,$R$2)&gt;=設定!$I$28,設定!$G$8,IF(R79/IF($R$2="",100,$R$2)&lt;設定!$I$29,設定!$G$10,設定!$G$9)))</f>
        <v/>
      </c>
      <c r="U79" s="62" t="str">
        <f aca="false">IF(OR($C79="",S79=""),"",IF(S79/IF($S$2="",100,$S$2)&gt;=設定!$I$28,設定!$G$8,IF(S79/IF($S$2="",100,$S$2)&lt;設定!$I$29,設定!$G$10,設定!$G$9)))</f>
        <v/>
      </c>
    </row>
    <row r="80" customFormat="false" ht="21" hidden="false" customHeight="true" outlineLevel="0" collapsed="false">
      <c r="A80" s="91" t="str">
        <f aca="false">IF(名簿!$D80="","",名簿!$B80&amp;"")</f>
        <v/>
      </c>
      <c r="B80" s="91" t="str">
        <f aca="false">IF(名簿!$D80="","",名簿!$C80)</f>
        <v/>
      </c>
      <c r="C80" s="59" t="str">
        <f aca="false">IF(名簿!$D80="","",名簿!$D80&amp;IF(名簿!$F80="転出","（転出）",""))</f>
        <v/>
      </c>
      <c r="D80" s="149"/>
      <c r="E80" s="61" t="str">
        <f aca="false">IF(OR($C80="",名簿!$F80="転出"),"",IF($C$2="学級ごと",$A80,IF($C$2="前の単元と同じ",単元04!$E80&amp;"",$D80&amp;"")))</f>
        <v/>
      </c>
      <c r="F80" s="150"/>
      <c r="G80" s="150"/>
      <c r="H80" s="150"/>
      <c r="I80" s="151"/>
      <c r="J80" s="41" t="str">
        <f aca="false">IF($E80="","",$E80&amp;"|"&amp;COUNTIF($E$5:$E80,$E80))</f>
        <v/>
      </c>
      <c r="K80" s="40" t="str">
        <f aca="false">IF($I80="","",LEN($I80))</f>
        <v/>
      </c>
      <c r="L80" s="13"/>
      <c r="M80" s="13"/>
      <c r="N80" s="13"/>
      <c r="O80" s="13"/>
      <c r="P80" s="152"/>
      <c r="Q80" s="149"/>
      <c r="R80" s="152"/>
      <c r="S80" s="152"/>
      <c r="T80" s="62" t="str">
        <f aca="false">IF(OR($C80="",R80=""),"",IF(R80/IF($R$2="",100,$R$2)&gt;=設定!$I$28,設定!$G$8,IF(R80/IF($R$2="",100,$R$2)&lt;設定!$I$29,設定!$G$10,設定!$G$9)))</f>
        <v/>
      </c>
      <c r="U80" s="62" t="str">
        <f aca="false">IF(OR($C80="",S80=""),"",IF(S80/IF($S$2="",100,$S$2)&gt;=設定!$I$28,設定!$G$8,IF(S80/IF($S$2="",100,$S$2)&lt;設定!$I$29,設定!$G$10,設定!$G$9)))</f>
        <v/>
      </c>
    </row>
    <row r="81" customFormat="false" ht="21" hidden="false" customHeight="true" outlineLevel="0" collapsed="false">
      <c r="A81" s="91" t="str">
        <f aca="false">IF(名簿!$D81="","",名簿!$B81&amp;"")</f>
        <v/>
      </c>
      <c r="B81" s="91" t="str">
        <f aca="false">IF(名簿!$D81="","",名簿!$C81)</f>
        <v/>
      </c>
      <c r="C81" s="59" t="str">
        <f aca="false">IF(名簿!$D81="","",名簿!$D81&amp;IF(名簿!$F81="転出","（転出）",""))</f>
        <v/>
      </c>
      <c r="D81" s="149"/>
      <c r="E81" s="61" t="str">
        <f aca="false">IF(OR($C81="",名簿!$F81="転出"),"",IF($C$2="学級ごと",$A81,IF($C$2="前の単元と同じ",単元04!$E81&amp;"",$D81&amp;"")))</f>
        <v/>
      </c>
      <c r="F81" s="150"/>
      <c r="G81" s="150"/>
      <c r="H81" s="150"/>
      <c r="I81" s="151"/>
      <c r="J81" s="41" t="str">
        <f aca="false">IF($E81="","",$E81&amp;"|"&amp;COUNTIF($E$5:$E81,$E81))</f>
        <v/>
      </c>
      <c r="K81" s="40" t="str">
        <f aca="false">IF($I81="","",LEN($I81))</f>
        <v/>
      </c>
      <c r="L81" s="13"/>
      <c r="M81" s="13"/>
      <c r="N81" s="13"/>
      <c r="O81" s="13"/>
      <c r="P81" s="152"/>
      <c r="Q81" s="149"/>
      <c r="R81" s="152"/>
      <c r="S81" s="152"/>
      <c r="T81" s="62" t="str">
        <f aca="false">IF(OR($C81="",R81=""),"",IF(R81/IF($R$2="",100,$R$2)&gt;=設定!$I$28,設定!$G$8,IF(R81/IF($R$2="",100,$R$2)&lt;設定!$I$29,設定!$G$10,設定!$G$9)))</f>
        <v/>
      </c>
      <c r="U81" s="62" t="str">
        <f aca="false">IF(OR($C81="",S81=""),"",IF(S81/IF($S$2="",100,$S$2)&gt;=設定!$I$28,設定!$G$8,IF(S81/IF($S$2="",100,$S$2)&lt;設定!$I$29,設定!$G$10,設定!$G$9)))</f>
        <v/>
      </c>
    </row>
    <row r="82" customFormat="false" ht="21" hidden="false" customHeight="true" outlineLevel="0" collapsed="false">
      <c r="A82" s="91" t="str">
        <f aca="false">IF(名簿!$D82="","",名簿!$B82&amp;"")</f>
        <v/>
      </c>
      <c r="B82" s="91" t="str">
        <f aca="false">IF(名簿!$D82="","",名簿!$C82)</f>
        <v/>
      </c>
      <c r="C82" s="59" t="str">
        <f aca="false">IF(名簿!$D82="","",名簿!$D82&amp;IF(名簿!$F82="転出","（転出）",""))</f>
        <v/>
      </c>
      <c r="D82" s="149"/>
      <c r="E82" s="61" t="str">
        <f aca="false">IF(OR($C82="",名簿!$F82="転出"),"",IF($C$2="学級ごと",$A82,IF($C$2="前の単元と同じ",単元04!$E82&amp;"",$D82&amp;"")))</f>
        <v/>
      </c>
      <c r="F82" s="150"/>
      <c r="G82" s="150"/>
      <c r="H82" s="150"/>
      <c r="I82" s="151"/>
      <c r="J82" s="41" t="str">
        <f aca="false">IF($E82="","",$E82&amp;"|"&amp;COUNTIF($E$5:$E82,$E82))</f>
        <v/>
      </c>
      <c r="K82" s="40" t="str">
        <f aca="false">IF($I82="","",LEN($I82))</f>
        <v/>
      </c>
      <c r="L82" s="13"/>
      <c r="M82" s="13"/>
      <c r="N82" s="13"/>
      <c r="O82" s="13"/>
      <c r="P82" s="152"/>
      <c r="Q82" s="149"/>
      <c r="R82" s="152"/>
      <c r="S82" s="152"/>
      <c r="T82" s="62" t="str">
        <f aca="false">IF(OR($C82="",R82=""),"",IF(R82/IF($R$2="",100,$R$2)&gt;=設定!$I$28,設定!$G$8,IF(R82/IF($R$2="",100,$R$2)&lt;設定!$I$29,設定!$G$10,設定!$G$9)))</f>
        <v/>
      </c>
      <c r="U82" s="62" t="str">
        <f aca="false">IF(OR($C82="",S82=""),"",IF(S82/IF($S$2="",100,$S$2)&gt;=設定!$I$28,設定!$G$8,IF(S82/IF($S$2="",100,$S$2)&lt;設定!$I$29,設定!$G$10,設定!$G$9)))</f>
        <v/>
      </c>
    </row>
    <row r="83" customFormat="false" ht="21" hidden="false" customHeight="true" outlineLevel="0" collapsed="false">
      <c r="A83" s="91" t="str">
        <f aca="false">IF(名簿!$D83="","",名簿!$B83&amp;"")</f>
        <v/>
      </c>
      <c r="B83" s="91" t="str">
        <f aca="false">IF(名簿!$D83="","",名簿!$C83)</f>
        <v/>
      </c>
      <c r="C83" s="59" t="str">
        <f aca="false">IF(名簿!$D83="","",名簿!$D83&amp;IF(名簿!$F83="転出","（転出）",""))</f>
        <v/>
      </c>
      <c r="D83" s="149"/>
      <c r="E83" s="61" t="str">
        <f aca="false">IF(OR($C83="",名簿!$F83="転出"),"",IF($C$2="学級ごと",$A83,IF($C$2="前の単元と同じ",単元04!$E83&amp;"",$D83&amp;"")))</f>
        <v/>
      </c>
      <c r="F83" s="150"/>
      <c r="G83" s="150"/>
      <c r="H83" s="150"/>
      <c r="I83" s="151"/>
      <c r="J83" s="41" t="str">
        <f aca="false">IF($E83="","",$E83&amp;"|"&amp;COUNTIF($E$5:$E83,$E83))</f>
        <v/>
      </c>
      <c r="K83" s="40" t="str">
        <f aca="false">IF($I83="","",LEN($I83))</f>
        <v/>
      </c>
      <c r="L83" s="13"/>
      <c r="M83" s="13"/>
      <c r="N83" s="13"/>
      <c r="O83" s="13"/>
      <c r="P83" s="152"/>
      <c r="Q83" s="149"/>
      <c r="R83" s="152"/>
      <c r="S83" s="152"/>
      <c r="T83" s="62" t="str">
        <f aca="false">IF(OR($C83="",R83=""),"",IF(R83/IF($R$2="",100,$R$2)&gt;=設定!$I$28,設定!$G$8,IF(R83/IF($R$2="",100,$R$2)&lt;設定!$I$29,設定!$G$10,設定!$G$9)))</f>
        <v/>
      </c>
      <c r="U83" s="62" t="str">
        <f aca="false">IF(OR($C83="",S83=""),"",IF(S83/IF($S$2="",100,$S$2)&gt;=設定!$I$28,設定!$G$8,IF(S83/IF($S$2="",100,$S$2)&lt;設定!$I$29,設定!$G$10,設定!$G$9)))</f>
        <v/>
      </c>
    </row>
    <row r="84" customFormat="false" ht="21" hidden="false" customHeight="true" outlineLevel="0" collapsed="false">
      <c r="A84" s="91" t="str">
        <f aca="false">IF(名簿!$D84="","",名簿!$B84&amp;"")</f>
        <v/>
      </c>
      <c r="B84" s="91" t="str">
        <f aca="false">IF(名簿!$D84="","",名簿!$C84)</f>
        <v/>
      </c>
      <c r="C84" s="59" t="str">
        <f aca="false">IF(名簿!$D84="","",名簿!$D84&amp;IF(名簿!$F84="転出","（転出）",""))</f>
        <v/>
      </c>
      <c r="D84" s="149"/>
      <c r="E84" s="61" t="str">
        <f aca="false">IF(OR($C84="",名簿!$F84="転出"),"",IF($C$2="学級ごと",$A84,IF($C$2="前の単元と同じ",単元04!$E84&amp;"",$D84&amp;"")))</f>
        <v/>
      </c>
      <c r="F84" s="150"/>
      <c r="G84" s="150"/>
      <c r="H84" s="150"/>
      <c r="I84" s="151"/>
      <c r="J84" s="41" t="str">
        <f aca="false">IF($E84="","",$E84&amp;"|"&amp;COUNTIF($E$5:$E84,$E84))</f>
        <v/>
      </c>
      <c r="K84" s="40" t="str">
        <f aca="false">IF($I84="","",LEN($I84))</f>
        <v/>
      </c>
      <c r="L84" s="13"/>
      <c r="M84" s="13"/>
      <c r="N84" s="13"/>
      <c r="O84" s="13"/>
      <c r="P84" s="152"/>
      <c r="Q84" s="149"/>
      <c r="R84" s="152"/>
      <c r="S84" s="152"/>
      <c r="T84" s="62" t="str">
        <f aca="false">IF(OR($C84="",R84=""),"",IF(R84/IF($R$2="",100,$R$2)&gt;=設定!$I$28,設定!$G$8,IF(R84/IF($R$2="",100,$R$2)&lt;設定!$I$29,設定!$G$10,設定!$G$9)))</f>
        <v/>
      </c>
      <c r="U84" s="62" t="str">
        <f aca="false">IF(OR($C84="",S84=""),"",IF(S84/IF($S$2="",100,$S$2)&gt;=設定!$I$28,設定!$G$8,IF(S84/IF($S$2="",100,$S$2)&lt;設定!$I$29,設定!$G$10,設定!$G$9)))</f>
        <v/>
      </c>
    </row>
    <row r="85" customFormat="false" ht="21" hidden="false" customHeight="true" outlineLevel="0" collapsed="false">
      <c r="A85" s="91" t="str">
        <f aca="false">IF(名簿!$D85="","",名簿!$B85&amp;"")</f>
        <v/>
      </c>
      <c r="B85" s="91" t="str">
        <f aca="false">IF(名簿!$D85="","",名簿!$C85)</f>
        <v/>
      </c>
      <c r="C85" s="59" t="str">
        <f aca="false">IF(名簿!$D85="","",名簿!$D85&amp;IF(名簿!$F85="転出","（転出）",""))</f>
        <v/>
      </c>
      <c r="D85" s="149"/>
      <c r="E85" s="61" t="str">
        <f aca="false">IF(OR($C85="",名簿!$F85="転出"),"",IF($C$2="学級ごと",$A85,IF($C$2="前の単元と同じ",単元04!$E85&amp;"",$D85&amp;"")))</f>
        <v/>
      </c>
      <c r="F85" s="150"/>
      <c r="G85" s="150"/>
      <c r="H85" s="150"/>
      <c r="I85" s="151"/>
      <c r="J85" s="41" t="str">
        <f aca="false">IF($E85="","",$E85&amp;"|"&amp;COUNTIF($E$5:$E85,$E85))</f>
        <v/>
      </c>
      <c r="K85" s="40" t="str">
        <f aca="false">IF($I85="","",LEN($I85))</f>
        <v/>
      </c>
      <c r="L85" s="13"/>
      <c r="M85" s="13"/>
      <c r="N85" s="13"/>
      <c r="O85" s="13"/>
      <c r="P85" s="152"/>
      <c r="Q85" s="149"/>
      <c r="R85" s="152"/>
      <c r="S85" s="152"/>
      <c r="T85" s="62" t="str">
        <f aca="false">IF(OR($C85="",R85=""),"",IF(R85/IF($R$2="",100,$R$2)&gt;=設定!$I$28,設定!$G$8,IF(R85/IF($R$2="",100,$R$2)&lt;設定!$I$29,設定!$G$10,設定!$G$9)))</f>
        <v/>
      </c>
      <c r="U85" s="62" t="str">
        <f aca="false">IF(OR($C85="",S85=""),"",IF(S85/IF($S$2="",100,$S$2)&gt;=設定!$I$28,設定!$G$8,IF(S85/IF($S$2="",100,$S$2)&lt;設定!$I$29,設定!$G$10,設定!$G$9)))</f>
        <v/>
      </c>
    </row>
    <row r="86" customFormat="false" ht="21" hidden="false" customHeight="true" outlineLevel="0" collapsed="false">
      <c r="A86" s="91" t="str">
        <f aca="false">IF(名簿!$D86="","",名簿!$B86&amp;"")</f>
        <v/>
      </c>
      <c r="B86" s="91" t="str">
        <f aca="false">IF(名簿!$D86="","",名簿!$C86)</f>
        <v/>
      </c>
      <c r="C86" s="59" t="str">
        <f aca="false">IF(名簿!$D86="","",名簿!$D86&amp;IF(名簿!$F86="転出","（転出）",""))</f>
        <v/>
      </c>
      <c r="D86" s="149"/>
      <c r="E86" s="61" t="str">
        <f aca="false">IF(OR($C86="",名簿!$F86="転出"),"",IF($C$2="学級ごと",$A86,IF($C$2="前の単元と同じ",単元04!$E86&amp;"",$D86&amp;"")))</f>
        <v/>
      </c>
      <c r="F86" s="150"/>
      <c r="G86" s="150"/>
      <c r="H86" s="150"/>
      <c r="I86" s="151"/>
      <c r="J86" s="41" t="str">
        <f aca="false">IF($E86="","",$E86&amp;"|"&amp;COUNTIF($E$5:$E86,$E86))</f>
        <v/>
      </c>
      <c r="K86" s="40" t="str">
        <f aca="false">IF($I86="","",LEN($I86))</f>
        <v/>
      </c>
      <c r="L86" s="13"/>
      <c r="M86" s="13"/>
      <c r="N86" s="13"/>
      <c r="O86" s="13"/>
      <c r="P86" s="152"/>
      <c r="Q86" s="149"/>
      <c r="R86" s="152"/>
      <c r="S86" s="152"/>
      <c r="T86" s="62" t="str">
        <f aca="false">IF(OR($C86="",R86=""),"",IF(R86/IF($R$2="",100,$R$2)&gt;=設定!$I$28,設定!$G$8,IF(R86/IF($R$2="",100,$R$2)&lt;設定!$I$29,設定!$G$10,設定!$G$9)))</f>
        <v/>
      </c>
      <c r="U86" s="62" t="str">
        <f aca="false">IF(OR($C86="",S86=""),"",IF(S86/IF($S$2="",100,$S$2)&gt;=設定!$I$28,設定!$G$8,IF(S86/IF($S$2="",100,$S$2)&lt;設定!$I$29,設定!$G$10,設定!$G$9)))</f>
        <v/>
      </c>
    </row>
    <row r="87" customFormat="false" ht="21" hidden="false" customHeight="true" outlineLevel="0" collapsed="false">
      <c r="A87" s="91" t="str">
        <f aca="false">IF(名簿!$D87="","",名簿!$B87&amp;"")</f>
        <v/>
      </c>
      <c r="B87" s="91" t="str">
        <f aca="false">IF(名簿!$D87="","",名簿!$C87)</f>
        <v/>
      </c>
      <c r="C87" s="59" t="str">
        <f aca="false">IF(名簿!$D87="","",名簿!$D87&amp;IF(名簿!$F87="転出","（転出）",""))</f>
        <v/>
      </c>
      <c r="D87" s="149"/>
      <c r="E87" s="61" t="str">
        <f aca="false">IF(OR($C87="",名簿!$F87="転出"),"",IF($C$2="学級ごと",$A87,IF($C$2="前の単元と同じ",単元04!$E87&amp;"",$D87&amp;"")))</f>
        <v/>
      </c>
      <c r="F87" s="150"/>
      <c r="G87" s="150"/>
      <c r="H87" s="150"/>
      <c r="I87" s="151"/>
      <c r="J87" s="41" t="str">
        <f aca="false">IF($E87="","",$E87&amp;"|"&amp;COUNTIF($E$5:$E87,$E87))</f>
        <v/>
      </c>
      <c r="K87" s="40" t="str">
        <f aca="false">IF($I87="","",LEN($I87))</f>
        <v/>
      </c>
      <c r="L87" s="13"/>
      <c r="M87" s="13"/>
      <c r="N87" s="13"/>
      <c r="O87" s="13"/>
      <c r="P87" s="152"/>
      <c r="Q87" s="149"/>
      <c r="R87" s="152"/>
      <c r="S87" s="152"/>
      <c r="T87" s="62" t="str">
        <f aca="false">IF(OR($C87="",R87=""),"",IF(R87/IF($R$2="",100,$R$2)&gt;=設定!$I$28,設定!$G$8,IF(R87/IF($R$2="",100,$R$2)&lt;設定!$I$29,設定!$G$10,設定!$G$9)))</f>
        <v/>
      </c>
      <c r="U87" s="62" t="str">
        <f aca="false">IF(OR($C87="",S87=""),"",IF(S87/IF($S$2="",100,$S$2)&gt;=設定!$I$28,設定!$G$8,IF(S87/IF($S$2="",100,$S$2)&lt;設定!$I$29,設定!$G$10,設定!$G$9)))</f>
        <v/>
      </c>
    </row>
    <row r="88" customFormat="false" ht="21" hidden="false" customHeight="true" outlineLevel="0" collapsed="false">
      <c r="A88" s="91" t="str">
        <f aca="false">IF(名簿!$D88="","",名簿!$B88&amp;"")</f>
        <v/>
      </c>
      <c r="B88" s="91" t="str">
        <f aca="false">IF(名簿!$D88="","",名簿!$C88)</f>
        <v/>
      </c>
      <c r="C88" s="59" t="str">
        <f aca="false">IF(名簿!$D88="","",名簿!$D88&amp;IF(名簿!$F88="転出","（転出）",""))</f>
        <v/>
      </c>
      <c r="D88" s="149"/>
      <c r="E88" s="61" t="str">
        <f aca="false">IF(OR($C88="",名簿!$F88="転出"),"",IF($C$2="学級ごと",$A88,IF($C$2="前の単元と同じ",単元04!$E88&amp;"",$D88&amp;"")))</f>
        <v/>
      </c>
      <c r="F88" s="150"/>
      <c r="G88" s="150"/>
      <c r="H88" s="150"/>
      <c r="I88" s="151"/>
      <c r="J88" s="41" t="str">
        <f aca="false">IF($E88="","",$E88&amp;"|"&amp;COUNTIF($E$5:$E88,$E88))</f>
        <v/>
      </c>
      <c r="K88" s="40" t="str">
        <f aca="false">IF($I88="","",LEN($I88))</f>
        <v/>
      </c>
      <c r="L88" s="13"/>
      <c r="M88" s="13"/>
      <c r="N88" s="13"/>
      <c r="O88" s="13"/>
      <c r="P88" s="152"/>
      <c r="Q88" s="149"/>
      <c r="R88" s="152"/>
      <c r="S88" s="152"/>
      <c r="T88" s="62" t="str">
        <f aca="false">IF(OR($C88="",R88=""),"",IF(R88/IF($R$2="",100,$R$2)&gt;=設定!$I$28,設定!$G$8,IF(R88/IF($R$2="",100,$R$2)&lt;設定!$I$29,設定!$G$10,設定!$G$9)))</f>
        <v/>
      </c>
      <c r="U88" s="62" t="str">
        <f aca="false">IF(OR($C88="",S88=""),"",IF(S88/IF($S$2="",100,$S$2)&gt;=設定!$I$28,設定!$G$8,IF(S88/IF($S$2="",100,$S$2)&lt;設定!$I$29,設定!$G$10,設定!$G$9)))</f>
        <v/>
      </c>
    </row>
    <row r="89" customFormat="false" ht="21" hidden="false" customHeight="true" outlineLevel="0" collapsed="false">
      <c r="A89" s="91" t="str">
        <f aca="false">IF(名簿!$D89="","",名簿!$B89&amp;"")</f>
        <v/>
      </c>
      <c r="B89" s="91" t="str">
        <f aca="false">IF(名簿!$D89="","",名簿!$C89)</f>
        <v/>
      </c>
      <c r="C89" s="59" t="str">
        <f aca="false">IF(名簿!$D89="","",名簿!$D89&amp;IF(名簿!$F89="転出","（転出）",""))</f>
        <v/>
      </c>
      <c r="D89" s="149"/>
      <c r="E89" s="61" t="str">
        <f aca="false">IF(OR($C89="",名簿!$F89="転出"),"",IF($C$2="学級ごと",$A89,IF($C$2="前の単元と同じ",単元04!$E89&amp;"",$D89&amp;"")))</f>
        <v/>
      </c>
      <c r="F89" s="150"/>
      <c r="G89" s="150"/>
      <c r="H89" s="150"/>
      <c r="I89" s="151"/>
      <c r="J89" s="41" t="str">
        <f aca="false">IF($E89="","",$E89&amp;"|"&amp;COUNTIF($E$5:$E89,$E89))</f>
        <v/>
      </c>
      <c r="K89" s="40" t="str">
        <f aca="false">IF($I89="","",LEN($I89))</f>
        <v/>
      </c>
      <c r="L89" s="13"/>
      <c r="M89" s="13"/>
      <c r="N89" s="13"/>
      <c r="O89" s="13"/>
      <c r="P89" s="152"/>
      <c r="Q89" s="149"/>
      <c r="R89" s="152"/>
      <c r="S89" s="152"/>
      <c r="T89" s="62" t="str">
        <f aca="false">IF(OR($C89="",R89=""),"",IF(R89/IF($R$2="",100,$R$2)&gt;=設定!$I$28,設定!$G$8,IF(R89/IF($R$2="",100,$R$2)&lt;設定!$I$29,設定!$G$10,設定!$G$9)))</f>
        <v/>
      </c>
      <c r="U89" s="62" t="str">
        <f aca="false">IF(OR($C89="",S89=""),"",IF(S89/IF($S$2="",100,$S$2)&gt;=設定!$I$28,設定!$G$8,IF(S89/IF($S$2="",100,$S$2)&lt;設定!$I$29,設定!$G$10,設定!$G$9)))</f>
        <v/>
      </c>
    </row>
    <row r="90" customFormat="false" ht="21" hidden="false" customHeight="true" outlineLevel="0" collapsed="false">
      <c r="A90" s="91" t="str">
        <f aca="false">IF(名簿!$D90="","",名簿!$B90&amp;"")</f>
        <v/>
      </c>
      <c r="B90" s="91" t="str">
        <f aca="false">IF(名簿!$D90="","",名簿!$C90)</f>
        <v/>
      </c>
      <c r="C90" s="59" t="str">
        <f aca="false">IF(名簿!$D90="","",名簿!$D90&amp;IF(名簿!$F90="転出","（転出）",""))</f>
        <v/>
      </c>
      <c r="D90" s="149"/>
      <c r="E90" s="61" t="str">
        <f aca="false">IF(OR($C90="",名簿!$F90="転出"),"",IF($C$2="学級ごと",$A90,IF($C$2="前の単元と同じ",単元04!$E90&amp;"",$D90&amp;"")))</f>
        <v/>
      </c>
      <c r="F90" s="150"/>
      <c r="G90" s="150"/>
      <c r="H90" s="150"/>
      <c r="I90" s="151"/>
      <c r="J90" s="41" t="str">
        <f aca="false">IF($E90="","",$E90&amp;"|"&amp;COUNTIF($E$5:$E90,$E90))</f>
        <v/>
      </c>
      <c r="K90" s="40" t="str">
        <f aca="false">IF($I90="","",LEN($I90))</f>
        <v/>
      </c>
      <c r="L90" s="13"/>
      <c r="M90" s="13"/>
      <c r="N90" s="13"/>
      <c r="O90" s="13"/>
      <c r="P90" s="152"/>
      <c r="Q90" s="149"/>
      <c r="R90" s="152"/>
      <c r="S90" s="152"/>
      <c r="T90" s="62" t="str">
        <f aca="false">IF(OR($C90="",R90=""),"",IF(R90/IF($R$2="",100,$R$2)&gt;=設定!$I$28,設定!$G$8,IF(R90/IF($R$2="",100,$R$2)&lt;設定!$I$29,設定!$G$10,設定!$G$9)))</f>
        <v/>
      </c>
      <c r="U90" s="62" t="str">
        <f aca="false">IF(OR($C90="",S90=""),"",IF(S90/IF($S$2="",100,$S$2)&gt;=設定!$I$28,設定!$G$8,IF(S90/IF($S$2="",100,$S$2)&lt;設定!$I$29,設定!$G$10,設定!$G$9)))</f>
        <v/>
      </c>
    </row>
    <row r="91" customFormat="false" ht="21" hidden="false" customHeight="true" outlineLevel="0" collapsed="false">
      <c r="A91" s="91" t="str">
        <f aca="false">IF(名簿!$D91="","",名簿!$B91&amp;"")</f>
        <v/>
      </c>
      <c r="B91" s="91" t="str">
        <f aca="false">IF(名簿!$D91="","",名簿!$C91)</f>
        <v/>
      </c>
      <c r="C91" s="59" t="str">
        <f aca="false">IF(名簿!$D91="","",名簿!$D91&amp;IF(名簿!$F91="転出","（転出）",""))</f>
        <v/>
      </c>
      <c r="D91" s="149"/>
      <c r="E91" s="61" t="str">
        <f aca="false">IF(OR($C91="",名簿!$F91="転出"),"",IF($C$2="学級ごと",$A91,IF($C$2="前の単元と同じ",単元04!$E91&amp;"",$D91&amp;"")))</f>
        <v/>
      </c>
      <c r="F91" s="150"/>
      <c r="G91" s="150"/>
      <c r="H91" s="150"/>
      <c r="I91" s="151"/>
      <c r="J91" s="41" t="str">
        <f aca="false">IF($E91="","",$E91&amp;"|"&amp;COUNTIF($E$5:$E91,$E91))</f>
        <v/>
      </c>
      <c r="K91" s="40" t="str">
        <f aca="false">IF($I91="","",LEN($I91))</f>
        <v/>
      </c>
      <c r="L91" s="13"/>
      <c r="M91" s="13"/>
      <c r="N91" s="13"/>
      <c r="O91" s="13"/>
      <c r="P91" s="152"/>
      <c r="Q91" s="149"/>
      <c r="R91" s="152"/>
      <c r="S91" s="152"/>
      <c r="T91" s="62" t="str">
        <f aca="false">IF(OR($C91="",R91=""),"",IF(R91/IF($R$2="",100,$R$2)&gt;=設定!$I$28,設定!$G$8,IF(R91/IF($R$2="",100,$R$2)&lt;設定!$I$29,設定!$G$10,設定!$G$9)))</f>
        <v/>
      </c>
      <c r="U91" s="62" t="str">
        <f aca="false">IF(OR($C91="",S91=""),"",IF(S91/IF($S$2="",100,$S$2)&gt;=設定!$I$28,設定!$G$8,IF(S91/IF($S$2="",100,$S$2)&lt;設定!$I$29,設定!$G$10,設定!$G$9)))</f>
        <v/>
      </c>
    </row>
    <row r="92" customFormat="false" ht="21" hidden="false" customHeight="true" outlineLevel="0" collapsed="false">
      <c r="A92" s="91" t="str">
        <f aca="false">IF(名簿!$D92="","",名簿!$B92&amp;"")</f>
        <v/>
      </c>
      <c r="B92" s="91" t="str">
        <f aca="false">IF(名簿!$D92="","",名簿!$C92)</f>
        <v/>
      </c>
      <c r="C92" s="59" t="str">
        <f aca="false">IF(名簿!$D92="","",名簿!$D92&amp;IF(名簿!$F92="転出","（転出）",""))</f>
        <v/>
      </c>
      <c r="D92" s="149"/>
      <c r="E92" s="61" t="str">
        <f aca="false">IF(OR($C92="",名簿!$F92="転出"),"",IF($C$2="学級ごと",$A92,IF($C$2="前の単元と同じ",単元04!$E92&amp;"",$D92&amp;"")))</f>
        <v/>
      </c>
      <c r="F92" s="150"/>
      <c r="G92" s="150"/>
      <c r="H92" s="150"/>
      <c r="I92" s="151"/>
      <c r="J92" s="41" t="str">
        <f aca="false">IF($E92="","",$E92&amp;"|"&amp;COUNTIF($E$5:$E92,$E92))</f>
        <v/>
      </c>
      <c r="K92" s="40" t="str">
        <f aca="false">IF($I92="","",LEN($I92))</f>
        <v/>
      </c>
      <c r="L92" s="13"/>
      <c r="M92" s="13"/>
      <c r="N92" s="13"/>
      <c r="O92" s="13"/>
      <c r="P92" s="152"/>
      <c r="Q92" s="149"/>
      <c r="R92" s="152"/>
      <c r="S92" s="152"/>
      <c r="T92" s="62" t="str">
        <f aca="false">IF(OR($C92="",R92=""),"",IF(R92/IF($R$2="",100,$R$2)&gt;=設定!$I$28,設定!$G$8,IF(R92/IF($R$2="",100,$R$2)&lt;設定!$I$29,設定!$G$10,設定!$G$9)))</f>
        <v/>
      </c>
      <c r="U92" s="62" t="str">
        <f aca="false">IF(OR($C92="",S92=""),"",IF(S92/IF($S$2="",100,$S$2)&gt;=設定!$I$28,設定!$G$8,IF(S92/IF($S$2="",100,$S$2)&lt;設定!$I$29,設定!$G$10,設定!$G$9)))</f>
        <v/>
      </c>
    </row>
    <row r="93" customFormat="false" ht="21" hidden="false" customHeight="true" outlineLevel="0" collapsed="false">
      <c r="A93" s="91" t="str">
        <f aca="false">IF(名簿!$D93="","",名簿!$B93&amp;"")</f>
        <v/>
      </c>
      <c r="B93" s="91" t="str">
        <f aca="false">IF(名簿!$D93="","",名簿!$C93)</f>
        <v/>
      </c>
      <c r="C93" s="59" t="str">
        <f aca="false">IF(名簿!$D93="","",名簿!$D93&amp;IF(名簿!$F93="転出","（転出）",""))</f>
        <v/>
      </c>
      <c r="D93" s="149"/>
      <c r="E93" s="61" t="str">
        <f aca="false">IF(OR($C93="",名簿!$F93="転出"),"",IF($C$2="学級ごと",$A93,IF($C$2="前の単元と同じ",単元04!$E93&amp;"",$D93&amp;"")))</f>
        <v/>
      </c>
      <c r="F93" s="150"/>
      <c r="G93" s="150"/>
      <c r="H93" s="150"/>
      <c r="I93" s="151"/>
      <c r="J93" s="41" t="str">
        <f aca="false">IF($E93="","",$E93&amp;"|"&amp;COUNTIF($E$5:$E93,$E93))</f>
        <v/>
      </c>
      <c r="K93" s="40" t="str">
        <f aca="false">IF($I93="","",LEN($I93))</f>
        <v/>
      </c>
      <c r="L93" s="13"/>
      <c r="M93" s="13"/>
      <c r="N93" s="13"/>
      <c r="O93" s="13"/>
      <c r="P93" s="152"/>
      <c r="Q93" s="149"/>
      <c r="R93" s="152"/>
      <c r="S93" s="152"/>
      <c r="T93" s="62" t="str">
        <f aca="false">IF(OR($C93="",R93=""),"",IF(R93/IF($R$2="",100,$R$2)&gt;=設定!$I$28,設定!$G$8,IF(R93/IF($R$2="",100,$R$2)&lt;設定!$I$29,設定!$G$10,設定!$G$9)))</f>
        <v/>
      </c>
      <c r="U93" s="62" t="str">
        <f aca="false">IF(OR($C93="",S93=""),"",IF(S93/IF($S$2="",100,$S$2)&gt;=設定!$I$28,設定!$G$8,IF(S93/IF($S$2="",100,$S$2)&lt;設定!$I$29,設定!$G$10,設定!$G$9)))</f>
        <v/>
      </c>
    </row>
    <row r="94" customFormat="false" ht="21" hidden="false" customHeight="true" outlineLevel="0" collapsed="false">
      <c r="A94" s="91" t="str">
        <f aca="false">IF(名簿!$D94="","",名簿!$B94&amp;"")</f>
        <v/>
      </c>
      <c r="B94" s="91" t="str">
        <f aca="false">IF(名簿!$D94="","",名簿!$C94)</f>
        <v/>
      </c>
      <c r="C94" s="59" t="str">
        <f aca="false">IF(名簿!$D94="","",名簿!$D94&amp;IF(名簿!$F94="転出","（転出）",""))</f>
        <v/>
      </c>
      <c r="D94" s="149"/>
      <c r="E94" s="61" t="str">
        <f aca="false">IF(OR($C94="",名簿!$F94="転出"),"",IF($C$2="学級ごと",$A94,IF($C$2="前の単元と同じ",単元04!$E94&amp;"",$D94&amp;"")))</f>
        <v/>
      </c>
      <c r="F94" s="150"/>
      <c r="G94" s="150"/>
      <c r="H94" s="150"/>
      <c r="I94" s="151"/>
      <c r="J94" s="41" t="str">
        <f aca="false">IF($E94="","",$E94&amp;"|"&amp;COUNTIF($E$5:$E94,$E94))</f>
        <v/>
      </c>
      <c r="K94" s="40" t="str">
        <f aca="false">IF($I94="","",LEN($I94))</f>
        <v/>
      </c>
      <c r="L94" s="13"/>
      <c r="M94" s="13"/>
      <c r="N94" s="13"/>
      <c r="O94" s="13"/>
      <c r="P94" s="152"/>
      <c r="Q94" s="149"/>
      <c r="R94" s="152"/>
      <c r="S94" s="152"/>
      <c r="T94" s="62" t="str">
        <f aca="false">IF(OR($C94="",R94=""),"",IF(R94/IF($R$2="",100,$R$2)&gt;=設定!$I$28,設定!$G$8,IF(R94/IF($R$2="",100,$R$2)&lt;設定!$I$29,設定!$G$10,設定!$G$9)))</f>
        <v/>
      </c>
      <c r="U94" s="62" t="str">
        <f aca="false">IF(OR($C94="",S94=""),"",IF(S94/IF($S$2="",100,$S$2)&gt;=設定!$I$28,設定!$G$8,IF(S94/IF($S$2="",100,$S$2)&lt;設定!$I$29,設定!$G$10,設定!$G$9)))</f>
        <v/>
      </c>
    </row>
    <row r="95" customFormat="false" ht="21" hidden="false" customHeight="true" outlineLevel="0" collapsed="false">
      <c r="A95" s="91" t="str">
        <f aca="false">IF(名簿!$D95="","",名簿!$B95&amp;"")</f>
        <v/>
      </c>
      <c r="B95" s="91" t="str">
        <f aca="false">IF(名簿!$D95="","",名簿!$C95)</f>
        <v/>
      </c>
      <c r="C95" s="59" t="str">
        <f aca="false">IF(名簿!$D95="","",名簿!$D95&amp;IF(名簿!$F95="転出","（転出）",""))</f>
        <v/>
      </c>
      <c r="D95" s="149"/>
      <c r="E95" s="61" t="str">
        <f aca="false">IF(OR($C95="",名簿!$F95="転出"),"",IF($C$2="学級ごと",$A95,IF($C$2="前の単元と同じ",単元04!$E95&amp;"",$D95&amp;"")))</f>
        <v/>
      </c>
      <c r="F95" s="150"/>
      <c r="G95" s="150"/>
      <c r="H95" s="150"/>
      <c r="I95" s="151"/>
      <c r="J95" s="41" t="str">
        <f aca="false">IF($E95="","",$E95&amp;"|"&amp;COUNTIF($E$5:$E95,$E95))</f>
        <v/>
      </c>
      <c r="K95" s="40" t="str">
        <f aca="false">IF($I95="","",LEN($I95))</f>
        <v/>
      </c>
      <c r="L95" s="13"/>
      <c r="M95" s="13"/>
      <c r="N95" s="13"/>
      <c r="O95" s="13"/>
      <c r="P95" s="152"/>
      <c r="Q95" s="149"/>
      <c r="R95" s="152"/>
      <c r="S95" s="152"/>
      <c r="T95" s="62" t="str">
        <f aca="false">IF(OR($C95="",R95=""),"",IF(R95/IF($R$2="",100,$R$2)&gt;=設定!$I$28,設定!$G$8,IF(R95/IF($R$2="",100,$R$2)&lt;設定!$I$29,設定!$G$10,設定!$G$9)))</f>
        <v/>
      </c>
      <c r="U95" s="62" t="str">
        <f aca="false">IF(OR($C95="",S95=""),"",IF(S95/IF($S$2="",100,$S$2)&gt;=設定!$I$28,設定!$G$8,IF(S95/IF($S$2="",100,$S$2)&lt;設定!$I$29,設定!$G$10,設定!$G$9)))</f>
        <v/>
      </c>
    </row>
    <row r="96" customFormat="false" ht="21" hidden="false" customHeight="true" outlineLevel="0" collapsed="false">
      <c r="A96" s="91" t="str">
        <f aca="false">IF(名簿!$D96="","",名簿!$B96&amp;"")</f>
        <v/>
      </c>
      <c r="B96" s="91" t="str">
        <f aca="false">IF(名簿!$D96="","",名簿!$C96)</f>
        <v/>
      </c>
      <c r="C96" s="59" t="str">
        <f aca="false">IF(名簿!$D96="","",名簿!$D96&amp;IF(名簿!$F96="転出","（転出）",""))</f>
        <v/>
      </c>
      <c r="D96" s="149"/>
      <c r="E96" s="61" t="str">
        <f aca="false">IF(OR($C96="",名簿!$F96="転出"),"",IF($C$2="学級ごと",$A96,IF($C$2="前の単元と同じ",単元04!$E96&amp;"",$D96&amp;"")))</f>
        <v/>
      </c>
      <c r="F96" s="150"/>
      <c r="G96" s="150"/>
      <c r="H96" s="150"/>
      <c r="I96" s="151"/>
      <c r="J96" s="41" t="str">
        <f aca="false">IF($E96="","",$E96&amp;"|"&amp;COUNTIF($E$5:$E96,$E96))</f>
        <v/>
      </c>
      <c r="K96" s="40" t="str">
        <f aca="false">IF($I96="","",LEN($I96))</f>
        <v/>
      </c>
      <c r="L96" s="13"/>
      <c r="M96" s="13"/>
      <c r="N96" s="13"/>
      <c r="O96" s="13"/>
      <c r="P96" s="152"/>
      <c r="Q96" s="149"/>
      <c r="R96" s="152"/>
      <c r="S96" s="152"/>
      <c r="T96" s="62" t="str">
        <f aca="false">IF(OR($C96="",R96=""),"",IF(R96/IF($R$2="",100,$R$2)&gt;=設定!$I$28,設定!$G$8,IF(R96/IF($R$2="",100,$R$2)&lt;設定!$I$29,設定!$G$10,設定!$G$9)))</f>
        <v/>
      </c>
      <c r="U96" s="62" t="str">
        <f aca="false">IF(OR($C96="",S96=""),"",IF(S96/IF($S$2="",100,$S$2)&gt;=設定!$I$28,設定!$G$8,IF(S96/IF($S$2="",100,$S$2)&lt;設定!$I$29,設定!$G$10,設定!$G$9)))</f>
        <v/>
      </c>
    </row>
    <row r="97" customFormat="false" ht="21" hidden="false" customHeight="true" outlineLevel="0" collapsed="false">
      <c r="A97" s="91" t="str">
        <f aca="false">IF(名簿!$D97="","",名簿!$B97&amp;"")</f>
        <v/>
      </c>
      <c r="B97" s="91" t="str">
        <f aca="false">IF(名簿!$D97="","",名簿!$C97)</f>
        <v/>
      </c>
      <c r="C97" s="59" t="str">
        <f aca="false">IF(名簿!$D97="","",名簿!$D97&amp;IF(名簿!$F97="転出","（転出）",""))</f>
        <v/>
      </c>
      <c r="D97" s="149"/>
      <c r="E97" s="61" t="str">
        <f aca="false">IF(OR($C97="",名簿!$F97="転出"),"",IF($C$2="学級ごと",$A97,IF($C$2="前の単元と同じ",単元04!$E97&amp;"",$D97&amp;"")))</f>
        <v/>
      </c>
      <c r="F97" s="150"/>
      <c r="G97" s="150"/>
      <c r="H97" s="150"/>
      <c r="I97" s="151"/>
      <c r="J97" s="41" t="str">
        <f aca="false">IF($E97="","",$E97&amp;"|"&amp;COUNTIF($E$5:$E97,$E97))</f>
        <v/>
      </c>
      <c r="K97" s="40" t="str">
        <f aca="false">IF($I97="","",LEN($I97))</f>
        <v/>
      </c>
      <c r="L97" s="13"/>
      <c r="M97" s="13"/>
      <c r="N97" s="13"/>
      <c r="O97" s="13"/>
      <c r="P97" s="152"/>
      <c r="Q97" s="149"/>
      <c r="R97" s="152"/>
      <c r="S97" s="152"/>
      <c r="T97" s="62" t="str">
        <f aca="false">IF(OR($C97="",R97=""),"",IF(R97/IF($R$2="",100,$R$2)&gt;=設定!$I$28,設定!$G$8,IF(R97/IF($R$2="",100,$R$2)&lt;設定!$I$29,設定!$G$10,設定!$G$9)))</f>
        <v/>
      </c>
      <c r="U97" s="62" t="str">
        <f aca="false">IF(OR($C97="",S97=""),"",IF(S97/IF($S$2="",100,$S$2)&gt;=設定!$I$28,設定!$G$8,IF(S97/IF($S$2="",100,$S$2)&lt;設定!$I$29,設定!$G$10,設定!$G$9)))</f>
        <v/>
      </c>
    </row>
    <row r="98" customFormat="false" ht="21" hidden="false" customHeight="true" outlineLevel="0" collapsed="false">
      <c r="A98" s="91" t="str">
        <f aca="false">IF(名簿!$D98="","",名簿!$B98&amp;"")</f>
        <v/>
      </c>
      <c r="B98" s="91" t="str">
        <f aca="false">IF(名簿!$D98="","",名簿!$C98)</f>
        <v/>
      </c>
      <c r="C98" s="59" t="str">
        <f aca="false">IF(名簿!$D98="","",名簿!$D98&amp;IF(名簿!$F98="転出","（転出）",""))</f>
        <v/>
      </c>
      <c r="D98" s="149"/>
      <c r="E98" s="61" t="str">
        <f aca="false">IF(OR($C98="",名簿!$F98="転出"),"",IF($C$2="学級ごと",$A98,IF($C$2="前の単元と同じ",単元04!$E98&amp;"",$D98&amp;"")))</f>
        <v/>
      </c>
      <c r="F98" s="150"/>
      <c r="G98" s="150"/>
      <c r="H98" s="150"/>
      <c r="I98" s="151"/>
      <c r="J98" s="41" t="str">
        <f aca="false">IF($E98="","",$E98&amp;"|"&amp;COUNTIF($E$5:$E98,$E98))</f>
        <v/>
      </c>
      <c r="K98" s="40" t="str">
        <f aca="false">IF($I98="","",LEN($I98))</f>
        <v/>
      </c>
      <c r="L98" s="13"/>
      <c r="M98" s="13"/>
      <c r="N98" s="13"/>
      <c r="O98" s="13"/>
      <c r="P98" s="152"/>
      <c r="Q98" s="149"/>
      <c r="R98" s="152"/>
      <c r="S98" s="152"/>
      <c r="T98" s="62" t="str">
        <f aca="false">IF(OR($C98="",R98=""),"",IF(R98/IF($R$2="",100,$R$2)&gt;=設定!$I$28,設定!$G$8,IF(R98/IF($R$2="",100,$R$2)&lt;設定!$I$29,設定!$G$10,設定!$G$9)))</f>
        <v/>
      </c>
      <c r="U98" s="62" t="str">
        <f aca="false">IF(OR($C98="",S98=""),"",IF(S98/IF($S$2="",100,$S$2)&gt;=設定!$I$28,設定!$G$8,IF(S98/IF($S$2="",100,$S$2)&lt;設定!$I$29,設定!$G$10,設定!$G$9)))</f>
        <v/>
      </c>
    </row>
    <row r="99" customFormat="false" ht="21" hidden="false" customHeight="true" outlineLevel="0" collapsed="false">
      <c r="A99" s="91" t="str">
        <f aca="false">IF(名簿!$D99="","",名簿!$B99&amp;"")</f>
        <v/>
      </c>
      <c r="B99" s="91" t="str">
        <f aca="false">IF(名簿!$D99="","",名簿!$C99)</f>
        <v/>
      </c>
      <c r="C99" s="59" t="str">
        <f aca="false">IF(名簿!$D99="","",名簿!$D99&amp;IF(名簿!$F99="転出","（転出）",""))</f>
        <v/>
      </c>
      <c r="D99" s="149"/>
      <c r="E99" s="61" t="str">
        <f aca="false">IF(OR($C99="",名簿!$F99="転出"),"",IF($C$2="学級ごと",$A99,IF($C$2="前の単元と同じ",単元04!$E99&amp;"",$D99&amp;"")))</f>
        <v/>
      </c>
      <c r="F99" s="150"/>
      <c r="G99" s="150"/>
      <c r="H99" s="150"/>
      <c r="I99" s="151"/>
      <c r="J99" s="41" t="str">
        <f aca="false">IF($E99="","",$E99&amp;"|"&amp;COUNTIF($E$5:$E99,$E99))</f>
        <v/>
      </c>
      <c r="K99" s="40" t="str">
        <f aca="false">IF($I99="","",LEN($I99))</f>
        <v/>
      </c>
      <c r="L99" s="13"/>
      <c r="M99" s="13"/>
      <c r="N99" s="13"/>
      <c r="O99" s="13"/>
      <c r="P99" s="152"/>
      <c r="Q99" s="149"/>
      <c r="R99" s="152"/>
      <c r="S99" s="152"/>
      <c r="T99" s="62" t="str">
        <f aca="false">IF(OR($C99="",R99=""),"",IF(R99/IF($R$2="",100,$R$2)&gt;=設定!$I$28,設定!$G$8,IF(R99/IF($R$2="",100,$R$2)&lt;設定!$I$29,設定!$G$10,設定!$G$9)))</f>
        <v/>
      </c>
      <c r="U99" s="62" t="str">
        <f aca="false">IF(OR($C99="",S99=""),"",IF(S99/IF($S$2="",100,$S$2)&gt;=設定!$I$28,設定!$G$8,IF(S99/IF($S$2="",100,$S$2)&lt;設定!$I$29,設定!$G$10,設定!$G$9)))</f>
        <v/>
      </c>
    </row>
    <row r="100" customFormat="false" ht="21" hidden="false" customHeight="true" outlineLevel="0" collapsed="false">
      <c r="A100" s="91" t="str">
        <f aca="false">IF(名簿!$D100="","",名簿!$B100&amp;"")</f>
        <v/>
      </c>
      <c r="B100" s="91" t="str">
        <f aca="false">IF(名簿!$D100="","",名簿!$C100)</f>
        <v/>
      </c>
      <c r="C100" s="59" t="str">
        <f aca="false">IF(名簿!$D100="","",名簿!$D100&amp;IF(名簿!$F100="転出","（転出）",""))</f>
        <v/>
      </c>
      <c r="D100" s="149"/>
      <c r="E100" s="61" t="str">
        <f aca="false">IF(OR($C100="",名簿!$F100="転出"),"",IF($C$2="学級ごと",$A100,IF($C$2="前の単元と同じ",単元04!$E100&amp;"",$D100&amp;"")))</f>
        <v/>
      </c>
      <c r="F100" s="150"/>
      <c r="G100" s="150"/>
      <c r="H100" s="150"/>
      <c r="I100" s="151"/>
      <c r="J100" s="41" t="str">
        <f aca="false">IF($E100="","",$E100&amp;"|"&amp;COUNTIF($E$5:$E100,$E100))</f>
        <v/>
      </c>
      <c r="K100" s="40" t="str">
        <f aca="false">IF($I100="","",LEN($I100))</f>
        <v/>
      </c>
      <c r="L100" s="13"/>
      <c r="M100" s="13"/>
      <c r="N100" s="13"/>
      <c r="O100" s="13"/>
      <c r="P100" s="152"/>
      <c r="Q100" s="149"/>
      <c r="R100" s="152"/>
      <c r="S100" s="152"/>
      <c r="T100" s="62" t="str">
        <f aca="false">IF(OR($C100="",R100=""),"",IF(R100/IF($R$2="",100,$R$2)&gt;=設定!$I$28,設定!$G$8,IF(R100/IF($R$2="",100,$R$2)&lt;設定!$I$29,設定!$G$10,設定!$G$9)))</f>
        <v/>
      </c>
      <c r="U100" s="62" t="str">
        <f aca="false">IF(OR($C100="",S100=""),"",IF(S100/IF($S$2="",100,$S$2)&gt;=設定!$I$28,設定!$G$8,IF(S100/IF($S$2="",100,$S$2)&lt;設定!$I$29,設定!$G$10,設定!$G$9)))</f>
        <v/>
      </c>
    </row>
    <row r="101" customFormat="false" ht="21" hidden="false" customHeight="true" outlineLevel="0" collapsed="false">
      <c r="A101" s="91" t="str">
        <f aca="false">IF(名簿!$D101="","",名簿!$B101&amp;"")</f>
        <v/>
      </c>
      <c r="B101" s="91" t="str">
        <f aca="false">IF(名簿!$D101="","",名簿!$C101)</f>
        <v/>
      </c>
      <c r="C101" s="59" t="str">
        <f aca="false">IF(名簿!$D101="","",名簿!$D101&amp;IF(名簿!$F101="転出","（転出）",""))</f>
        <v/>
      </c>
      <c r="D101" s="149"/>
      <c r="E101" s="61" t="str">
        <f aca="false">IF(OR($C101="",名簿!$F101="転出"),"",IF($C$2="学級ごと",$A101,IF($C$2="前の単元と同じ",単元04!$E101&amp;"",$D101&amp;"")))</f>
        <v/>
      </c>
      <c r="F101" s="150"/>
      <c r="G101" s="150"/>
      <c r="H101" s="150"/>
      <c r="I101" s="151"/>
      <c r="J101" s="41" t="str">
        <f aca="false">IF($E101="","",$E101&amp;"|"&amp;COUNTIF($E$5:$E101,$E101))</f>
        <v/>
      </c>
      <c r="K101" s="40" t="str">
        <f aca="false">IF($I101="","",LEN($I101))</f>
        <v/>
      </c>
      <c r="L101" s="13"/>
      <c r="M101" s="13"/>
      <c r="N101" s="13"/>
      <c r="O101" s="13"/>
      <c r="P101" s="152"/>
      <c r="Q101" s="149"/>
      <c r="R101" s="152"/>
      <c r="S101" s="152"/>
      <c r="T101" s="62" t="str">
        <f aca="false">IF(OR($C101="",R101=""),"",IF(R101/IF($R$2="",100,$R$2)&gt;=設定!$I$28,設定!$G$8,IF(R101/IF($R$2="",100,$R$2)&lt;設定!$I$29,設定!$G$10,設定!$G$9)))</f>
        <v/>
      </c>
      <c r="U101" s="62" t="str">
        <f aca="false">IF(OR($C101="",S101=""),"",IF(S101/IF($S$2="",100,$S$2)&gt;=設定!$I$28,設定!$G$8,IF(S101/IF($S$2="",100,$S$2)&lt;設定!$I$29,設定!$G$10,設定!$G$9)))</f>
        <v/>
      </c>
    </row>
    <row r="102" customFormat="false" ht="21" hidden="false" customHeight="true" outlineLevel="0" collapsed="false">
      <c r="A102" s="91" t="str">
        <f aca="false">IF(名簿!$D102="","",名簿!$B102&amp;"")</f>
        <v/>
      </c>
      <c r="B102" s="91" t="str">
        <f aca="false">IF(名簿!$D102="","",名簿!$C102)</f>
        <v/>
      </c>
      <c r="C102" s="59" t="str">
        <f aca="false">IF(名簿!$D102="","",名簿!$D102&amp;IF(名簿!$F102="転出","（転出）",""))</f>
        <v/>
      </c>
      <c r="D102" s="149"/>
      <c r="E102" s="61" t="str">
        <f aca="false">IF(OR($C102="",名簿!$F102="転出"),"",IF($C$2="学級ごと",$A102,IF($C$2="前の単元と同じ",単元04!$E102&amp;"",$D102&amp;"")))</f>
        <v/>
      </c>
      <c r="F102" s="150"/>
      <c r="G102" s="150"/>
      <c r="H102" s="150"/>
      <c r="I102" s="151"/>
      <c r="J102" s="41" t="str">
        <f aca="false">IF($E102="","",$E102&amp;"|"&amp;COUNTIF($E$5:$E102,$E102))</f>
        <v/>
      </c>
      <c r="K102" s="40" t="str">
        <f aca="false">IF($I102="","",LEN($I102))</f>
        <v/>
      </c>
      <c r="L102" s="13"/>
      <c r="M102" s="13"/>
      <c r="N102" s="13"/>
      <c r="O102" s="13"/>
      <c r="P102" s="152"/>
      <c r="Q102" s="149"/>
      <c r="R102" s="152"/>
      <c r="S102" s="152"/>
      <c r="T102" s="62" t="str">
        <f aca="false">IF(OR($C102="",R102=""),"",IF(R102/IF($R$2="",100,$R$2)&gt;=設定!$I$28,設定!$G$8,IF(R102/IF($R$2="",100,$R$2)&lt;設定!$I$29,設定!$G$10,設定!$G$9)))</f>
        <v/>
      </c>
      <c r="U102" s="62" t="str">
        <f aca="false">IF(OR($C102="",S102=""),"",IF(S102/IF($S$2="",100,$S$2)&gt;=設定!$I$28,設定!$G$8,IF(S102/IF($S$2="",100,$S$2)&lt;設定!$I$29,設定!$G$10,設定!$G$9)))</f>
        <v/>
      </c>
    </row>
    <row r="103" customFormat="false" ht="21" hidden="false" customHeight="true" outlineLevel="0" collapsed="false">
      <c r="A103" s="91" t="str">
        <f aca="false">IF(名簿!$D103="","",名簿!$B103&amp;"")</f>
        <v/>
      </c>
      <c r="B103" s="91" t="str">
        <f aca="false">IF(名簿!$D103="","",名簿!$C103)</f>
        <v/>
      </c>
      <c r="C103" s="59" t="str">
        <f aca="false">IF(名簿!$D103="","",名簿!$D103&amp;IF(名簿!$F103="転出","（転出）",""))</f>
        <v/>
      </c>
      <c r="D103" s="149"/>
      <c r="E103" s="61" t="str">
        <f aca="false">IF(OR($C103="",名簿!$F103="転出"),"",IF($C$2="学級ごと",$A103,IF($C$2="前の単元と同じ",単元04!$E103&amp;"",$D103&amp;"")))</f>
        <v/>
      </c>
      <c r="F103" s="150"/>
      <c r="G103" s="150"/>
      <c r="H103" s="150"/>
      <c r="I103" s="151"/>
      <c r="J103" s="41" t="str">
        <f aca="false">IF($E103="","",$E103&amp;"|"&amp;COUNTIF($E$5:$E103,$E103))</f>
        <v/>
      </c>
      <c r="K103" s="40" t="str">
        <f aca="false">IF($I103="","",LEN($I103))</f>
        <v/>
      </c>
      <c r="L103" s="13"/>
      <c r="M103" s="13"/>
      <c r="N103" s="13"/>
      <c r="O103" s="13"/>
      <c r="P103" s="152"/>
      <c r="Q103" s="149"/>
      <c r="R103" s="152"/>
      <c r="S103" s="152"/>
      <c r="T103" s="62" t="str">
        <f aca="false">IF(OR($C103="",R103=""),"",IF(R103/IF($R$2="",100,$R$2)&gt;=設定!$I$28,設定!$G$8,IF(R103/IF($R$2="",100,$R$2)&lt;設定!$I$29,設定!$G$10,設定!$G$9)))</f>
        <v/>
      </c>
      <c r="U103" s="62" t="str">
        <f aca="false">IF(OR($C103="",S103=""),"",IF(S103/IF($S$2="",100,$S$2)&gt;=設定!$I$28,設定!$G$8,IF(S103/IF($S$2="",100,$S$2)&lt;設定!$I$29,設定!$G$10,設定!$G$9)))</f>
        <v/>
      </c>
    </row>
    <row r="104" customFormat="false" ht="21" hidden="false" customHeight="true" outlineLevel="0" collapsed="false">
      <c r="A104" s="91" t="str">
        <f aca="false">IF(名簿!$D104="","",名簿!$B104&amp;"")</f>
        <v/>
      </c>
      <c r="B104" s="91" t="str">
        <f aca="false">IF(名簿!$D104="","",名簿!$C104)</f>
        <v/>
      </c>
      <c r="C104" s="59" t="str">
        <f aca="false">IF(名簿!$D104="","",名簿!$D104&amp;IF(名簿!$F104="転出","（転出）",""))</f>
        <v/>
      </c>
      <c r="D104" s="149"/>
      <c r="E104" s="61" t="str">
        <f aca="false">IF(OR($C104="",名簿!$F104="転出"),"",IF($C$2="学級ごと",$A104,IF($C$2="前の単元と同じ",単元04!$E104&amp;"",$D104&amp;"")))</f>
        <v/>
      </c>
      <c r="F104" s="150"/>
      <c r="G104" s="150"/>
      <c r="H104" s="150"/>
      <c r="I104" s="151"/>
      <c r="J104" s="41" t="str">
        <f aca="false">IF($E104="","",$E104&amp;"|"&amp;COUNTIF($E$5:$E104,$E104))</f>
        <v/>
      </c>
      <c r="K104" s="40" t="str">
        <f aca="false">IF($I104="","",LEN($I104))</f>
        <v/>
      </c>
      <c r="L104" s="13"/>
      <c r="M104" s="13"/>
      <c r="N104" s="13"/>
      <c r="O104" s="13"/>
      <c r="P104" s="152"/>
      <c r="Q104" s="149"/>
      <c r="R104" s="152"/>
      <c r="S104" s="152"/>
      <c r="T104" s="62" t="str">
        <f aca="false">IF(OR($C104="",R104=""),"",IF(R104/IF($R$2="",100,$R$2)&gt;=設定!$I$28,設定!$G$8,IF(R104/IF($R$2="",100,$R$2)&lt;設定!$I$29,設定!$G$10,設定!$G$9)))</f>
        <v/>
      </c>
      <c r="U104" s="62" t="str">
        <f aca="false">IF(OR($C104="",S104=""),"",IF(S104/IF($S$2="",100,$S$2)&gt;=設定!$I$28,設定!$G$8,IF(S104/IF($S$2="",100,$S$2)&lt;設定!$I$29,設定!$G$10,設定!$G$9)))</f>
        <v/>
      </c>
    </row>
    <row r="105" customFormat="false" ht="21" hidden="false" customHeight="true" outlineLevel="0" collapsed="false">
      <c r="A105" s="91" t="str">
        <f aca="false">IF(名簿!$D105="","",名簿!$B105&amp;"")</f>
        <v/>
      </c>
      <c r="B105" s="91" t="str">
        <f aca="false">IF(名簿!$D105="","",名簿!$C105)</f>
        <v/>
      </c>
      <c r="C105" s="59" t="str">
        <f aca="false">IF(名簿!$D105="","",名簿!$D105&amp;IF(名簿!$F105="転出","（転出）",""))</f>
        <v/>
      </c>
      <c r="D105" s="149"/>
      <c r="E105" s="61" t="str">
        <f aca="false">IF(OR($C105="",名簿!$F105="転出"),"",IF($C$2="学級ごと",$A105,IF($C$2="前の単元と同じ",単元04!$E105&amp;"",$D105&amp;"")))</f>
        <v/>
      </c>
      <c r="F105" s="150"/>
      <c r="G105" s="150"/>
      <c r="H105" s="150"/>
      <c r="I105" s="151"/>
      <c r="J105" s="41" t="str">
        <f aca="false">IF($E105="","",$E105&amp;"|"&amp;COUNTIF($E$5:$E105,$E105))</f>
        <v/>
      </c>
      <c r="K105" s="40" t="str">
        <f aca="false">IF($I105="","",LEN($I105))</f>
        <v/>
      </c>
      <c r="L105" s="13"/>
      <c r="M105" s="13"/>
      <c r="N105" s="13"/>
      <c r="O105" s="13"/>
      <c r="P105" s="152"/>
      <c r="Q105" s="149"/>
      <c r="R105" s="152"/>
      <c r="S105" s="152"/>
      <c r="T105" s="62" t="str">
        <f aca="false">IF(OR($C105="",R105=""),"",IF(R105/IF($R$2="",100,$R$2)&gt;=設定!$I$28,設定!$G$8,IF(R105/IF($R$2="",100,$R$2)&lt;設定!$I$29,設定!$G$10,設定!$G$9)))</f>
        <v/>
      </c>
      <c r="U105" s="62" t="str">
        <f aca="false">IF(OR($C105="",S105=""),"",IF(S105/IF($S$2="",100,$S$2)&gt;=設定!$I$28,設定!$G$8,IF(S105/IF($S$2="",100,$S$2)&lt;設定!$I$29,設定!$G$10,設定!$G$9)))</f>
        <v/>
      </c>
    </row>
    <row r="106" customFormat="false" ht="21" hidden="false" customHeight="true" outlineLevel="0" collapsed="false">
      <c r="A106" s="91" t="str">
        <f aca="false">IF(名簿!$D106="","",名簿!$B106&amp;"")</f>
        <v/>
      </c>
      <c r="B106" s="91" t="str">
        <f aca="false">IF(名簿!$D106="","",名簿!$C106)</f>
        <v/>
      </c>
      <c r="C106" s="59" t="str">
        <f aca="false">IF(名簿!$D106="","",名簿!$D106&amp;IF(名簿!$F106="転出","（転出）",""))</f>
        <v/>
      </c>
      <c r="D106" s="149"/>
      <c r="E106" s="61" t="str">
        <f aca="false">IF(OR($C106="",名簿!$F106="転出"),"",IF($C$2="学級ごと",$A106,IF($C$2="前の単元と同じ",単元04!$E106&amp;"",$D106&amp;"")))</f>
        <v/>
      </c>
      <c r="F106" s="150"/>
      <c r="G106" s="150"/>
      <c r="H106" s="150"/>
      <c r="I106" s="151"/>
      <c r="J106" s="41" t="str">
        <f aca="false">IF($E106="","",$E106&amp;"|"&amp;COUNTIF($E$5:$E106,$E106))</f>
        <v/>
      </c>
      <c r="K106" s="40" t="str">
        <f aca="false">IF($I106="","",LEN($I106))</f>
        <v/>
      </c>
      <c r="L106" s="13"/>
      <c r="M106" s="13"/>
      <c r="N106" s="13"/>
      <c r="O106" s="13"/>
      <c r="P106" s="152"/>
      <c r="Q106" s="149"/>
      <c r="R106" s="152"/>
      <c r="S106" s="152"/>
      <c r="T106" s="62" t="str">
        <f aca="false">IF(OR($C106="",R106=""),"",IF(R106/IF($R$2="",100,$R$2)&gt;=設定!$I$28,設定!$G$8,IF(R106/IF($R$2="",100,$R$2)&lt;設定!$I$29,設定!$G$10,設定!$G$9)))</f>
        <v/>
      </c>
      <c r="U106" s="62" t="str">
        <f aca="false">IF(OR($C106="",S106=""),"",IF(S106/IF($S$2="",100,$S$2)&gt;=設定!$I$28,設定!$G$8,IF(S106/IF($S$2="",100,$S$2)&lt;設定!$I$29,設定!$G$10,設定!$G$9)))</f>
        <v/>
      </c>
    </row>
    <row r="107" customFormat="false" ht="21" hidden="false" customHeight="true" outlineLevel="0" collapsed="false">
      <c r="A107" s="91" t="str">
        <f aca="false">IF(名簿!$D107="","",名簿!$B107&amp;"")</f>
        <v/>
      </c>
      <c r="B107" s="91" t="str">
        <f aca="false">IF(名簿!$D107="","",名簿!$C107)</f>
        <v/>
      </c>
      <c r="C107" s="59" t="str">
        <f aca="false">IF(名簿!$D107="","",名簿!$D107&amp;IF(名簿!$F107="転出","（転出）",""))</f>
        <v/>
      </c>
      <c r="D107" s="149"/>
      <c r="E107" s="61" t="str">
        <f aca="false">IF(OR($C107="",名簿!$F107="転出"),"",IF($C$2="学級ごと",$A107,IF($C$2="前の単元と同じ",単元04!$E107&amp;"",$D107&amp;"")))</f>
        <v/>
      </c>
      <c r="F107" s="150"/>
      <c r="G107" s="150"/>
      <c r="H107" s="150"/>
      <c r="I107" s="151"/>
      <c r="J107" s="41" t="str">
        <f aca="false">IF($E107="","",$E107&amp;"|"&amp;COUNTIF($E$5:$E107,$E107))</f>
        <v/>
      </c>
      <c r="K107" s="40" t="str">
        <f aca="false">IF($I107="","",LEN($I107))</f>
        <v/>
      </c>
      <c r="L107" s="13"/>
      <c r="M107" s="13"/>
      <c r="N107" s="13"/>
      <c r="O107" s="13"/>
      <c r="P107" s="152"/>
      <c r="Q107" s="149"/>
      <c r="R107" s="152"/>
      <c r="S107" s="152"/>
      <c r="T107" s="62" t="str">
        <f aca="false">IF(OR($C107="",R107=""),"",IF(R107/IF($R$2="",100,$R$2)&gt;=設定!$I$28,設定!$G$8,IF(R107/IF($R$2="",100,$R$2)&lt;設定!$I$29,設定!$G$10,設定!$G$9)))</f>
        <v/>
      </c>
      <c r="U107" s="62" t="str">
        <f aca="false">IF(OR($C107="",S107=""),"",IF(S107/IF($S$2="",100,$S$2)&gt;=設定!$I$28,設定!$G$8,IF(S107/IF($S$2="",100,$S$2)&lt;設定!$I$29,設定!$G$10,設定!$G$9)))</f>
        <v/>
      </c>
    </row>
    <row r="108" customFormat="false" ht="21" hidden="false" customHeight="true" outlineLevel="0" collapsed="false">
      <c r="A108" s="91" t="str">
        <f aca="false">IF(名簿!$D108="","",名簿!$B108&amp;"")</f>
        <v/>
      </c>
      <c r="B108" s="91" t="str">
        <f aca="false">IF(名簿!$D108="","",名簿!$C108)</f>
        <v/>
      </c>
      <c r="C108" s="59" t="str">
        <f aca="false">IF(名簿!$D108="","",名簿!$D108&amp;IF(名簿!$F108="転出","（転出）",""))</f>
        <v/>
      </c>
      <c r="D108" s="149"/>
      <c r="E108" s="61" t="str">
        <f aca="false">IF(OR($C108="",名簿!$F108="転出"),"",IF($C$2="学級ごと",$A108,IF($C$2="前の単元と同じ",単元04!$E108&amp;"",$D108&amp;"")))</f>
        <v/>
      </c>
      <c r="F108" s="150"/>
      <c r="G108" s="150"/>
      <c r="H108" s="150"/>
      <c r="I108" s="151"/>
      <c r="J108" s="41" t="str">
        <f aca="false">IF($E108="","",$E108&amp;"|"&amp;COUNTIF($E$5:$E108,$E108))</f>
        <v/>
      </c>
      <c r="K108" s="40" t="str">
        <f aca="false">IF($I108="","",LEN($I108))</f>
        <v/>
      </c>
      <c r="L108" s="13"/>
      <c r="M108" s="13"/>
      <c r="N108" s="13"/>
      <c r="O108" s="13"/>
      <c r="P108" s="152"/>
      <c r="Q108" s="149"/>
      <c r="R108" s="152"/>
      <c r="S108" s="152"/>
      <c r="T108" s="62" t="str">
        <f aca="false">IF(OR($C108="",R108=""),"",IF(R108/IF($R$2="",100,$R$2)&gt;=設定!$I$28,設定!$G$8,IF(R108/IF($R$2="",100,$R$2)&lt;設定!$I$29,設定!$G$10,設定!$G$9)))</f>
        <v/>
      </c>
      <c r="U108" s="62" t="str">
        <f aca="false">IF(OR($C108="",S108=""),"",IF(S108/IF($S$2="",100,$S$2)&gt;=設定!$I$28,設定!$G$8,IF(S108/IF($S$2="",100,$S$2)&lt;設定!$I$29,設定!$G$10,設定!$G$9)))</f>
        <v/>
      </c>
    </row>
    <row r="109" customFormat="false" ht="21" hidden="false" customHeight="true" outlineLevel="0" collapsed="false">
      <c r="A109" s="91" t="str">
        <f aca="false">IF(名簿!$D109="","",名簿!$B109&amp;"")</f>
        <v/>
      </c>
      <c r="B109" s="91" t="str">
        <f aca="false">IF(名簿!$D109="","",名簿!$C109)</f>
        <v/>
      </c>
      <c r="C109" s="59" t="str">
        <f aca="false">IF(名簿!$D109="","",名簿!$D109&amp;IF(名簿!$F109="転出","（転出）",""))</f>
        <v/>
      </c>
      <c r="D109" s="149"/>
      <c r="E109" s="61" t="str">
        <f aca="false">IF(OR($C109="",名簿!$F109="転出"),"",IF($C$2="学級ごと",$A109,IF($C$2="前の単元と同じ",単元04!$E109&amp;"",$D109&amp;"")))</f>
        <v/>
      </c>
      <c r="F109" s="150"/>
      <c r="G109" s="150"/>
      <c r="H109" s="150"/>
      <c r="I109" s="151"/>
      <c r="J109" s="41" t="str">
        <f aca="false">IF($E109="","",$E109&amp;"|"&amp;COUNTIF($E$5:$E109,$E109))</f>
        <v/>
      </c>
      <c r="K109" s="40" t="str">
        <f aca="false">IF($I109="","",LEN($I109))</f>
        <v/>
      </c>
      <c r="L109" s="13"/>
      <c r="M109" s="13"/>
      <c r="N109" s="13"/>
      <c r="O109" s="13"/>
      <c r="P109" s="152"/>
      <c r="Q109" s="149"/>
      <c r="R109" s="152"/>
      <c r="S109" s="152"/>
      <c r="T109" s="62" t="str">
        <f aca="false">IF(OR($C109="",R109=""),"",IF(R109/IF($R$2="",100,$R$2)&gt;=設定!$I$28,設定!$G$8,IF(R109/IF($R$2="",100,$R$2)&lt;設定!$I$29,設定!$G$10,設定!$G$9)))</f>
        <v/>
      </c>
      <c r="U109" s="62" t="str">
        <f aca="false">IF(OR($C109="",S109=""),"",IF(S109/IF($S$2="",100,$S$2)&gt;=設定!$I$28,設定!$G$8,IF(S109/IF($S$2="",100,$S$2)&lt;設定!$I$29,設定!$G$10,設定!$G$9)))</f>
        <v/>
      </c>
    </row>
    <row r="110" customFormat="false" ht="21" hidden="false" customHeight="true" outlineLevel="0" collapsed="false">
      <c r="A110" s="91" t="str">
        <f aca="false">IF(名簿!$D110="","",名簿!$B110&amp;"")</f>
        <v/>
      </c>
      <c r="B110" s="91" t="str">
        <f aca="false">IF(名簿!$D110="","",名簿!$C110)</f>
        <v/>
      </c>
      <c r="C110" s="59" t="str">
        <f aca="false">IF(名簿!$D110="","",名簿!$D110&amp;IF(名簿!$F110="転出","（転出）",""))</f>
        <v/>
      </c>
      <c r="D110" s="149"/>
      <c r="E110" s="61" t="str">
        <f aca="false">IF(OR($C110="",名簿!$F110="転出"),"",IF($C$2="学級ごと",$A110,IF($C$2="前の単元と同じ",単元04!$E110&amp;"",$D110&amp;"")))</f>
        <v/>
      </c>
      <c r="F110" s="150"/>
      <c r="G110" s="150"/>
      <c r="H110" s="150"/>
      <c r="I110" s="151"/>
      <c r="J110" s="41" t="str">
        <f aca="false">IF($E110="","",$E110&amp;"|"&amp;COUNTIF($E$5:$E110,$E110))</f>
        <v/>
      </c>
      <c r="K110" s="40" t="str">
        <f aca="false">IF($I110="","",LEN($I110))</f>
        <v/>
      </c>
      <c r="L110" s="13"/>
      <c r="M110" s="13"/>
      <c r="N110" s="13"/>
      <c r="O110" s="13"/>
      <c r="P110" s="152"/>
      <c r="Q110" s="149"/>
      <c r="R110" s="152"/>
      <c r="S110" s="152"/>
      <c r="T110" s="62" t="str">
        <f aca="false">IF(OR($C110="",R110=""),"",IF(R110/IF($R$2="",100,$R$2)&gt;=設定!$I$28,設定!$G$8,IF(R110/IF($R$2="",100,$R$2)&lt;設定!$I$29,設定!$G$10,設定!$G$9)))</f>
        <v/>
      </c>
      <c r="U110" s="62" t="str">
        <f aca="false">IF(OR($C110="",S110=""),"",IF(S110/IF($S$2="",100,$S$2)&gt;=設定!$I$28,設定!$G$8,IF(S110/IF($S$2="",100,$S$2)&lt;設定!$I$29,設定!$G$10,設定!$G$9)))</f>
        <v/>
      </c>
    </row>
    <row r="111" customFormat="false" ht="21" hidden="false" customHeight="true" outlineLevel="0" collapsed="false">
      <c r="A111" s="91" t="str">
        <f aca="false">IF(名簿!$D111="","",名簿!$B111&amp;"")</f>
        <v/>
      </c>
      <c r="B111" s="91" t="str">
        <f aca="false">IF(名簿!$D111="","",名簿!$C111)</f>
        <v/>
      </c>
      <c r="C111" s="59" t="str">
        <f aca="false">IF(名簿!$D111="","",名簿!$D111&amp;IF(名簿!$F111="転出","（転出）",""))</f>
        <v/>
      </c>
      <c r="D111" s="149"/>
      <c r="E111" s="61" t="str">
        <f aca="false">IF(OR($C111="",名簿!$F111="転出"),"",IF($C$2="学級ごと",$A111,IF($C$2="前の単元と同じ",単元04!$E111&amp;"",$D111&amp;"")))</f>
        <v/>
      </c>
      <c r="F111" s="150"/>
      <c r="G111" s="150"/>
      <c r="H111" s="150"/>
      <c r="I111" s="151"/>
      <c r="J111" s="41" t="str">
        <f aca="false">IF($E111="","",$E111&amp;"|"&amp;COUNTIF($E$5:$E111,$E111))</f>
        <v/>
      </c>
      <c r="K111" s="40" t="str">
        <f aca="false">IF($I111="","",LEN($I111))</f>
        <v/>
      </c>
      <c r="L111" s="13"/>
      <c r="M111" s="13"/>
      <c r="N111" s="13"/>
      <c r="O111" s="13"/>
      <c r="P111" s="152"/>
      <c r="Q111" s="149"/>
      <c r="R111" s="152"/>
      <c r="S111" s="152"/>
      <c r="T111" s="62" t="str">
        <f aca="false">IF(OR($C111="",R111=""),"",IF(R111/IF($R$2="",100,$R$2)&gt;=設定!$I$28,設定!$G$8,IF(R111/IF($R$2="",100,$R$2)&lt;設定!$I$29,設定!$G$10,設定!$G$9)))</f>
        <v/>
      </c>
      <c r="U111" s="62" t="str">
        <f aca="false">IF(OR($C111="",S111=""),"",IF(S111/IF($S$2="",100,$S$2)&gt;=設定!$I$28,設定!$G$8,IF(S111/IF($S$2="",100,$S$2)&lt;設定!$I$29,設定!$G$10,設定!$G$9)))</f>
        <v/>
      </c>
    </row>
    <row r="112" customFormat="false" ht="21" hidden="false" customHeight="true" outlineLevel="0" collapsed="false">
      <c r="A112" s="91" t="str">
        <f aca="false">IF(名簿!$D112="","",名簿!$B112&amp;"")</f>
        <v/>
      </c>
      <c r="B112" s="91" t="str">
        <f aca="false">IF(名簿!$D112="","",名簿!$C112)</f>
        <v/>
      </c>
      <c r="C112" s="59" t="str">
        <f aca="false">IF(名簿!$D112="","",名簿!$D112&amp;IF(名簿!$F112="転出","（転出）",""))</f>
        <v/>
      </c>
      <c r="D112" s="149"/>
      <c r="E112" s="61" t="str">
        <f aca="false">IF(OR($C112="",名簿!$F112="転出"),"",IF($C$2="学級ごと",$A112,IF($C$2="前の単元と同じ",単元04!$E112&amp;"",$D112&amp;"")))</f>
        <v/>
      </c>
      <c r="F112" s="150"/>
      <c r="G112" s="150"/>
      <c r="H112" s="150"/>
      <c r="I112" s="151"/>
      <c r="J112" s="41" t="str">
        <f aca="false">IF($E112="","",$E112&amp;"|"&amp;COUNTIF($E$5:$E112,$E112))</f>
        <v/>
      </c>
      <c r="K112" s="40" t="str">
        <f aca="false">IF($I112="","",LEN($I112))</f>
        <v/>
      </c>
      <c r="L112" s="13"/>
      <c r="M112" s="13"/>
      <c r="N112" s="13"/>
      <c r="O112" s="13"/>
      <c r="P112" s="152"/>
      <c r="Q112" s="149"/>
      <c r="R112" s="152"/>
      <c r="S112" s="152"/>
      <c r="T112" s="62" t="str">
        <f aca="false">IF(OR($C112="",R112=""),"",IF(R112/IF($R$2="",100,$R$2)&gt;=設定!$I$28,設定!$G$8,IF(R112/IF($R$2="",100,$R$2)&lt;設定!$I$29,設定!$G$10,設定!$G$9)))</f>
        <v/>
      </c>
      <c r="U112" s="62" t="str">
        <f aca="false">IF(OR($C112="",S112=""),"",IF(S112/IF($S$2="",100,$S$2)&gt;=設定!$I$28,設定!$G$8,IF(S112/IF($S$2="",100,$S$2)&lt;設定!$I$29,設定!$G$10,設定!$G$9)))</f>
        <v/>
      </c>
    </row>
    <row r="113" customFormat="false" ht="21" hidden="false" customHeight="true" outlineLevel="0" collapsed="false">
      <c r="A113" s="91" t="str">
        <f aca="false">IF(名簿!$D113="","",名簿!$B113&amp;"")</f>
        <v/>
      </c>
      <c r="B113" s="91" t="str">
        <f aca="false">IF(名簿!$D113="","",名簿!$C113)</f>
        <v/>
      </c>
      <c r="C113" s="59" t="str">
        <f aca="false">IF(名簿!$D113="","",名簿!$D113&amp;IF(名簿!$F113="転出","（転出）",""))</f>
        <v/>
      </c>
      <c r="D113" s="149"/>
      <c r="E113" s="61" t="str">
        <f aca="false">IF(OR($C113="",名簿!$F113="転出"),"",IF($C$2="学級ごと",$A113,IF($C$2="前の単元と同じ",単元04!$E113&amp;"",$D113&amp;"")))</f>
        <v/>
      </c>
      <c r="F113" s="150"/>
      <c r="G113" s="150"/>
      <c r="H113" s="150"/>
      <c r="I113" s="151"/>
      <c r="J113" s="41" t="str">
        <f aca="false">IF($E113="","",$E113&amp;"|"&amp;COUNTIF($E$5:$E113,$E113))</f>
        <v/>
      </c>
      <c r="K113" s="40" t="str">
        <f aca="false">IF($I113="","",LEN($I113))</f>
        <v/>
      </c>
      <c r="L113" s="13"/>
      <c r="M113" s="13"/>
      <c r="N113" s="13"/>
      <c r="O113" s="13"/>
      <c r="P113" s="152"/>
      <c r="Q113" s="149"/>
      <c r="R113" s="152"/>
      <c r="S113" s="152"/>
      <c r="T113" s="62" t="str">
        <f aca="false">IF(OR($C113="",R113=""),"",IF(R113/IF($R$2="",100,$R$2)&gt;=設定!$I$28,設定!$G$8,IF(R113/IF($R$2="",100,$R$2)&lt;設定!$I$29,設定!$G$10,設定!$G$9)))</f>
        <v/>
      </c>
      <c r="U113" s="62" t="str">
        <f aca="false">IF(OR($C113="",S113=""),"",IF(S113/IF($S$2="",100,$S$2)&gt;=設定!$I$28,設定!$G$8,IF(S113/IF($S$2="",100,$S$2)&lt;設定!$I$29,設定!$G$10,設定!$G$9)))</f>
        <v/>
      </c>
    </row>
    <row r="114" customFormat="false" ht="21" hidden="false" customHeight="true" outlineLevel="0" collapsed="false">
      <c r="A114" s="91" t="str">
        <f aca="false">IF(名簿!$D114="","",名簿!$B114&amp;"")</f>
        <v/>
      </c>
      <c r="B114" s="91" t="str">
        <f aca="false">IF(名簿!$D114="","",名簿!$C114)</f>
        <v/>
      </c>
      <c r="C114" s="59" t="str">
        <f aca="false">IF(名簿!$D114="","",名簿!$D114&amp;IF(名簿!$F114="転出","（転出）",""))</f>
        <v/>
      </c>
      <c r="D114" s="149"/>
      <c r="E114" s="61" t="str">
        <f aca="false">IF(OR($C114="",名簿!$F114="転出"),"",IF($C$2="学級ごと",$A114,IF($C$2="前の単元と同じ",単元04!$E114&amp;"",$D114&amp;"")))</f>
        <v/>
      </c>
      <c r="F114" s="150"/>
      <c r="G114" s="150"/>
      <c r="H114" s="150"/>
      <c r="I114" s="151"/>
      <c r="J114" s="41" t="str">
        <f aca="false">IF($E114="","",$E114&amp;"|"&amp;COUNTIF($E$5:$E114,$E114))</f>
        <v/>
      </c>
      <c r="K114" s="40" t="str">
        <f aca="false">IF($I114="","",LEN($I114))</f>
        <v/>
      </c>
      <c r="L114" s="13"/>
      <c r="M114" s="13"/>
      <c r="N114" s="13"/>
      <c r="O114" s="13"/>
      <c r="P114" s="152"/>
      <c r="Q114" s="149"/>
      <c r="R114" s="152"/>
      <c r="S114" s="152"/>
      <c r="T114" s="62" t="str">
        <f aca="false">IF(OR($C114="",R114=""),"",IF(R114/IF($R$2="",100,$R$2)&gt;=設定!$I$28,設定!$G$8,IF(R114/IF($R$2="",100,$R$2)&lt;設定!$I$29,設定!$G$10,設定!$G$9)))</f>
        <v/>
      </c>
      <c r="U114" s="62" t="str">
        <f aca="false">IF(OR($C114="",S114=""),"",IF(S114/IF($S$2="",100,$S$2)&gt;=設定!$I$28,設定!$G$8,IF(S114/IF($S$2="",100,$S$2)&lt;設定!$I$29,設定!$G$10,設定!$G$9)))</f>
        <v/>
      </c>
    </row>
    <row r="115" customFormat="false" ht="21" hidden="false" customHeight="true" outlineLevel="0" collapsed="false">
      <c r="A115" s="91" t="str">
        <f aca="false">IF(名簿!$D115="","",名簿!$B115&amp;"")</f>
        <v/>
      </c>
      <c r="B115" s="91" t="str">
        <f aca="false">IF(名簿!$D115="","",名簿!$C115)</f>
        <v/>
      </c>
      <c r="C115" s="59" t="str">
        <f aca="false">IF(名簿!$D115="","",名簿!$D115&amp;IF(名簿!$F115="転出","（転出）",""))</f>
        <v/>
      </c>
      <c r="D115" s="149"/>
      <c r="E115" s="61" t="str">
        <f aca="false">IF(OR($C115="",名簿!$F115="転出"),"",IF($C$2="学級ごと",$A115,IF($C$2="前の単元と同じ",単元04!$E115&amp;"",$D115&amp;"")))</f>
        <v/>
      </c>
      <c r="F115" s="150"/>
      <c r="G115" s="150"/>
      <c r="H115" s="150"/>
      <c r="I115" s="151"/>
      <c r="J115" s="41" t="str">
        <f aca="false">IF($E115="","",$E115&amp;"|"&amp;COUNTIF($E$5:$E115,$E115))</f>
        <v/>
      </c>
      <c r="K115" s="40" t="str">
        <f aca="false">IF($I115="","",LEN($I115))</f>
        <v/>
      </c>
      <c r="L115" s="13"/>
      <c r="M115" s="13"/>
      <c r="N115" s="13"/>
      <c r="O115" s="13"/>
      <c r="P115" s="152"/>
      <c r="Q115" s="149"/>
      <c r="R115" s="152"/>
      <c r="S115" s="152"/>
      <c r="T115" s="62" t="str">
        <f aca="false">IF(OR($C115="",R115=""),"",IF(R115/IF($R$2="",100,$R$2)&gt;=設定!$I$28,設定!$G$8,IF(R115/IF($R$2="",100,$R$2)&lt;設定!$I$29,設定!$G$10,設定!$G$9)))</f>
        <v/>
      </c>
      <c r="U115" s="62" t="str">
        <f aca="false">IF(OR($C115="",S115=""),"",IF(S115/IF($S$2="",100,$S$2)&gt;=設定!$I$28,設定!$G$8,IF(S115/IF($S$2="",100,$S$2)&lt;設定!$I$29,設定!$G$10,設定!$G$9)))</f>
        <v/>
      </c>
    </row>
    <row r="116" customFormat="false" ht="21" hidden="false" customHeight="true" outlineLevel="0" collapsed="false">
      <c r="A116" s="91" t="str">
        <f aca="false">IF(名簿!$D116="","",名簿!$B116&amp;"")</f>
        <v/>
      </c>
      <c r="B116" s="91" t="str">
        <f aca="false">IF(名簿!$D116="","",名簿!$C116)</f>
        <v/>
      </c>
      <c r="C116" s="59" t="str">
        <f aca="false">IF(名簿!$D116="","",名簿!$D116&amp;IF(名簿!$F116="転出","（転出）",""))</f>
        <v/>
      </c>
      <c r="D116" s="149"/>
      <c r="E116" s="61" t="str">
        <f aca="false">IF(OR($C116="",名簿!$F116="転出"),"",IF($C$2="学級ごと",$A116,IF($C$2="前の単元と同じ",単元04!$E116&amp;"",$D116&amp;"")))</f>
        <v/>
      </c>
      <c r="F116" s="150"/>
      <c r="G116" s="150"/>
      <c r="H116" s="150"/>
      <c r="I116" s="151"/>
      <c r="J116" s="41" t="str">
        <f aca="false">IF($E116="","",$E116&amp;"|"&amp;COUNTIF($E$5:$E116,$E116))</f>
        <v/>
      </c>
      <c r="K116" s="40" t="str">
        <f aca="false">IF($I116="","",LEN($I116))</f>
        <v/>
      </c>
      <c r="L116" s="13"/>
      <c r="M116" s="13"/>
      <c r="N116" s="13"/>
      <c r="O116" s="13"/>
      <c r="P116" s="152"/>
      <c r="Q116" s="149"/>
      <c r="R116" s="152"/>
      <c r="S116" s="152"/>
      <c r="T116" s="62" t="str">
        <f aca="false">IF(OR($C116="",R116=""),"",IF(R116/IF($R$2="",100,$R$2)&gt;=設定!$I$28,設定!$G$8,IF(R116/IF($R$2="",100,$R$2)&lt;設定!$I$29,設定!$G$10,設定!$G$9)))</f>
        <v/>
      </c>
      <c r="U116" s="62" t="str">
        <f aca="false">IF(OR($C116="",S116=""),"",IF(S116/IF($S$2="",100,$S$2)&gt;=設定!$I$28,設定!$G$8,IF(S116/IF($S$2="",100,$S$2)&lt;設定!$I$29,設定!$G$10,設定!$G$9)))</f>
        <v/>
      </c>
    </row>
    <row r="117" customFormat="false" ht="21" hidden="false" customHeight="true" outlineLevel="0" collapsed="false">
      <c r="A117" s="91" t="str">
        <f aca="false">IF(名簿!$D117="","",名簿!$B117&amp;"")</f>
        <v/>
      </c>
      <c r="B117" s="91" t="str">
        <f aca="false">IF(名簿!$D117="","",名簿!$C117)</f>
        <v/>
      </c>
      <c r="C117" s="59" t="str">
        <f aca="false">IF(名簿!$D117="","",名簿!$D117&amp;IF(名簿!$F117="転出","（転出）",""))</f>
        <v/>
      </c>
      <c r="D117" s="149"/>
      <c r="E117" s="61" t="str">
        <f aca="false">IF(OR($C117="",名簿!$F117="転出"),"",IF($C$2="学級ごと",$A117,IF($C$2="前の単元と同じ",単元04!$E117&amp;"",$D117&amp;"")))</f>
        <v/>
      </c>
      <c r="F117" s="150"/>
      <c r="G117" s="150"/>
      <c r="H117" s="150"/>
      <c r="I117" s="151"/>
      <c r="J117" s="41" t="str">
        <f aca="false">IF($E117="","",$E117&amp;"|"&amp;COUNTIF($E$5:$E117,$E117))</f>
        <v/>
      </c>
      <c r="K117" s="40" t="str">
        <f aca="false">IF($I117="","",LEN($I117))</f>
        <v/>
      </c>
      <c r="L117" s="13"/>
      <c r="M117" s="13"/>
      <c r="N117" s="13"/>
      <c r="O117" s="13"/>
      <c r="P117" s="152"/>
      <c r="Q117" s="149"/>
      <c r="R117" s="152"/>
      <c r="S117" s="152"/>
      <c r="T117" s="62" t="str">
        <f aca="false">IF(OR($C117="",R117=""),"",IF(R117/IF($R$2="",100,$R$2)&gt;=設定!$I$28,設定!$G$8,IF(R117/IF($R$2="",100,$R$2)&lt;設定!$I$29,設定!$G$10,設定!$G$9)))</f>
        <v/>
      </c>
      <c r="U117" s="62" t="str">
        <f aca="false">IF(OR($C117="",S117=""),"",IF(S117/IF($S$2="",100,$S$2)&gt;=設定!$I$28,設定!$G$8,IF(S117/IF($S$2="",100,$S$2)&lt;設定!$I$29,設定!$G$10,設定!$G$9)))</f>
        <v/>
      </c>
    </row>
    <row r="118" customFormat="false" ht="21" hidden="false" customHeight="true" outlineLevel="0" collapsed="false">
      <c r="A118" s="91" t="str">
        <f aca="false">IF(名簿!$D118="","",名簿!$B118&amp;"")</f>
        <v/>
      </c>
      <c r="B118" s="91" t="str">
        <f aca="false">IF(名簿!$D118="","",名簿!$C118)</f>
        <v/>
      </c>
      <c r="C118" s="59" t="str">
        <f aca="false">IF(名簿!$D118="","",名簿!$D118&amp;IF(名簿!$F118="転出","（転出）",""))</f>
        <v/>
      </c>
      <c r="D118" s="149"/>
      <c r="E118" s="61" t="str">
        <f aca="false">IF(OR($C118="",名簿!$F118="転出"),"",IF($C$2="学級ごと",$A118,IF($C$2="前の単元と同じ",単元04!$E118&amp;"",$D118&amp;"")))</f>
        <v/>
      </c>
      <c r="F118" s="150"/>
      <c r="G118" s="150"/>
      <c r="H118" s="150"/>
      <c r="I118" s="151"/>
      <c r="J118" s="41" t="str">
        <f aca="false">IF($E118="","",$E118&amp;"|"&amp;COUNTIF($E$5:$E118,$E118))</f>
        <v/>
      </c>
      <c r="K118" s="40" t="str">
        <f aca="false">IF($I118="","",LEN($I118))</f>
        <v/>
      </c>
      <c r="L118" s="13"/>
      <c r="M118" s="13"/>
      <c r="N118" s="13"/>
      <c r="O118" s="13"/>
      <c r="P118" s="152"/>
      <c r="Q118" s="149"/>
      <c r="R118" s="152"/>
      <c r="S118" s="152"/>
      <c r="T118" s="62" t="str">
        <f aca="false">IF(OR($C118="",R118=""),"",IF(R118/IF($R$2="",100,$R$2)&gt;=設定!$I$28,設定!$G$8,IF(R118/IF($R$2="",100,$R$2)&lt;設定!$I$29,設定!$G$10,設定!$G$9)))</f>
        <v/>
      </c>
      <c r="U118" s="62" t="str">
        <f aca="false">IF(OR($C118="",S118=""),"",IF(S118/IF($S$2="",100,$S$2)&gt;=設定!$I$28,設定!$G$8,IF(S118/IF($S$2="",100,$S$2)&lt;設定!$I$29,設定!$G$10,設定!$G$9)))</f>
        <v/>
      </c>
    </row>
    <row r="119" customFormat="false" ht="21" hidden="false" customHeight="true" outlineLevel="0" collapsed="false">
      <c r="A119" s="91" t="str">
        <f aca="false">IF(名簿!$D119="","",名簿!$B119&amp;"")</f>
        <v/>
      </c>
      <c r="B119" s="91" t="str">
        <f aca="false">IF(名簿!$D119="","",名簿!$C119)</f>
        <v/>
      </c>
      <c r="C119" s="59" t="str">
        <f aca="false">IF(名簿!$D119="","",名簿!$D119&amp;IF(名簿!$F119="転出","（転出）",""))</f>
        <v/>
      </c>
      <c r="D119" s="149"/>
      <c r="E119" s="61" t="str">
        <f aca="false">IF(OR($C119="",名簿!$F119="転出"),"",IF($C$2="学級ごと",$A119,IF($C$2="前の単元と同じ",単元04!$E119&amp;"",$D119&amp;"")))</f>
        <v/>
      </c>
      <c r="F119" s="150"/>
      <c r="G119" s="150"/>
      <c r="H119" s="150"/>
      <c r="I119" s="151"/>
      <c r="J119" s="41" t="str">
        <f aca="false">IF($E119="","",$E119&amp;"|"&amp;COUNTIF($E$5:$E119,$E119))</f>
        <v/>
      </c>
      <c r="K119" s="40" t="str">
        <f aca="false">IF($I119="","",LEN($I119))</f>
        <v/>
      </c>
      <c r="L119" s="13"/>
      <c r="M119" s="13"/>
      <c r="N119" s="13"/>
      <c r="O119" s="13"/>
      <c r="P119" s="152"/>
      <c r="Q119" s="149"/>
      <c r="R119" s="152"/>
      <c r="S119" s="152"/>
      <c r="T119" s="62" t="str">
        <f aca="false">IF(OR($C119="",R119=""),"",IF(R119/IF($R$2="",100,$R$2)&gt;=設定!$I$28,設定!$G$8,IF(R119/IF($R$2="",100,$R$2)&lt;設定!$I$29,設定!$G$10,設定!$G$9)))</f>
        <v/>
      </c>
      <c r="U119" s="62" t="str">
        <f aca="false">IF(OR($C119="",S119=""),"",IF(S119/IF($S$2="",100,$S$2)&gt;=設定!$I$28,設定!$G$8,IF(S119/IF($S$2="",100,$S$2)&lt;設定!$I$29,設定!$G$10,設定!$G$9)))</f>
        <v/>
      </c>
    </row>
    <row r="120" customFormat="false" ht="21" hidden="false" customHeight="true" outlineLevel="0" collapsed="false">
      <c r="A120" s="91" t="str">
        <f aca="false">IF(名簿!$D120="","",名簿!$B120&amp;"")</f>
        <v/>
      </c>
      <c r="B120" s="91" t="str">
        <f aca="false">IF(名簿!$D120="","",名簿!$C120)</f>
        <v/>
      </c>
      <c r="C120" s="59" t="str">
        <f aca="false">IF(名簿!$D120="","",名簿!$D120&amp;IF(名簿!$F120="転出","（転出）",""))</f>
        <v/>
      </c>
      <c r="D120" s="149"/>
      <c r="E120" s="61" t="str">
        <f aca="false">IF(OR($C120="",名簿!$F120="転出"),"",IF($C$2="学級ごと",$A120,IF($C$2="前の単元と同じ",単元04!$E120&amp;"",$D120&amp;"")))</f>
        <v/>
      </c>
      <c r="F120" s="150"/>
      <c r="G120" s="150"/>
      <c r="H120" s="150"/>
      <c r="I120" s="151"/>
      <c r="J120" s="41" t="str">
        <f aca="false">IF($E120="","",$E120&amp;"|"&amp;COUNTIF($E$5:$E120,$E120))</f>
        <v/>
      </c>
      <c r="K120" s="40" t="str">
        <f aca="false">IF($I120="","",LEN($I120))</f>
        <v/>
      </c>
      <c r="L120" s="13"/>
      <c r="M120" s="13"/>
      <c r="N120" s="13"/>
      <c r="O120" s="13"/>
      <c r="P120" s="152"/>
      <c r="Q120" s="149"/>
      <c r="R120" s="152"/>
      <c r="S120" s="152"/>
      <c r="T120" s="62" t="str">
        <f aca="false">IF(OR($C120="",R120=""),"",IF(R120/IF($R$2="",100,$R$2)&gt;=設定!$I$28,設定!$G$8,IF(R120/IF($R$2="",100,$R$2)&lt;設定!$I$29,設定!$G$10,設定!$G$9)))</f>
        <v/>
      </c>
      <c r="U120" s="62" t="str">
        <f aca="false">IF(OR($C120="",S120=""),"",IF(S120/IF($S$2="",100,$S$2)&gt;=設定!$I$28,設定!$G$8,IF(S120/IF($S$2="",100,$S$2)&lt;設定!$I$29,設定!$G$10,設定!$G$9)))</f>
        <v/>
      </c>
    </row>
    <row r="121" customFormat="false" ht="21" hidden="false" customHeight="true" outlineLevel="0" collapsed="false">
      <c r="A121" s="91" t="str">
        <f aca="false">IF(名簿!$D121="","",名簿!$B121&amp;"")</f>
        <v/>
      </c>
      <c r="B121" s="91" t="str">
        <f aca="false">IF(名簿!$D121="","",名簿!$C121)</f>
        <v/>
      </c>
      <c r="C121" s="59" t="str">
        <f aca="false">IF(名簿!$D121="","",名簿!$D121&amp;IF(名簿!$F121="転出","（転出）",""))</f>
        <v/>
      </c>
      <c r="D121" s="149"/>
      <c r="E121" s="61" t="str">
        <f aca="false">IF(OR($C121="",名簿!$F121="転出"),"",IF($C$2="学級ごと",$A121,IF($C$2="前の単元と同じ",単元04!$E121&amp;"",$D121&amp;"")))</f>
        <v/>
      </c>
      <c r="F121" s="150"/>
      <c r="G121" s="150"/>
      <c r="H121" s="150"/>
      <c r="I121" s="151"/>
      <c r="J121" s="41" t="str">
        <f aca="false">IF($E121="","",$E121&amp;"|"&amp;COUNTIF($E$5:$E121,$E121))</f>
        <v/>
      </c>
      <c r="K121" s="40" t="str">
        <f aca="false">IF($I121="","",LEN($I121))</f>
        <v/>
      </c>
      <c r="L121" s="13"/>
      <c r="M121" s="13"/>
      <c r="N121" s="13"/>
      <c r="O121" s="13"/>
      <c r="P121" s="152"/>
      <c r="Q121" s="149"/>
      <c r="R121" s="152"/>
      <c r="S121" s="152"/>
      <c r="T121" s="62" t="str">
        <f aca="false">IF(OR($C121="",R121=""),"",IF(R121/IF($R$2="",100,$R$2)&gt;=設定!$I$28,設定!$G$8,IF(R121/IF($R$2="",100,$R$2)&lt;設定!$I$29,設定!$G$10,設定!$G$9)))</f>
        <v/>
      </c>
      <c r="U121" s="62" t="str">
        <f aca="false">IF(OR($C121="",S121=""),"",IF(S121/IF($S$2="",100,$S$2)&gt;=設定!$I$28,設定!$G$8,IF(S121/IF($S$2="",100,$S$2)&lt;設定!$I$29,設定!$G$10,設定!$G$9)))</f>
        <v/>
      </c>
    </row>
    <row r="122" customFormat="false" ht="21" hidden="false" customHeight="true" outlineLevel="0" collapsed="false">
      <c r="A122" s="91" t="str">
        <f aca="false">IF(名簿!$D122="","",名簿!$B122&amp;"")</f>
        <v/>
      </c>
      <c r="B122" s="91" t="str">
        <f aca="false">IF(名簿!$D122="","",名簿!$C122)</f>
        <v/>
      </c>
      <c r="C122" s="59" t="str">
        <f aca="false">IF(名簿!$D122="","",名簿!$D122&amp;IF(名簿!$F122="転出","（転出）",""))</f>
        <v/>
      </c>
      <c r="D122" s="149"/>
      <c r="E122" s="61" t="str">
        <f aca="false">IF(OR($C122="",名簿!$F122="転出"),"",IF($C$2="学級ごと",$A122,IF($C$2="前の単元と同じ",単元04!$E122&amp;"",$D122&amp;"")))</f>
        <v/>
      </c>
      <c r="F122" s="150"/>
      <c r="G122" s="150"/>
      <c r="H122" s="150"/>
      <c r="I122" s="151"/>
      <c r="J122" s="41" t="str">
        <f aca="false">IF($E122="","",$E122&amp;"|"&amp;COUNTIF($E$5:$E122,$E122))</f>
        <v/>
      </c>
      <c r="K122" s="40" t="str">
        <f aca="false">IF($I122="","",LEN($I122))</f>
        <v/>
      </c>
      <c r="L122" s="13"/>
      <c r="M122" s="13"/>
      <c r="N122" s="13"/>
      <c r="O122" s="13"/>
      <c r="P122" s="152"/>
      <c r="Q122" s="149"/>
      <c r="R122" s="152"/>
      <c r="S122" s="152"/>
      <c r="T122" s="62" t="str">
        <f aca="false">IF(OR($C122="",R122=""),"",IF(R122/IF($R$2="",100,$R$2)&gt;=設定!$I$28,設定!$G$8,IF(R122/IF($R$2="",100,$R$2)&lt;設定!$I$29,設定!$G$10,設定!$G$9)))</f>
        <v/>
      </c>
      <c r="U122" s="62" t="str">
        <f aca="false">IF(OR($C122="",S122=""),"",IF(S122/IF($S$2="",100,$S$2)&gt;=設定!$I$28,設定!$G$8,IF(S122/IF($S$2="",100,$S$2)&lt;設定!$I$29,設定!$G$10,設定!$G$9)))</f>
        <v/>
      </c>
    </row>
    <row r="123" customFormat="false" ht="21" hidden="false" customHeight="true" outlineLevel="0" collapsed="false">
      <c r="A123" s="91" t="str">
        <f aca="false">IF(名簿!$D123="","",名簿!$B123&amp;"")</f>
        <v/>
      </c>
      <c r="B123" s="91" t="str">
        <f aca="false">IF(名簿!$D123="","",名簿!$C123)</f>
        <v/>
      </c>
      <c r="C123" s="59" t="str">
        <f aca="false">IF(名簿!$D123="","",名簿!$D123&amp;IF(名簿!$F123="転出","（転出）",""))</f>
        <v/>
      </c>
      <c r="D123" s="149"/>
      <c r="E123" s="61" t="str">
        <f aca="false">IF(OR($C123="",名簿!$F123="転出"),"",IF($C$2="学級ごと",$A123,IF($C$2="前の単元と同じ",単元04!$E123&amp;"",$D123&amp;"")))</f>
        <v/>
      </c>
      <c r="F123" s="150"/>
      <c r="G123" s="150"/>
      <c r="H123" s="150"/>
      <c r="I123" s="151"/>
      <c r="J123" s="41" t="str">
        <f aca="false">IF($E123="","",$E123&amp;"|"&amp;COUNTIF($E$5:$E123,$E123))</f>
        <v/>
      </c>
      <c r="K123" s="40" t="str">
        <f aca="false">IF($I123="","",LEN($I123))</f>
        <v/>
      </c>
      <c r="L123" s="13"/>
      <c r="M123" s="13"/>
      <c r="N123" s="13"/>
      <c r="O123" s="13"/>
      <c r="P123" s="152"/>
      <c r="Q123" s="149"/>
      <c r="R123" s="152"/>
      <c r="S123" s="152"/>
      <c r="T123" s="62" t="str">
        <f aca="false">IF(OR($C123="",R123=""),"",IF(R123/IF($R$2="",100,$R$2)&gt;=設定!$I$28,設定!$G$8,IF(R123/IF($R$2="",100,$R$2)&lt;設定!$I$29,設定!$G$10,設定!$G$9)))</f>
        <v/>
      </c>
      <c r="U123" s="62" t="str">
        <f aca="false">IF(OR($C123="",S123=""),"",IF(S123/IF($S$2="",100,$S$2)&gt;=設定!$I$28,設定!$G$8,IF(S123/IF($S$2="",100,$S$2)&lt;設定!$I$29,設定!$G$10,設定!$G$9)))</f>
        <v/>
      </c>
    </row>
    <row r="124" customFormat="false" ht="21" hidden="false" customHeight="true" outlineLevel="0" collapsed="false">
      <c r="A124" s="91" t="str">
        <f aca="false">IF(名簿!$D124="","",名簿!$B124&amp;"")</f>
        <v/>
      </c>
      <c r="B124" s="91" t="str">
        <f aca="false">IF(名簿!$D124="","",名簿!$C124)</f>
        <v/>
      </c>
      <c r="C124" s="59" t="str">
        <f aca="false">IF(名簿!$D124="","",名簿!$D124&amp;IF(名簿!$F124="転出","（転出）",""))</f>
        <v/>
      </c>
      <c r="D124" s="149"/>
      <c r="E124" s="61" t="str">
        <f aca="false">IF(OR($C124="",名簿!$F124="転出"),"",IF($C$2="学級ごと",$A124,IF($C$2="前の単元と同じ",単元04!$E124&amp;"",$D124&amp;"")))</f>
        <v/>
      </c>
      <c r="F124" s="150"/>
      <c r="G124" s="150"/>
      <c r="H124" s="150"/>
      <c r="I124" s="151"/>
      <c r="J124" s="41" t="str">
        <f aca="false">IF($E124="","",$E124&amp;"|"&amp;COUNTIF($E$5:$E124,$E124))</f>
        <v/>
      </c>
      <c r="K124" s="40" t="str">
        <f aca="false">IF($I124="","",LEN($I124))</f>
        <v/>
      </c>
      <c r="L124" s="13"/>
      <c r="M124" s="13"/>
      <c r="N124" s="13"/>
      <c r="O124" s="13"/>
      <c r="P124" s="152"/>
      <c r="Q124" s="149"/>
      <c r="R124" s="152"/>
      <c r="S124" s="152"/>
      <c r="T124" s="62" t="str">
        <f aca="false">IF(OR($C124="",R124=""),"",IF(R124/IF($R$2="",100,$R$2)&gt;=設定!$I$28,設定!$G$8,IF(R124/IF($R$2="",100,$R$2)&lt;設定!$I$29,設定!$G$10,設定!$G$9)))</f>
        <v/>
      </c>
      <c r="U124" s="62" t="str">
        <f aca="false">IF(OR($C124="",S124=""),"",IF(S124/IF($S$2="",100,$S$2)&gt;=設定!$I$28,設定!$G$8,IF(S124/IF($S$2="",100,$S$2)&lt;設定!$I$29,設定!$G$10,設定!$G$9)))</f>
        <v/>
      </c>
    </row>
    <row r="125" customFormat="false" ht="21" hidden="false" customHeight="true" outlineLevel="0" collapsed="false">
      <c r="A125" s="91" t="str">
        <f aca="false">IF(名簿!$D125="","",名簿!$B125&amp;"")</f>
        <v/>
      </c>
      <c r="B125" s="91" t="str">
        <f aca="false">IF(名簿!$D125="","",名簿!$C125)</f>
        <v/>
      </c>
      <c r="C125" s="59" t="str">
        <f aca="false">IF(名簿!$D125="","",名簿!$D125&amp;IF(名簿!$F125="転出","（転出）",""))</f>
        <v/>
      </c>
      <c r="D125" s="149"/>
      <c r="E125" s="61" t="str">
        <f aca="false">IF(OR($C125="",名簿!$F125="転出"),"",IF($C$2="学級ごと",$A125,IF($C$2="前の単元と同じ",単元04!$E125&amp;"",$D125&amp;"")))</f>
        <v/>
      </c>
      <c r="F125" s="150"/>
      <c r="G125" s="150"/>
      <c r="H125" s="150"/>
      <c r="I125" s="151"/>
      <c r="J125" s="41" t="str">
        <f aca="false">IF($E125="","",$E125&amp;"|"&amp;COUNTIF($E$5:$E125,$E125))</f>
        <v/>
      </c>
      <c r="K125" s="40" t="str">
        <f aca="false">IF($I125="","",LEN($I125))</f>
        <v/>
      </c>
      <c r="L125" s="13"/>
      <c r="M125" s="13"/>
      <c r="N125" s="13"/>
      <c r="O125" s="13"/>
      <c r="P125" s="152"/>
      <c r="Q125" s="149"/>
      <c r="R125" s="152"/>
      <c r="S125" s="152"/>
      <c r="T125" s="62" t="str">
        <f aca="false">IF(OR($C125="",R125=""),"",IF(R125/IF($R$2="",100,$R$2)&gt;=設定!$I$28,設定!$G$8,IF(R125/IF($R$2="",100,$R$2)&lt;設定!$I$29,設定!$G$10,設定!$G$9)))</f>
        <v/>
      </c>
      <c r="U125" s="62" t="str">
        <f aca="false">IF(OR($C125="",S125=""),"",IF(S125/IF($S$2="",100,$S$2)&gt;=設定!$I$28,設定!$G$8,IF(S125/IF($S$2="",100,$S$2)&lt;設定!$I$29,設定!$G$10,設定!$G$9)))</f>
        <v/>
      </c>
    </row>
    <row r="126" customFormat="false" ht="21" hidden="false" customHeight="true" outlineLevel="0" collapsed="false">
      <c r="A126" s="91" t="str">
        <f aca="false">IF(名簿!$D126="","",名簿!$B126&amp;"")</f>
        <v/>
      </c>
      <c r="B126" s="91" t="str">
        <f aca="false">IF(名簿!$D126="","",名簿!$C126)</f>
        <v/>
      </c>
      <c r="C126" s="59" t="str">
        <f aca="false">IF(名簿!$D126="","",名簿!$D126&amp;IF(名簿!$F126="転出","（転出）",""))</f>
        <v/>
      </c>
      <c r="D126" s="149"/>
      <c r="E126" s="61" t="str">
        <f aca="false">IF(OR($C126="",名簿!$F126="転出"),"",IF($C$2="学級ごと",$A126,IF($C$2="前の単元と同じ",単元04!$E126&amp;"",$D126&amp;"")))</f>
        <v/>
      </c>
      <c r="F126" s="150"/>
      <c r="G126" s="150"/>
      <c r="H126" s="150"/>
      <c r="I126" s="151"/>
      <c r="J126" s="41" t="str">
        <f aca="false">IF($E126="","",$E126&amp;"|"&amp;COUNTIF($E$5:$E126,$E126))</f>
        <v/>
      </c>
      <c r="K126" s="40" t="str">
        <f aca="false">IF($I126="","",LEN($I126))</f>
        <v/>
      </c>
      <c r="L126" s="13"/>
      <c r="M126" s="13"/>
      <c r="N126" s="13"/>
      <c r="O126" s="13"/>
      <c r="P126" s="152"/>
      <c r="Q126" s="149"/>
      <c r="R126" s="152"/>
      <c r="S126" s="152"/>
      <c r="T126" s="62" t="str">
        <f aca="false">IF(OR($C126="",R126=""),"",IF(R126/IF($R$2="",100,$R$2)&gt;=設定!$I$28,設定!$G$8,IF(R126/IF($R$2="",100,$R$2)&lt;設定!$I$29,設定!$G$10,設定!$G$9)))</f>
        <v/>
      </c>
      <c r="U126" s="62" t="str">
        <f aca="false">IF(OR($C126="",S126=""),"",IF(S126/IF($S$2="",100,$S$2)&gt;=設定!$I$28,設定!$G$8,IF(S126/IF($S$2="",100,$S$2)&lt;設定!$I$29,設定!$G$10,設定!$G$9)))</f>
        <v/>
      </c>
    </row>
    <row r="127" customFormat="false" ht="21" hidden="false" customHeight="true" outlineLevel="0" collapsed="false">
      <c r="A127" s="91" t="str">
        <f aca="false">IF(名簿!$D127="","",名簿!$B127&amp;"")</f>
        <v/>
      </c>
      <c r="B127" s="91" t="str">
        <f aca="false">IF(名簿!$D127="","",名簿!$C127)</f>
        <v/>
      </c>
      <c r="C127" s="59" t="str">
        <f aca="false">IF(名簿!$D127="","",名簿!$D127&amp;IF(名簿!$F127="転出","（転出）",""))</f>
        <v/>
      </c>
      <c r="D127" s="149"/>
      <c r="E127" s="61" t="str">
        <f aca="false">IF(OR($C127="",名簿!$F127="転出"),"",IF($C$2="学級ごと",$A127,IF($C$2="前の単元と同じ",単元04!$E127&amp;"",$D127&amp;"")))</f>
        <v/>
      </c>
      <c r="F127" s="150"/>
      <c r="G127" s="150"/>
      <c r="H127" s="150"/>
      <c r="I127" s="151"/>
      <c r="J127" s="41" t="str">
        <f aca="false">IF($E127="","",$E127&amp;"|"&amp;COUNTIF($E$5:$E127,$E127))</f>
        <v/>
      </c>
      <c r="K127" s="40" t="str">
        <f aca="false">IF($I127="","",LEN($I127))</f>
        <v/>
      </c>
      <c r="L127" s="13"/>
      <c r="M127" s="13"/>
      <c r="N127" s="13"/>
      <c r="O127" s="13"/>
      <c r="P127" s="152"/>
      <c r="Q127" s="149"/>
      <c r="R127" s="152"/>
      <c r="S127" s="152"/>
      <c r="T127" s="62" t="str">
        <f aca="false">IF(OR($C127="",R127=""),"",IF(R127/IF($R$2="",100,$R$2)&gt;=設定!$I$28,設定!$G$8,IF(R127/IF($R$2="",100,$R$2)&lt;設定!$I$29,設定!$G$10,設定!$G$9)))</f>
        <v/>
      </c>
      <c r="U127" s="62" t="str">
        <f aca="false">IF(OR($C127="",S127=""),"",IF(S127/IF($S$2="",100,$S$2)&gt;=設定!$I$28,設定!$G$8,IF(S127/IF($S$2="",100,$S$2)&lt;設定!$I$29,設定!$G$10,設定!$G$9)))</f>
        <v/>
      </c>
    </row>
    <row r="128" customFormat="false" ht="21" hidden="false" customHeight="true" outlineLevel="0" collapsed="false">
      <c r="A128" s="91" t="str">
        <f aca="false">IF(名簿!$D128="","",名簿!$B128&amp;"")</f>
        <v/>
      </c>
      <c r="B128" s="91" t="str">
        <f aca="false">IF(名簿!$D128="","",名簿!$C128)</f>
        <v/>
      </c>
      <c r="C128" s="59" t="str">
        <f aca="false">IF(名簿!$D128="","",名簿!$D128&amp;IF(名簿!$F128="転出","（転出）",""))</f>
        <v/>
      </c>
      <c r="D128" s="149"/>
      <c r="E128" s="61" t="str">
        <f aca="false">IF(OR($C128="",名簿!$F128="転出"),"",IF($C$2="学級ごと",$A128,IF($C$2="前の単元と同じ",単元04!$E128&amp;"",$D128&amp;"")))</f>
        <v/>
      </c>
      <c r="F128" s="150"/>
      <c r="G128" s="150"/>
      <c r="H128" s="150"/>
      <c r="I128" s="151"/>
      <c r="J128" s="41" t="str">
        <f aca="false">IF($E128="","",$E128&amp;"|"&amp;COUNTIF($E$5:$E128,$E128))</f>
        <v/>
      </c>
      <c r="K128" s="40" t="str">
        <f aca="false">IF($I128="","",LEN($I128))</f>
        <v/>
      </c>
      <c r="L128" s="13"/>
      <c r="M128" s="13"/>
      <c r="N128" s="13"/>
      <c r="O128" s="13"/>
      <c r="P128" s="152"/>
      <c r="Q128" s="149"/>
      <c r="R128" s="152"/>
      <c r="S128" s="152"/>
      <c r="T128" s="62" t="str">
        <f aca="false">IF(OR($C128="",R128=""),"",IF(R128/IF($R$2="",100,$R$2)&gt;=設定!$I$28,設定!$G$8,IF(R128/IF($R$2="",100,$R$2)&lt;設定!$I$29,設定!$G$10,設定!$G$9)))</f>
        <v/>
      </c>
      <c r="U128" s="62" t="str">
        <f aca="false">IF(OR($C128="",S128=""),"",IF(S128/IF($S$2="",100,$S$2)&gt;=設定!$I$28,設定!$G$8,IF(S128/IF($S$2="",100,$S$2)&lt;設定!$I$29,設定!$G$10,設定!$G$9)))</f>
        <v/>
      </c>
    </row>
    <row r="129" customFormat="false" ht="21" hidden="false" customHeight="true" outlineLevel="0" collapsed="false">
      <c r="A129" s="91" t="str">
        <f aca="false">IF(名簿!$D129="","",名簿!$B129&amp;"")</f>
        <v/>
      </c>
      <c r="B129" s="91" t="str">
        <f aca="false">IF(名簿!$D129="","",名簿!$C129)</f>
        <v/>
      </c>
      <c r="C129" s="59" t="str">
        <f aca="false">IF(名簿!$D129="","",名簿!$D129&amp;IF(名簿!$F129="転出","（転出）",""))</f>
        <v/>
      </c>
      <c r="D129" s="149"/>
      <c r="E129" s="61" t="str">
        <f aca="false">IF(OR($C129="",名簿!$F129="転出"),"",IF($C$2="学級ごと",$A129,IF($C$2="前の単元と同じ",単元04!$E129&amp;"",$D129&amp;"")))</f>
        <v/>
      </c>
      <c r="F129" s="150"/>
      <c r="G129" s="150"/>
      <c r="H129" s="150"/>
      <c r="I129" s="151"/>
      <c r="J129" s="41" t="str">
        <f aca="false">IF($E129="","",$E129&amp;"|"&amp;COUNTIF($E$5:$E129,$E129))</f>
        <v/>
      </c>
      <c r="K129" s="40" t="str">
        <f aca="false">IF($I129="","",LEN($I129))</f>
        <v/>
      </c>
      <c r="L129" s="13"/>
      <c r="M129" s="13"/>
      <c r="N129" s="13"/>
      <c r="O129" s="13"/>
      <c r="P129" s="152"/>
      <c r="Q129" s="149"/>
      <c r="R129" s="152"/>
      <c r="S129" s="152"/>
      <c r="T129" s="62" t="str">
        <f aca="false">IF(OR($C129="",R129=""),"",IF(R129/IF($R$2="",100,$R$2)&gt;=設定!$I$28,設定!$G$8,IF(R129/IF($R$2="",100,$R$2)&lt;設定!$I$29,設定!$G$10,設定!$G$9)))</f>
        <v/>
      </c>
      <c r="U129" s="62" t="str">
        <f aca="false">IF(OR($C129="",S129=""),"",IF(S129/IF($S$2="",100,$S$2)&gt;=設定!$I$28,設定!$G$8,IF(S129/IF($S$2="",100,$S$2)&lt;設定!$I$29,設定!$G$10,設定!$G$9)))</f>
        <v/>
      </c>
    </row>
    <row r="130" customFormat="false" ht="21" hidden="false" customHeight="true" outlineLevel="0" collapsed="false">
      <c r="A130" s="91" t="str">
        <f aca="false">IF(名簿!$D130="","",名簿!$B130&amp;"")</f>
        <v/>
      </c>
      <c r="B130" s="91" t="str">
        <f aca="false">IF(名簿!$D130="","",名簿!$C130)</f>
        <v/>
      </c>
      <c r="C130" s="59" t="str">
        <f aca="false">IF(名簿!$D130="","",名簿!$D130&amp;IF(名簿!$F130="転出","（転出）",""))</f>
        <v/>
      </c>
      <c r="D130" s="149"/>
      <c r="E130" s="61" t="str">
        <f aca="false">IF(OR($C130="",名簿!$F130="転出"),"",IF($C$2="学級ごと",$A130,IF($C$2="前の単元と同じ",単元04!$E130&amp;"",$D130&amp;"")))</f>
        <v/>
      </c>
      <c r="F130" s="150"/>
      <c r="G130" s="150"/>
      <c r="H130" s="150"/>
      <c r="I130" s="151"/>
      <c r="J130" s="41" t="str">
        <f aca="false">IF($E130="","",$E130&amp;"|"&amp;COUNTIF($E$5:$E130,$E130))</f>
        <v/>
      </c>
      <c r="K130" s="40" t="str">
        <f aca="false">IF($I130="","",LEN($I130))</f>
        <v/>
      </c>
      <c r="L130" s="13"/>
      <c r="M130" s="13"/>
      <c r="N130" s="13"/>
      <c r="O130" s="13"/>
      <c r="P130" s="152"/>
      <c r="Q130" s="149"/>
      <c r="R130" s="152"/>
      <c r="S130" s="152"/>
      <c r="T130" s="62" t="str">
        <f aca="false">IF(OR($C130="",R130=""),"",IF(R130/IF($R$2="",100,$R$2)&gt;=設定!$I$28,設定!$G$8,IF(R130/IF($R$2="",100,$R$2)&lt;設定!$I$29,設定!$G$10,設定!$G$9)))</f>
        <v/>
      </c>
      <c r="U130" s="62" t="str">
        <f aca="false">IF(OR($C130="",S130=""),"",IF(S130/IF($S$2="",100,$S$2)&gt;=設定!$I$28,設定!$G$8,IF(S130/IF($S$2="",100,$S$2)&lt;設定!$I$29,設定!$G$10,設定!$G$9)))</f>
        <v/>
      </c>
    </row>
    <row r="131" customFormat="false" ht="21" hidden="false" customHeight="true" outlineLevel="0" collapsed="false">
      <c r="A131" s="91" t="str">
        <f aca="false">IF(名簿!$D131="","",名簿!$B131&amp;"")</f>
        <v/>
      </c>
      <c r="B131" s="91" t="str">
        <f aca="false">IF(名簿!$D131="","",名簿!$C131)</f>
        <v/>
      </c>
      <c r="C131" s="59" t="str">
        <f aca="false">IF(名簿!$D131="","",名簿!$D131&amp;IF(名簿!$F131="転出","（転出）",""))</f>
        <v/>
      </c>
      <c r="D131" s="149"/>
      <c r="E131" s="61" t="str">
        <f aca="false">IF(OR($C131="",名簿!$F131="転出"),"",IF($C$2="学級ごと",$A131,IF($C$2="前の単元と同じ",単元04!$E131&amp;"",$D131&amp;"")))</f>
        <v/>
      </c>
      <c r="F131" s="150"/>
      <c r="G131" s="150"/>
      <c r="H131" s="150"/>
      <c r="I131" s="151"/>
      <c r="J131" s="41" t="str">
        <f aca="false">IF($E131="","",$E131&amp;"|"&amp;COUNTIF($E$5:$E131,$E131))</f>
        <v/>
      </c>
      <c r="K131" s="40" t="str">
        <f aca="false">IF($I131="","",LEN($I131))</f>
        <v/>
      </c>
      <c r="L131" s="13"/>
      <c r="M131" s="13"/>
      <c r="N131" s="13"/>
      <c r="O131" s="13"/>
      <c r="P131" s="152"/>
      <c r="Q131" s="149"/>
      <c r="R131" s="152"/>
      <c r="S131" s="152"/>
      <c r="T131" s="62" t="str">
        <f aca="false">IF(OR($C131="",R131=""),"",IF(R131/IF($R$2="",100,$R$2)&gt;=設定!$I$28,設定!$G$8,IF(R131/IF($R$2="",100,$R$2)&lt;設定!$I$29,設定!$G$10,設定!$G$9)))</f>
        <v/>
      </c>
      <c r="U131" s="62" t="str">
        <f aca="false">IF(OR($C131="",S131=""),"",IF(S131/IF($S$2="",100,$S$2)&gt;=設定!$I$28,設定!$G$8,IF(S131/IF($S$2="",100,$S$2)&lt;設定!$I$29,設定!$G$10,設定!$G$9)))</f>
        <v/>
      </c>
    </row>
    <row r="132" customFormat="false" ht="21" hidden="false" customHeight="true" outlineLevel="0" collapsed="false">
      <c r="A132" s="91" t="str">
        <f aca="false">IF(名簿!$D132="","",名簿!$B132&amp;"")</f>
        <v/>
      </c>
      <c r="B132" s="91" t="str">
        <f aca="false">IF(名簿!$D132="","",名簿!$C132)</f>
        <v/>
      </c>
      <c r="C132" s="59" t="str">
        <f aca="false">IF(名簿!$D132="","",名簿!$D132&amp;IF(名簿!$F132="転出","（転出）",""))</f>
        <v/>
      </c>
      <c r="D132" s="149"/>
      <c r="E132" s="61" t="str">
        <f aca="false">IF(OR($C132="",名簿!$F132="転出"),"",IF($C$2="学級ごと",$A132,IF($C$2="前の単元と同じ",単元04!$E132&amp;"",$D132&amp;"")))</f>
        <v/>
      </c>
      <c r="F132" s="150"/>
      <c r="G132" s="150"/>
      <c r="H132" s="150"/>
      <c r="I132" s="151"/>
      <c r="J132" s="41" t="str">
        <f aca="false">IF($E132="","",$E132&amp;"|"&amp;COUNTIF($E$5:$E132,$E132))</f>
        <v/>
      </c>
      <c r="K132" s="40" t="str">
        <f aca="false">IF($I132="","",LEN($I132))</f>
        <v/>
      </c>
      <c r="L132" s="13"/>
      <c r="M132" s="13"/>
      <c r="N132" s="13"/>
      <c r="O132" s="13"/>
      <c r="P132" s="152"/>
      <c r="Q132" s="149"/>
      <c r="R132" s="152"/>
      <c r="S132" s="152"/>
      <c r="T132" s="62" t="str">
        <f aca="false">IF(OR($C132="",R132=""),"",IF(R132/IF($R$2="",100,$R$2)&gt;=設定!$I$28,設定!$G$8,IF(R132/IF($R$2="",100,$R$2)&lt;設定!$I$29,設定!$G$10,設定!$G$9)))</f>
        <v/>
      </c>
      <c r="U132" s="62" t="str">
        <f aca="false">IF(OR($C132="",S132=""),"",IF(S132/IF($S$2="",100,$S$2)&gt;=設定!$I$28,設定!$G$8,IF(S132/IF($S$2="",100,$S$2)&lt;設定!$I$29,設定!$G$10,設定!$G$9)))</f>
        <v/>
      </c>
    </row>
    <row r="133" customFormat="false" ht="21" hidden="false" customHeight="true" outlineLevel="0" collapsed="false">
      <c r="A133" s="91" t="str">
        <f aca="false">IF(名簿!$D133="","",名簿!$B133&amp;"")</f>
        <v/>
      </c>
      <c r="B133" s="91" t="str">
        <f aca="false">IF(名簿!$D133="","",名簿!$C133)</f>
        <v/>
      </c>
      <c r="C133" s="59" t="str">
        <f aca="false">IF(名簿!$D133="","",名簿!$D133&amp;IF(名簿!$F133="転出","（転出）",""))</f>
        <v/>
      </c>
      <c r="D133" s="149"/>
      <c r="E133" s="61" t="str">
        <f aca="false">IF(OR($C133="",名簿!$F133="転出"),"",IF($C$2="学級ごと",$A133,IF($C$2="前の単元と同じ",単元04!$E133&amp;"",$D133&amp;"")))</f>
        <v/>
      </c>
      <c r="F133" s="150"/>
      <c r="G133" s="150"/>
      <c r="H133" s="150"/>
      <c r="I133" s="151"/>
      <c r="J133" s="41" t="str">
        <f aca="false">IF($E133="","",$E133&amp;"|"&amp;COUNTIF($E$5:$E133,$E133))</f>
        <v/>
      </c>
      <c r="K133" s="40" t="str">
        <f aca="false">IF($I133="","",LEN($I133))</f>
        <v/>
      </c>
      <c r="L133" s="13"/>
      <c r="M133" s="13"/>
      <c r="N133" s="13"/>
      <c r="O133" s="13"/>
      <c r="P133" s="152"/>
      <c r="Q133" s="149"/>
      <c r="R133" s="152"/>
      <c r="S133" s="152"/>
      <c r="T133" s="62" t="str">
        <f aca="false">IF(OR($C133="",R133=""),"",IF(R133/IF($R$2="",100,$R$2)&gt;=設定!$I$28,設定!$G$8,IF(R133/IF($R$2="",100,$R$2)&lt;設定!$I$29,設定!$G$10,設定!$G$9)))</f>
        <v/>
      </c>
      <c r="U133" s="62" t="str">
        <f aca="false">IF(OR($C133="",S133=""),"",IF(S133/IF($S$2="",100,$S$2)&gt;=設定!$I$28,設定!$G$8,IF(S133/IF($S$2="",100,$S$2)&lt;設定!$I$29,設定!$G$10,設定!$G$9)))</f>
        <v/>
      </c>
    </row>
    <row r="134" customFormat="false" ht="21" hidden="false" customHeight="true" outlineLevel="0" collapsed="false">
      <c r="A134" s="91" t="str">
        <f aca="false">IF(名簿!$D134="","",名簿!$B134&amp;"")</f>
        <v/>
      </c>
      <c r="B134" s="91" t="str">
        <f aca="false">IF(名簿!$D134="","",名簿!$C134)</f>
        <v/>
      </c>
      <c r="C134" s="59" t="str">
        <f aca="false">IF(名簿!$D134="","",名簿!$D134&amp;IF(名簿!$F134="転出","（転出）",""))</f>
        <v/>
      </c>
      <c r="D134" s="149"/>
      <c r="E134" s="61" t="str">
        <f aca="false">IF(OR($C134="",名簿!$F134="転出"),"",IF($C$2="学級ごと",$A134,IF($C$2="前の単元と同じ",単元04!$E134&amp;"",$D134&amp;"")))</f>
        <v/>
      </c>
      <c r="F134" s="150"/>
      <c r="G134" s="150"/>
      <c r="H134" s="150"/>
      <c r="I134" s="151"/>
      <c r="J134" s="41" t="str">
        <f aca="false">IF($E134="","",$E134&amp;"|"&amp;COUNTIF($E$5:$E134,$E134))</f>
        <v/>
      </c>
      <c r="K134" s="40" t="str">
        <f aca="false">IF($I134="","",LEN($I134))</f>
        <v/>
      </c>
      <c r="L134" s="13"/>
      <c r="M134" s="13"/>
      <c r="N134" s="13"/>
      <c r="O134" s="13"/>
      <c r="P134" s="152"/>
      <c r="Q134" s="149"/>
      <c r="R134" s="152"/>
      <c r="S134" s="152"/>
      <c r="T134" s="62" t="str">
        <f aca="false">IF(OR($C134="",R134=""),"",IF(R134/IF($R$2="",100,$R$2)&gt;=設定!$I$28,設定!$G$8,IF(R134/IF($R$2="",100,$R$2)&lt;設定!$I$29,設定!$G$10,設定!$G$9)))</f>
        <v/>
      </c>
      <c r="U134" s="62" t="str">
        <f aca="false">IF(OR($C134="",S134=""),"",IF(S134/IF($S$2="",100,$S$2)&gt;=設定!$I$28,設定!$G$8,IF(S134/IF($S$2="",100,$S$2)&lt;設定!$I$29,設定!$G$10,設定!$G$9)))</f>
        <v/>
      </c>
    </row>
    <row r="135" customFormat="false" ht="21" hidden="false" customHeight="true" outlineLevel="0" collapsed="false">
      <c r="A135" s="91" t="str">
        <f aca="false">IF(名簿!$D135="","",名簿!$B135&amp;"")</f>
        <v/>
      </c>
      <c r="B135" s="91" t="str">
        <f aca="false">IF(名簿!$D135="","",名簿!$C135)</f>
        <v/>
      </c>
      <c r="C135" s="59" t="str">
        <f aca="false">IF(名簿!$D135="","",名簿!$D135&amp;IF(名簿!$F135="転出","（転出）",""))</f>
        <v/>
      </c>
      <c r="D135" s="149"/>
      <c r="E135" s="61" t="str">
        <f aca="false">IF(OR($C135="",名簿!$F135="転出"),"",IF($C$2="学級ごと",$A135,IF($C$2="前の単元と同じ",単元04!$E135&amp;"",$D135&amp;"")))</f>
        <v/>
      </c>
      <c r="F135" s="150"/>
      <c r="G135" s="150"/>
      <c r="H135" s="150"/>
      <c r="I135" s="151"/>
      <c r="J135" s="41" t="str">
        <f aca="false">IF($E135="","",$E135&amp;"|"&amp;COUNTIF($E$5:$E135,$E135))</f>
        <v/>
      </c>
      <c r="K135" s="40" t="str">
        <f aca="false">IF($I135="","",LEN($I135))</f>
        <v/>
      </c>
      <c r="L135" s="13"/>
      <c r="M135" s="13"/>
      <c r="N135" s="13"/>
      <c r="O135" s="13"/>
      <c r="P135" s="152"/>
      <c r="Q135" s="149"/>
      <c r="R135" s="152"/>
      <c r="S135" s="152"/>
      <c r="T135" s="62" t="str">
        <f aca="false">IF(OR($C135="",R135=""),"",IF(R135/IF($R$2="",100,$R$2)&gt;=設定!$I$28,設定!$G$8,IF(R135/IF($R$2="",100,$R$2)&lt;設定!$I$29,設定!$G$10,設定!$G$9)))</f>
        <v/>
      </c>
      <c r="U135" s="62" t="str">
        <f aca="false">IF(OR($C135="",S135=""),"",IF(S135/IF($S$2="",100,$S$2)&gt;=設定!$I$28,設定!$G$8,IF(S135/IF($S$2="",100,$S$2)&lt;設定!$I$29,設定!$G$10,設定!$G$9)))</f>
        <v/>
      </c>
    </row>
    <row r="136" customFormat="false" ht="21" hidden="false" customHeight="true" outlineLevel="0" collapsed="false">
      <c r="A136" s="91" t="str">
        <f aca="false">IF(名簿!$D136="","",名簿!$B136&amp;"")</f>
        <v/>
      </c>
      <c r="B136" s="91" t="str">
        <f aca="false">IF(名簿!$D136="","",名簿!$C136)</f>
        <v/>
      </c>
      <c r="C136" s="59" t="str">
        <f aca="false">IF(名簿!$D136="","",名簿!$D136&amp;IF(名簿!$F136="転出","（転出）",""))</f>
        <v/>
      </c>
      <c r="D136" s="149"/>
      <c r="E136" s="61" t="str">
        <f aca="false">IF(OR($C136="",名簿!$F136="転出"),"",IF($C$2="学級ごと",$A136,IF($C$2="前の単元と同じ",単元04!$E136&amp;"",$D136&amp;"")))</f>
        <v/>
      </c>
      <c r="F136" s="150"/>
      <c r="G136" s="150"/>
      <c r="H136" s="150"/>
      <c r="I136" s="151"/>
      <c r="J136" s="41" t="str">
        <f aca="false">IF($E136="","",$E136&amp;"|"&amp;COUNTIF($E$5:$E136,$E136))</f>
        <v/>
      </c>
      <c r="K136" s="40" t="str">
        <f aca="false">IF($I136="","",LEN($I136))</f>
        <v/>
      </c>
      <c r="L136" s="13"/>
      <c r="M136" s="13"/>
      <c r="N136" s="13"/>
      <c r="O136" s="13"/>
      <c r="P136" s="152"/>
      <c r="Q136" s="149"/>
      <c r="R136" s="152"/>
      <c r="S136" s="152"/>
      <c r="T136" s="62" t="str">
        <f aca="false">IF(OR($C136="",R136=""),"",IF(R136/IF($R$2="",100,$R$2)&gt;=設定!$I$28,設定!$G$8,IF(R136/IF($R$2="",100,$R$2)&lt;設定!$I$29,設定!$G$10,設定!$G$9)))</f>
        <v/>
      </c>
      <c r="U136" s="62" t="str">
        <f aca="false">IF(OR($C136="",S136=""),"",IF(S136/IF($S$2="",100,$S$2)&gt;=設定!$I$28,設定!$G$8,IF(S136/IF($S$2="",100,$S$2)&lt;設定!$I$29,設定!$G$10,設定!$G$9)))</f>
        <v/>
      </c>
    </row>
    <row r="137" customFormat="false" ht="21" hidden="false" customHeight="true" outlineLevel="0" collapsed="false">
      <c r="A137" s="91" t="str">
        <f aca="false">IF(名簿!$D137="","",名簿!$B137&amp;"")</f>
        <v/>
      </c>
      <c r="B137" s="91" t="str">
        <f aca="false">IF(名簿!$D137="","",名簿!$C137)</f>
        <v/>
      </c>
      <c r="C137" s="59" t="str">
        <f aca="false">IF(名簿!$D137="","",名簿!$D137&amp;IF(名簿!$F137="転出","（転出）",""))</f>
        <v/>
      </c>
      <c r="D137" s="149"/>
      <c r="E137" s="61" t="str">
        <f aca="false">IF(OR($C137="",名簿!$F137="転出"),"",IF($C$2="学級ごと",$A137,IF($C$2="前の単元と同じ",単元04!$E137&amp;"",$D137&amp;"")))</f>
        <v/>
      </c>
      <c r="F137" s="150"/>
      <c r="G137" s="150"/>
      <c r="H137" s="150"/>
      <c r="I137" s="151"/>
      <c r="J137" s="41" t="str">
        <f aca="false">IF($E137="","",$E137&amp;"|"&amp;COUNTIF($E$5:$E137,$E137))</f>
        <v/>
      </c>
      <c r="K137" s="40" t="str">
        <f aca="false">IF($I137="","",LEN($I137))</f>
        <v/>
      </c>
      <c r="L137" s="13"/>
      <c r="M137" s="13"/>
      <c r="N137" s="13"/>
      <c r="O137" s="13"/>
      <c r="P137" s="152"/>
      <c r="Q137" s="149"/>
      <c r="R137" s="152"/>
      <c r="S137" s="152"/>
      <c r="T137" s="62" t="str">
        <f aca="false">IF(OR($C137="",R137=""),"",IF(R137/IF($R$2="",100,$R$2)&gt;=設定!$I$28,設定!$G$8,IF(R137/IF($R$2="",100,$R$2)&lt;設定!$I$29,設定!$G$10,設定!$G$9)))</f>
        <v/>
      </c>
      <c r="U137" s="62" t="str">
        <f aca="false">IF(OR($C137="",S137=""),"",IF(S137/IF($S$2="",100,$S$2)&gt;=設定!$I$28,設定!$G$8,IF(S137/IF($S$2="",100,$S$2)&lt;設定!$I$29,設定!$G$10,設定!$G$9)))</f>
        <v/>
      </c>
    </row>
    <row r="138" customFormat="false" ht="21" hidden="false" customHeight="true" outlineLevel="0" collapsed="false">
      <c r="A138" s="91" t="str">
        <f aca="false">IF(名簿!$D138="","",名簿!$B138&amp;"")</f>
        <v/>
      </c>
      <c r="B138" s="91" t="str">
        <f aca="false">IF(名簿!$D138="","",名簿!$C138)</f>
        <v/>
      </c>
      <c r="C138" s="59" t="str">
        <f aca="false">IF(名簿!$D138="","",名簿!$D138&amp;IF(名簿!$F138="転出","（転出）",""))</f>
        <v/>
      </c>
      <c r="D138" s="149"/>
      <c r="E138" s="61" t="str">
        <f aca="false">IF(OR($C138="",名簿!$F138="転出"),"",IF($C$2="学級ごと",$A138,IF($C$2="前の単元と同じ",単元04!$E138&amp;"",$D138&amp;"")))</f>
        <v/>
      </c>
      <c r="F138" s="150"/>
      <c r="G138" s="150"/>
      <c r="H138" s="150"/>
      <c r="I138" s="151"/>
      <c r="J138" s="41" t="str">
        <f aca="false">IF($E138="","",$E138&amp;"|"&amp;COUNTIF($E$5:$E138,$E138))</f>
        <v/>
      </c>
      <c r="K138" s="40" t="str">
        <f aca="false">IF($I138="","",LEN($I138))</f>
        <v/>
      </c>
      <c r="L138" s="13"/>
      <c r="M138" s="13"/>
      <c r="N138" s="13"/>
      <c r="O138" s="13"/>
      <c r="P138" s="152"/>
      <c r="Q138" s="149"/>
      <c r="R138" s="152"/>
      <c r="S138" s="152"/>
      <c r="T138" s="62" t="str">
        <f aca="false">IF(OR($C138="",R138=""),"",IF(R138/IF($R$2="",100,$R$2)&gt;=設定!$I$28,設定!$G$8,IF(R138/IF($R$2="",100,$R$2)&lt;設定!$I$29,設定!$G$10,設定!$G$9)))</f>
        <v/>
      </c>
      <c r="U138" s="62" t="str">
        <f aca="false">IF(OR($C138="",S138=""),"",IF(S138/IF($S$2="",100,$S$2)&gt;=設定!$I$28,設定!$G$8,IF(S138/IF($S$2="",100,$S$2)&lt;設定!$I$29,設定!$G$10,設定!$G$9)))</f>
        <v/>
      </c>
    </row>
    <row r="139" customFormat="false" ht="21" hidden="false" customHeight="true" outlineLevel="0" collapsed="false">
      <c r="A139" s="91" t="str">
        <f aca="false">IF(名簿!$D139="","",名簿!$B139&amp;"")</f>
        <v/>
      </c>
      <c r="B139" s="91" t="str">
        <f aca="false">IF(名簿!$D139="","",名簿!$C139)</f>
        <v/>
      </c>
      <c r="C139" s="59" t="str">
        <f aca="false">IF(名簿!$D139="","",名簿!$D139&amp;IF(名簿!$F139="転出","（転出）",""))</f>
        <v/>
      </c>
      <c r="D139" s="149"/>
      <c r="E139" s="61" t="str">
        <f aca="false">IF(OR($C139="",名簿!$F139="転出"),"",IF($C$2="学級ごと",$A139,IF($C$2="前の単元と同じ",単元04!$E139&amp;"",$D139&amp;"")))</f>
        <v/>
      </c>
      <c r="F139" s="150"/>
      <c r="G139" s="150"/>
      <c r="H139" s="150"/>
      <c r="I139" s="151"/>
      <c r="J139" s="41" t="str">
        <f aca="false">IF($E139="","",$E139&amp;"|"&amp;COUNTIF($E$5:$E139,$E139))</f>
        <v/>
      </c>
      <c r="K139" s="40" t="str">
        <f aca="false">IF($I139="","",LEN($I139))</f>
        <v/>
      </c>
      <c r="L139" s="13"/>
      <c r="M139" s="13"/>
      <c r="N139" s="13"/>
      <c r="O139" s="13"/>
      <c r="P139" s="152"/>
      <c r="Q139" s="149"/>
      <c r="R139" s="152"/>
      <c r="S139" s="152"/>
      <c r="T139" s="62" t="str">
        <f aca="false">IF(OR($C139="",R139=""),"",IF(R139/IF($R$2="",100,$R$2)&gt;=設定!$I$28,設定!$G$8,IF(R139/IF($R$2="",100,$R$2)&lt;設定!$I$29,設定!$G$10,設定!$G$9)))</f>
        <v/>
      </c>
      <c r="U139" s="62" t="str">
        <f aca="false">IF(OR($C139="",S139=""),"",IF(S139/IF($S$2="",100,$S$2)&gt;=設定!$I$28,設定!$G$8,IF(S139/IF($S$2="",100,$S$2)&lt;設定!$I$29,設定!$G$10,設定!$G$9)))</f>
        <v/>
      </c>
    </row>
    <row r="140" customFormat="false" ht="21" hidden="false" customHeight="true" outlineLevel="0" collapsed="false">
      <c r="A140" s="91" t="str">
        <f aca="false">IF(名簿!$D140="","",名簿!$B140&amp;"")</f>
        <v/>
      </c>
      <c r="B140" s="91" t="str">
        <f aca="false">IF(名簿!$D140="","",名簿!$C140)</f>
        <v/>
      </c>
      <c r="C140" s="59" t="str">
        <f aca="false">IF(名簿!$D140="","",名簿!$D140&amp;IF(名簿!$F140="転出","（転出）",""))</f>
        <v/>
      </c>
      <c r="D140" s="149"/>
      <c r="E140" s="61" t="str">
        <f aca="false">IF(OR($C140="",名簿!$F140="転出"),"",IF($C$2="学級ごと",$A140,IF($C$2="前の単元と同じ",単元04!$E140&amp;"",$D140&amp;"")))</f>
        <v/>
      </c>
      <c r="F140" s="150"/>
      <c r="G140" s="150"/>
      <c r="H140" s="150"/>
      <c r="I140" s="151"/>
      <c r="J140" s="41" t="str">
        <f aca="false">IF($E140="","",$E140&amp;"|"&amp;COUNTIF($E$5:$E140,$E140))</f>
        <v/>
      </c>
      <c r="K140" s="40" t="str">
        <f aca="false">IF($I140="","",LEN($I140))</f>
        <v/>
      </c>
      <c r="L140" s="13"/>
      <c r="M140" s="13"/>
      <c r="N140" s="13"/>
      <c r="O140" s="13"/>
      <c r="P140" s="152"/>
      <c r="Q140" s="149"/>
      <c r="R140" s="152"/>
      <c r="S140" s="152"/>
      <c r="T140" s="62" t="str">
        <f aca="false">IF(OR($C140="",R140=""),"",IF(R140/IF($R$2="",100,$R$2)&gt;=設定!$I$28,設定!$G$8,IF(R140/IF($R$2="",100,$R$2)&lt;設定!$I$29,設定!$G$10,設定!$G$9)))</f>
        <v/>
      </c>
      <c r="U140" s="62" t="str">
        <f aca="false">IF(OR($C140="",S140=""),"",IF(S140/IF($S$2="",100,$S$2)&gt;=設定!$I$28,設定!$G$8,IF(S140/IF($S$2="",100,$S$2)&lt;設定!$I$29,設定!$G$10,設定!$G$9)))</f>
        <v/>
      </c>
    </row>
    <row r="141" customFormat="false" ht="21" hidden="false" customHeight="true" outlineLevel="0" collapsed="false">
      <c r="A141" s="91" t="str">
        <f aca="false">IF(名簿!$D141="","",名簿!$B141&amp;"")</f>
        <v/>
      </c>
      <c r="B141" s="91" t="str">
        <f aca="false">IF(名簿!$D141="","",名簿!$C141)</f>
        <v/>
      </c>
      <c r="C141" s="59" t="str">
        <f aca="false">IF(名簿!$D141="","",名簿!$D141&amp;IF(名簿!$F141="転出","（転出）",""))</f>
        <v/>
      </c>
      <c r="D141" s="149"/>
      <c r="E141" s="61" t="str">
        <f aca="false">IF(OR($C141="",名簿!$F141="転出"),"",IF($C$2="学級ごと",$A141,IF($C$2="前の単元と同じ",単元04!$E141&amp;"",$D141&amp;"")))</f>
        <v/>
      </c>
      <c r="F141" s="150"/>
      <c r="G141" s="150"/>
      <c r="H141" s="150"/>
      <c r="I141" s="151"/>
      <c r="J141" s="41" t="str">
        <f aca="false">IF($E141="","",$E141&amp;"|"&amp;COUNTIF($E$5:$E141,$E141))</f>
        <v/>
      </c>
      <c r="K141" s="40" t="str">
        <f aca="false">IF($I141="","",LEN($I141))</f>
        <v/>
      </c>
      <c r="L141" s="13"/>
      <c r="M141" s="13"/>
      <c r="N141" s="13"/>
      <c r="O141" s="13"/>
      <c r="P141" s="152"/>
      <c r="Q141" s="149"/>
      <c r="R141" s="152"/>
      <c r="S141" s="152"/>
      <c r="T141" s="62" t="str">
        <f aca="false">IF(OR($C141="",R141=""),"",IF(R141/IF($R$2="",100,$R$2)&gt;=設定!$I$28,設定!$G$8,IF(R141/IF($R$2="",100,$R$2)&lt;設定!$I$29,設定!$G$10,設定!$G$9)))</f>
        <v/>
      </c>
      <c r="U141" s="62" t="str">
        <f aca="false">IF(OR($C141="",S141=""),"",IF(S141/IF($S$2="",100,$S$2)&gt;=設定!$I$28,設定!$G$8,IF(S141/IF($S$2="",100,$S$2)&lt;設定!$I$29,設定!$G$10,設定!$G$9)))</f>
        <v/>
      </c>
    </row>
    <row r="142" customFormat="false" ht="21" hidden="false" customHeight="true" outlineLevel="0" collapsed="false">
      <c r="A142" s="91" t="str">
        <f aca="false">IF(名簿!$D142="","",名簿!$B142&amp;"")</f>
        <v/>
      </c>
      <c r="B142" s="91" t="str">
        <f aca="false">IF(名簿!$D142="","",名簿!$C142)</f>
        <v/>
      </c>
      <c r="C142" s="59" t="str">
        <f aca="false">IF(名簿!$D142="","",名簿!$D142&amp;IF(名簿!$F142="転出","（転出）",""))</f>
        <v/>
      </c>
      <c r="D142" s="149"/>
      <c r="E142" s="61" t="str">
        <f aca="false">IF(OR($C142="",名簿!$F142="転出"),"",IF($C$2="学級ごと",$A142,IF($C$2="前の単元と同じ",単元04!$E142&amp;"",$D142&amp;"")))</f>
        <v/>
      </c>
      <c r="F142" s="150"/>
      <c r="G142" s="150"/>
      <c r="H142" s="150"/>
      <c r="I142" s="151"/>
      <c r="J142" s="41" t="str">
        <f aca="false">IF($E142="","",$E142&amp;"|"&amp;COUNTIF($E$5:$E142,$E142))</f>
        <v/>
      </c>
      <c r="K142" s="40" t="str">
        <f aca="false">IF($I142="","",LEN($I142))</f>
        <v/>
      </c>
      <c r="L142" s="13"/>
      <c r="M142" s="13"/>
      <c r="N142" s="13"/>
      <c r="O142" s="13"/>
      <c r="P142" s="152"/>
      <c r="Q142" s="149"/>
      <c r="R142" s="152"/>
      <c r="S142" s="152"/>
      <c r="T142" s="62" t="str">
        <f aca="false">IF(OR($C142="",R142=""),"",IF(R142/IF($R$2="",100,$R$2)&gt;=設定!$I$28,設定!$G$8,IF(R142/IF($R$2="",100,$R$2)&lt;設定!$I$29,設定!$G$10,設定!$G$9)))</f>
        <v/>
      </c>
      <c r="U142" s="62" t="str">
        <f aca="false">IF(OR($C142="",S142=""),"",IF(S142/IF($S$2="",100,$S$2)&gt;=設定!$I$28,設定!$G$8,IF(S142/IF($S$2="",100,$S$2)&lt;設定!$I$29,設定!$G$10,設定!$G$9)))</f>
        <v/>
      </c>
    </row>
    <row r="143" customFormat="false" ht="21" hidden="false" customHeight="true" outlineLevel="0" collapsed="false">
      <c r="A143" s="91" t="str">
        <f aca="false">IF(名簿!$D143="","",名簿!$B143&amp;"")</f>
        <v/>
      </c>
      <c r="B143" s="91" t="str">
        <f aca="false">IF(名簿!$D143="","",名簿!$C143)</f>
        <v/>
      </c>
      <c r="C143" s="59" t="str">
        <f aca="false">IF(名簿!$D143="","",名簿!$D143&amp;IF(名簿!$F143="転出","（転出）",""))</f>
        <v/>
      </c>
      <c r="D143" s="149"/>
      <c r="E143" s="61" t="str">
        <f aca="false">IF(OR($C143="",名簿!$F143="転出"),"",IF($C$2="学級ごと",$A143,IF($C$2="前の単元と同じ",単元04!$E143&amp;"",$D143&amp;"")))</f>
        <v/>
      </c>
      <c r="F143" s="150"/>
      <c r="G143" s="150"/>
      <c r="H143" s="150"/>
      <c r="I143" s="151"/>
      <c r="J143" s="41" t="str">
        <f aca="false">IF($E143="","",$E143&amp;"|"&amp;COUNTIF($E$5:$E143,$E143))</f>
        <v/>
      </c>
      <c r="K143" s="40" t="str">
        <f aca="false">IF($I143="","",LEN($I143))</f>
        <v/>
      </c>
      <c r="L143" s="13"/>
      <c r="M143" s="13"/>
      <c r="N143" s="13"/>
      <c r="O143" s="13"/>
      <c r="P143" s="152"/>
      <c r="Q143" s="149"/>
      <c r="R143" s="152"/>
      <c r="S143" s="152"/>
      <c r="T143" s="62" t="str">
        <f aca="false">IF(OR($C143="",R143=""),"",IF(R143/IF($R$2="",100,$R$2)&gt;=設定!$I$28,設定!$G$8,IF(R143/IF($R$2="",100,$R$2)&lt;設定!$I$29,設定!$G$10,設定!$G$9)))</f>
        <v/>
      </c>
      <c r="U143" s="62" t="str">
        <f aca="false">IF(OR($C143="",S143=""),"",IF(S143/IF($S$2="",100,$S$2)&gt;=設定!$I$28,設定!$G$8,IF(S143/IF($S$2="",100,$S$2)&lt;設定!$I$29,設定!$G$10,設定!$G$9)))</f>
        <v/>
      </c>
    </row>
    <row r="144" customFormat="false" ht="21" hidden="false" customHeight="true" outlineLevel="0" collapsed="false">
      <c r="A144" s="91" t="str">
        <f aca="false">IF(名簿!$D144="","",名簿!$B144&amp;"")</f>
        <v/>
      </c>
      <c r="B144" s="91" t="str">
        <f aca="false">IF(名簿!$D144="","",名簿!$C144)</f>
        <v/>
      </c>
      <c r="C144" s="59" t="str">
        <f aca="false">IF(名簿!$D144="","",名簿!$D144&amp;IF(名簿!$F144="転出","（転出）",""))</f>
        <v/>
      </c>
      <c r="D144" s="149"/>
      <c r="E144" s="61" t="str">
        <f aca="false">IF(OR($C144="",名簿!$F144="転出"),"",IF($C$2="学級ごと",$A144,IF($C$2="前の単元と同じ",単元04!$E144&amp;"",$D144&amp;"")))</f>
        <v/>
      </c>
      <c r="F144" s="150"/>
      <c r="G144" s="150"/>
      <c r="H144" s="150"/>
      <c r="I144" s="151"/>
      <c r="J144" s="41" t="str">
        <f aca="false">IF($E144="","",$E144&amp;"|"&amp;COUNTIF($E$5:$E144,$E144))</f>
        <v/>
      </c>
      <c r="K144" s="40" t="str">
        <f aca="false">IF($I144="","",LEN($I144))</f>
        <v/>
      </c>
      <c r="L144" s="13"/>
      <c r="M144" s="13"/>
      <c r="N144" s="13"/>
      <c r="O144" s="13"/>
      <c r="P144" s="152"/>
      <c r="Q144" s="149"/>
      <c r="R144" s="152"/>
      <c r="S144" s="152"/>
      <c r="T144" s="62" t="str">
        <f aca="false">IF(OR($C144="",R144=""),"",IF(R144/IF($R$2="",100,$R$2)&gt;=設定!$I$28,設定!$G$8,IF(R144/IF($R$2="",100,$R$2)&lt;設定!$I$29,設定!$G$10,設定!$G$9)))</f>
        <v/>
      </c>
      <c r="U144" s="62" t="str">
        <f aca="false">IF(OR($C144="",S144=""),"",IF(S144/IF($S$2="",100,$S$2)&gt;=設定!$I$28,設定!$G$8,IF(S144/IF($S$2="",100,$S$2)&lt;設定!$I$29,設定!$G$10,設定!$G$9)))</f>
        <v/>
      </c>
    </row>
    <row r="145" customFormat="false" ht="21" hidden="false" customHeight="true" outlineLevel="0" collapsed="false">
      <c r="A145" s="91" t="str">
        <f aca="false">IF(名簿!$D145="","",名簿!$B145&amp;"")</f>
        <v/>
      </c>
      <c r="B145" s="91" t="str">
        <f aca="false">IF(名簿!$D145="","",名簿!$C145)</f>
        <v/>
      </c>
      <c r="C145" s="59" t="str">
        <f aca="false">IF(名簿!$D145="","",名簿!$D145&amp;IF(名簿!$F145="転出","（転出）",""))</f>
        <v/>
      </c>
      <c r="D145" s="149"/>
      <c r="E145" s="61" t="str">
        <f aca="false">IF(OR($C145="",名簿!$F145="転出"),"",IF($C$2="学級ごと",$A145,IF($C$2="前の単元と同じ",単元04!$E145&amp;"",$D145&amp;"")))</f>
        <v/>
      </c>
      <c r="F145" s="150"/>
      <c r="G145" s="150"/>
      <c r="H145" s="150"/>
      <c r="I145" s="151"/>
      <c r="J145" s="41" t="str">
        <f aca="false">IF($E145="","",$E145&amp;"|"&amp;COUNTIF($E$5:$E145,$E145))</f>
        <v/>
      </c>
      <c r="K145" s="40" t="str">
        <f aca="false">IF($I145="","",LEN($I145))</f>
        <v/>
      </c>
      <c r="L145" s="13"/>
      <c r="M145" s="13"/>
      <c r="N145" s="13"/>
      <c r="O145" s="13"/>
      <c r="P145" s="152"/>
      <c r="Q145" s="149"/>
      <c r="R145" s="152"/>
      <c r="S145" s="152"/>
      <c r="T145" s="62" t="str">
        <f aca="false">IF(OR($C145="",R145=""),"",IF(R145/IF($R$2="",100,$R$2)&gt;=設定!$I$28,設定!$G$8,IF(R145/IF($R$2="",100,$R$2)&lt;設定!$I$29,設定!$G$10,設定!$G$9)))</f>
        <v/>
      </c>
      <c r="U145" s="62" t="str">
        <f aca="false">IF(OR($C145="",S145=""),"",IF(S145/IF($S$2="",100,$S$2)&gt;=設定!$I$28,設定!$G$8,IF(S145/IF($S$2="",100,$S$2)&lt;設定!$I$29,設定!$G$10,設定!$G$9)))</f>
        <v/>
      </c>
    </row>
    <row r="146" customFormat="false" ht="21" hidden="false" customHeight="true" outlineLevel="0" collapsed="false">
      <c r="A146" s="91" t="str">
        <f aca="false">IF(名簿!$D146="","",名簿!$B146&amp;"")</f>
        <v/>
      </c>
      <c r="B146" s="91" t="str">
        <f aca="false">IF(名簿!$D146="","",名簿!$C146)</f>
        <v/>
      </c>
      <c r="C146" s="59" t="str">
        <f aca="false">IF(名簿!$D146="","",名簿!$D146&amp;IF(名簿!$F146="転出","（転出）",""))</f>
        <v/>
      </c>
      <c r="D146" s="149"/>
      <c r="E146" s="61" t="str">
        <f aca="false">IF(OR($C146="",名簿!$F146="転出"),"",IF($C$2="学級ごと",$A146,IF($C$2="前の単元と同じ",単元04!$E146&amp;"",$D146&amp;"")))</f>
        <v/>
      </c>
      <c r="F146" s="150"/>
      <c r="G146" s="150"/>
      <c r="H146" s="150"/>
      <c r="I146" s="151"/>
      <c r="J146" s="41" t="str">
        <f aca="false">IF($E146="","",$E146&amp;"|"&amp;COUNTIF($E$5:$E146,$E146))</f>
        <v/>
      </c>
      <c r="K146" s="40" t="str">
        <f aca="false">IF($I146="","",LEN($I146))</f>
        <v/>
      </c>
      <c r="L146" s="13"/>
      <c r="M146" s="13"/>
      <c r="N146" s="13"/>
      <c r="O146" s="13"/>
      <c r="P146" s="152"/>
      <c r="Q146" s="149"/>
      <c r="R146" s="152"/>
      <c r="S146" s="152"/>
      <c r="T146" s="62" t="str">
        <f aca="false">IF(OR($C146="",R146=""),"",IF(R146/IF($R$2="",100,$R$2)&gt;=設定!$I$28,設定!$G$8,IF(R146/IF($R$2="",100,$R$2)&lt;設定!$I$29,設定!$G$10,設定!$G$9)))</f>
        <v/>
      </c>
      <c r="U146" s="62" t="str">
        <f aca="false">IF(OR($C146="",S146=""),"",IF(S146/IF($S$2="",100,$S$2)&gt;=設定!$I$28,設定!$G$8,IF(S146/IF($S$2="",100,$S$2)&lt;設定!$I$29,設定!$G$10,設定!$G$9)))</f>
        <v/>
      </c>
    </row>
    <row r="147" customFormat="false" ht="21" hidden="false" customHeight="true" outlineLevel="0" collapsed="false">
      <c r="A147" s="91" t="str">
        <f aca="false">IF(名簿!$D147="","",名簿!$B147&amp;"")</f>
        <v/>
      </c>
      <c r="B147" s="91" t="str">
        <f aca="false">IF(名簿!$D147="","",名簿!$C147)</f>
        <v/>
      </c>
      <c r="C147" s="59" t="str">
        <f aca="false">IF(名簿!$D147="","",名簿!$D147&amp;IF(名簿!$F147="転出","（転出）",""))</f>
        <v/>
      </c>
      <c r="D147" s="149"/>
      <c r="E147" s="61" t="str">
        <f aca="false">IF(OR($C147="",名簿!$F147="転出"),"",IF($C$2="学級ごと",$A147,IF($C$2="前の単元と同じ",単元04!$E147&amp;"",$D147&amp;"")))</f>
        <v/>
      </c>
      <c r="F147" s="150"/>
      <c r="G147" s="150"/>
      <c r="H147" s="150"/>
      <c r="I147" s="151"/>
      <c r="J147" s="41" t="str">
        <f aca="false">IF($E147="","",$E147&amp;"|"&amp;COUNTIF($E$5:$E147,$E147))</f>
        <v/>
      </c>
      <c r="K147" s="40" t="str">
        <f aca="false">IF($I147="","",LEN($I147))</f>
        <v/>
      </c>
      <c r="L147" s="13"/>
      <c r="M147" s="13"/>
      <c r="N147" s="13"/>
      <c r="O147" s="13"/>
      <c r="P147" s="152"/>
      <c r="Q147" s="149"/>
      <c r="R147" s="152"/>
      <c r="S147" s="152"/>
      <c r="T147" s="62" t="str">
        <f aca="false">IF(OR($C147="",R147=""),"",IF(R147/IF($R$2="",100,$R$2)&gt;=設定!$I$28,設定!$G$8,IF(R147/IF($R$2="",100,$R$2)&lt;設定!$I$29,設定!$G$10,設定!$G$9)))</f>
        <v/>
      </c>
      <c r="U147" s="62" t="str">
        <f aca="false">IF(OR($C147="",S147=""),"",IF(S147/IF($S$2="",100,$S$2)&gt;=設定!$I$28,設定!$G$8,IF(S147/IF($S$2="",100,$S$2)&lt;設定!$I$29,設定!$G$10,設定!$G$9)))</f>
        <v/>
      </c>
    </row>
    <row r="148" customFormat="false" ht="21" hidden="false" customHeight="true" outlineLevel="0" collapsed="false">
      <c r="A148" s="91" t="str">
        <f aca="false">IF(名簿!$D148="","",名簿!$B148&amp;"")</f>
        <v/>
      </c>
      <c r="B148" s="91" t="str">
        <f aca="false">IF(名簿!$D148="","",名簿!$C148)</f>
        <v/>
      </c>
      <c r="C148" s="59" t="str">
        <f aca="false">IF(名簿!$D148="","",名簿!$D148&amp;IF(名簿!$F148="転出","（転出）",""))</f>
        <v/>
      </c>
      <c r="D148" s="149"/>
      <c r="E148" s="61" t="str">
        <f aca="false">IF(OR($C148="",名簿!$F148="転出"),"",IF($C$2="学級ごと",$A148,IF($C$2="前の単元と同じ",単元04!$E148&amp;"",$D148&amp;"")))</f>
        <v/>
      </c>
      <c r="F148" s="150"/>
      <c r="G148" s="150"/>
      <c r="H148" s="150"/>
      <c r="I148" s="151"/>
      <c r="J148" s="41" t="str">
        <f aca="false">IF($E148="","",$E148&amp;"|"&amp;COUNTIF($E$5:$E148,$E148))</f>
        <v/>
      </c>
      <c r="K148" s="40" t="str">
        <f aca="false">IF($I148="","",LEN($I148))</f>
        <v/>
      </c>
      <c r="L148" s="13"/>
      <c r="M148" s="13"/>
      <c r="N148" s="13"/>
      <c r="O148" s="13"/>
      <c r="P148" s="152"/>
      <c r="Q148" s="149"/>
      <c r="R148" s="152"/>
      <c r="S148" s="152"/>
      <c r="T148" s="62" t="str">
        <f aca="false">IF(OR($C148="",R148=""),"",IF(R148/IF($R$2="",100,$R$2)&gt;=設定!$I$28,設定!$G$8,IF(R148/IF($R$2="",100,$R$2)&lt;設定!$I$29,設定!$G$10,設定!$G$9)))</f>
        <v/>
      </c>
      <c r="U148" s="62" t="str">
        <f aca="false">IF(OR($C148="",S148=""),"",IF(S148/IF($S$2="",100,$S$2)&gt;=設定!$I$28,設定!$G$8,IF(S148/IF($S$2="",100,$S$2)&lt;設定!$I$29,設定!$G$10,設定!$G$9)))</f>
        <v/>
      </c>
    </row>
    <row r="149" customFormat="false" ht="21" hidden="false" customHeight="true" outlineLevel="0" collapsed="false">
      <c r="A149" s="91" t="str">
        <f aca="false">IF(名簿!$D149="","",名簿!$B149&amp;"")</f>
        <v/>
      </c>
      <c r="B149" s="91" t="str">
        <f aca="false">IF(名簿!$D149="","",名簿!$C149)</f>
        <v/>
      </c>
      <c r="C149" s="59" t="str">
        <f aca="false">IF(名簿!$D149="","",名簿!$D149&amp;IF(名簿!$F149="転出","（転出）",""))</f>
        <v/>
      </c>
      <c r="D149" s="149"/>
      <c r="E149" s="61" t="str">
        <f aca="false">IF(OR($C149="",名簿!$F149="転出"),"",IF($C$2="学級ごと",$A149,IF($C$2="前の単元と同じ",単元04!$E149&amp;"",$D149&amp;"")))</f>
        <v/>
      </c>
      <c r="F149" s="150"/>
      <c r="G149" s="150"/>
      <c r="H149" s="150"/>
      <c r="I149" s="151"/>
      <c r="J149" s="41" t="str">
        <f aca="false">IF($E149="","",$E149&amp;"|"&amp;COUNTIF($E$5:$E149,$E149))</f>
        <v/>
      </c>
      <c r="K149" s="40" t="str">
        <f aca="false">IF($I149="","",LEN($I149))</f>
        <v/>
      </c>
      <c r="L149" s="13"/>
      <c r="M149" s="13"/>
      <c r="N149" s="13"/>
      <c r="O149" s="13"/>
      <c r="P149" s="152"/>
      <c r="Q149" s="149"/>
      <c r="R149" s="152"/>
      <c r="S149" s="152"/>
      <c r="T149" s="62" t="str">
        <f aca="false">IF(OR($C149="",R149=""),"",IF(R149/IF($R$2="",100,$R$2)&gt;=設定!$I$28,設定!$G$8,IF(R149/IF($R$2="",100,$R$2)&lt;設定!$I$29,設定!$G$10,設定!$G$9)))</f>
        <v/>
      </c>
      <c r="U149" s="62" t="str">
        <f aca="false">IF(OR($C149="",S149=""),"",IF(S149/IF($S$2="",100,$S$2)&gt;=設定!$I$28,設定!$G$8,IF(S149/IF($S$2="",100,$S$2)&lt;設定!$I$29,設定!$G$10,設定!$G$9)))</f>
        <v/>
      </c>
    </row>
    <row r="150" customFormat="false" ht="21" hidden="false" customHeight="true" outlineLevel="0" collapsed="false">
      <c r="A150" s="91" t="str">
        <f aca="false">IF(名簿!$D150="","",名簿!$B150&amp;"")</f>
        <v/>
      </c>
      <c r="B150" s="91" t="str">
        <f aca="false">IF(名簿!$D150="","",名簿!$C150)</f>
        <v/>
      </c>
      <c r="C150" s="59" t="str">
        <f aca="false">IF(名簿!$D150="","",名簿!$D150&amp;IF(名簿!$F150="転出","（転出）",""))</f>
        <v/>
      </c>
      <c r="D150" s="149"/>
      <c r="E150" s="61" t="str">
        <f aca="false">IF(OR($C150="",名簿!$F150="転出"),"",IF($C$2="学級ごと",$A150,IF($C$2="前の単元と同じ",単元04!$E150&amp;"",$D150&amp;"")))</f>
        <v/>
      </c>
      <c r="F150" s="150"/>
      <c r="G150" s="150"/>
      <c r="H150" s="150"/>
      <c r="I150" s="151"/>
      <c r="J150" s="41" t="str">
        <f aca="false">IF($E150="","",$E150&amp;"|"&amp;COUNTIF($E$5:$E150,$E150))</f>
        <v/>
      </c>
      <c r="K150" s="40" t="str">
        <f aca="false">IF($I150="","",LEN($I150))</f>
        <v/>
      </c>
      <c r="L150" s="13"/>
      <c r="M150" s="13"/>
      <c r="N150" s="13"/>
      <c r="O150" s="13"/>
      <c r="P150" s="152"/>
      <c r="Q150" s="149"/>
      <c r="R150" s="152"/>
      <c r="S150" s="152"/>
      <c r="T150" s="62" t="str">
        <f aca="false">IF(OR($C150="",R150=""),"",IF(R150/IF($R$2="",100,$R$2)&gt;=設定!$I$28,設定!$G$8,IF(R150/IF($R$2="",100,$R$2)&lt;設定!$I$29,設定!$G$10,設定!$G$9)))</f>
        <v/>
      </c>
      <c r="U150" s="62" t="str">
        <f aca="false">IF(OR($C150="",S150=""),"",IF(S150/IF($S$2="",100,$S$2)&gt;=設定!$I$28,設定!$G$8,IF(S150/IF($S$2="",100,$S$2)&lt;設定!$I$29,設定!$G$10,設定!$G$9)))</f>
        <v/>
      </c>
    </row>
    <row r="151" customFormat="false" ht="21" hidden="false" customHeight="true" outlineLevel="0" collapsed="false">
      <c r="A151" s="91" t="str">
        <f aca="false">IF(名簿!$D151="","",名簿!$B151&amp;"")</f>
        <v/>
      </c>
      <c r="B151" s="91" t="str">
        <f aca="false">IF(名簿!$D151="","",名簿!$C151)</f>
        <v/>
      </c>
      <c r="C151" s="59" t="str">
        <f aca="false">IF(名簿!$D151="","",名簿!$D151&amp;IF(名簿!$F151="転出","（転出）",""))</f>
        <v/>
      </c>
      <c r="D151" s="149"/>
      <c r="E151" s="61" t="str">
        <f aca="false">IF(OR($C151="",名簿!$F151="転出"),"",IF($C$2="学級ごと",$A151,IF($C$2="前の単元と同じ",単元04!$E151&amp;"",$D151&amp;"")))</f>
        <v/>
      </c>
      <c r="F151" s="150"/>
      <c r="G151" s="150"/>
      <c r="H151" s="150"/>
      <c r="I151" s="151"/>
      <c r="J151" s="41" t="str">
        <f aca="false">IF($E151="","",$E151&amp;"|"&amp;COUNTIF($E$5:$E151,$E151))</f>
        <v/>
      </c>
      <c r="K151" s="40" t="str">
        <f aca="false">IF($I151="","",LEN($I151))</f>
        <v/>
      </c>
      <c r="L151" s="13"/>
      <c r="M151" s="13"/>
      <c r="N151" s="13"/>
      <c r="O151" s="13"/>
      <c r="P151" s="152"/>
      <c r="Q151" s="149"/>
      <c r="R151" s="152"/>
      <c r="S151" s="152"/>
      <c r="T151" s="62" t="str">
        <f aca="false">IF(OR($C151="",R151=""),"",IF(R151/IF($R$2="",100,$R$2)&gt;=設定!$I$28,設定!$G$8,IF(R151/IF($R$2="",100,$R$2)&lt;設定!$I$29,設定!$G$10,設定!$G$9)))</f>
        <v/>
      </c>
      <c r="U151" s="62" t="str">
        <f aca="false">IF(OR($C151="",S151=""),"",IF(S151/IF($S$2="",100,$S$2)&gt;=設定!$I$28,設定!$G$8,IF(S151/IF($S$2="",100,$S$2)&lt;設定!$I$29,設定!$G$10,設定!$G$9)))</f>
        <v/>
      </c>
    </row>
    <row r="152" customFormat="false" ht="21" hidden="false" customHeight="true" outlineLevel="0" collapsed="false">
      <c r="A152" s="91" t="str">
        <f aca="false">IF(名簿!$D152="","",名簿!$B152&amp;"")</f>
        <v/>
      </c>
      <c r="B152" s="91" t="str">
        <f aca="false">IF(名簿!$D152="","",名簿!$C152)</f>
        <v/>
      </c>
      <c r="C152" s="59" t="str">
        <f aca="false">IF(名簿!$D152="","",名簿!$D152&amp;IF(名簿!$F152="転出","（転出）",""))</f>
        <v/>
      </c>
      <c r="D152" s="149"/>
      <c r="E152" s="61" t="str">
        <f aca="false">IF(OR($C152="",名簿!$F152="転出"),"",IF($C$2="学級ごと",$A152,IF($C$2="前の単元と同じ",単元04!$E152&amp;"",$D152&amp;"")))</f>
        <v/>
      </c>
      <c r="F152" s="150"/>
      <c r="G152" s="150"/>
      <c r="H152" s="150"/>
      <c r="I152" s="151"/>
      <c r="J152" s="41" t="str">
        <f aca="false">IF($E152="","",$E152&amp;"|"&amp;COUNTIF($E$5:$E152,$E152))</f>
        <v/>
      </c>
      <c r="K152" s="40" t="str">
        <f aca="false">IF($I152="","",LEN($I152))</f>
        <v/>
      </c>
      <c r="L152" s="13"/>
      <c r="M152" s="13"/>
      <c r="N152" s="13"/>
      <c r="O152" s="13"/>
      <c r="P152" s="152"/>
      <c r="Q152" s="149"/>
      <c r="R152" s="152"/>
      <c r="S152" s="152"/>
      <c r="T152" s="62" t="str">
        <f aca="false">IF(OR($C152="",R152=""),"",IF(R152/IF($R$2="",100,$R$2)&gt;=設定!$I$28,設定!$G$8,IF(R152/IF($R$2="",100,$R$2)&lt;設定!$I$29,設定!$G$10,設定!$G$9)))</f>
        <v/>
      </c>
      <c r="U152" s="62" t="str">
        <f aca="false">IF(OR($C152="",S152=""),"",IF(S152/IF($S$2="",100,$S$2)&gt;=設定!$I$28,設定!$G$8,IF(S152/IF($S$2="",100,$S$2)&lt;設定!$I$29,設定!$G$10,設定!$G$9)))</f>
        <v/>
      </c>
    </row>
    <row r="153" customFormat="false" ht="21" hidden="false" customHeight="true" outlineLevel="0" collapsed="false">
      <c r="A153" s="91" t="str">
        <f aca="false">IF(名簿!$D153="","",名簿!$B153&amp;"")</f>
        <v/>
      </c>
      <c r="B153" s="91" t="str">
        <f aca="false">IF(名簿!$D153="","",名簿!$C153)</f>
        <v/>
      </c>
      <c r="C153" s="59" t="str">
        <f aca="false">IF(名簿!$D153="","",名簿!$D153&amp;IF(名簿!$F153="転出","（転出）",""))</f>
        <v/>
      </c>
      <c r="D153" s="149"/>
      <c r="E153" s="61" t="str">
        <f aca="false">IF(OR($C153="",名簿!$F153="転出"),"",IF($C$2="学級ごと",$A153,IF($C$2="前の単元と同じ",単元04!$E153&amp;"",$D153&amp;"")))</f>
        <v/>
      </c>
      <c r="F153" s="150"/>
      <c r="G153" s="150"/>
      <c r="H153" s="150"/>
      <c r="I153" s="151"/>
      <c r="J153" s="41" t="str">
        <f aca="false">IF($E153="","",$E153&amp;"|"&amp;COUNTIF($E$5:$E153,$E153))</f>
        <v/>
      </c>
      <c r="K153" s="40" t="str">
        <f aca="false">IF($I153="","",LEN($I153))</f>
        <v/>
      </c>
      <c r="L153" s="13"/>
      <c r="M153" s="13"/>
      <c r="N153" s="13"/>
      <c r="O153" s="13"/>
      <c r="P153" s="152"/>
      <c r="Q153" s="149"/>
      <c r="R153" s="152"/>
      <c r="S153" s="152"/>
      <c r="T153" s="62" t="str">
        <f aca="false">IF(OR($C153="",R153=""),"",IF(R153/IF($R$2="",100,$R$2)&gt;=設定!$I$28,設定!$G$8,IF(R153/IF($R$2="",100,$R$2)&lt;設定!$I$29,設定!$G$10,設定!$G$9)))</f>
        <v/>
      </c>
      <c r="U153" s="62" t="str">
        <f aca="false">IF(OR($C153="",S153=""),"",IF(S153/IF($S$2="",100,$S$2)&gt;=設定!$I$28,設定!$G$8,IF(S153/IF($S$2="",100,$S$2)&lt;設定!$I$29,設定!$G$10,設定!$G$9)))</f>
        <v/>
      </c>
    </row>
    <row r="154" customFormat="false" ht="21" hidden="false" customHeight="true" outlineLevel="0" collapsed="false">
      <c r="A154" s="91" t="str">
        <f aca="false">IF(名簿!$D154="","",名簿!$B154&amp;"")</f>
        <v/>
      </c>
      <c r="B154" s="91" t="str">
        <f aca="false">IF(名簿!$D154="","",名簿!$C154)</f>
        <v/>
      </c>
      <c r="C154" s="59" t="str">
        <f aca="false">IF(名簿!$D154="","",名簿!$D154&amp;IF(名簿!$F154="転出","（転出）",""))</f>
        <v/>
      </c>
      <c r="D154" s="149"/>
      <c r="E154" s="61" t="str">
        <f aca="false">IF(OR($C154="",名簿!$F154="転出"),"",IF($C$2="学級ごと",$A154,IF($C$2="前の単元と同じ",単元04!$E154&amp;"",$D154&amp;"")))</f>
        <v/>
      </c>
      <c r="F154" s="150"/>
      <c r="G154" s="150"/>
      <c r="H154" s="150"/>
      <c r="I154" s="151"/>
      <c r="J154" s="41" t="str">
        <f aca="false">IF($E154="","",$E154&amp;"|"&amp;COUNTIF($E$5:$E154,$E154))</f>
        <v/>
      </c>
      <c r="K154" s="40" t="str">
        <f aca="false">IF($I154="","",LEN($I154))</f>
        <v/>
      </c>
      <c r="L154" s="13"/>
      <c r="M154" s="13"/>
      <c r="N154" s="13"/>
      <c r="O154" s="13"/>
      <c r="P154" s="152"/>
      <c r="Q154" s="149"/>
      <c r="R154" s="152"/>
      <c r="S154" s="152"/>
      <c r="T154" s="62" t="str">
        <f aca="false">IF(OR($C154="",R154=""),"",IF(R154/IF($R$2="",100,$R$2)&gt;=設定!$I$28,設定!$G$8,IF(R154/IF($R$2="",100,$R$2)&lt;設定!$I$29,設定!$G$10,設定!$G$9)))</f>
        <v/>
      </c>
      <c r="U154" s="62" t="str">
        <f aca="false">IF(OR($C154="",S154=""),"",IF(S154/IF($S$2="",100,$S$2)&gt;=設定!$I$28,設定!$G$8,IF(S154/IF($S$2="",100,$S$2)&lt;設定!$I$29,設定!$G$10,設定!$G$9)))</f>
        <v/>
      </c>
    </row>
    <row r="155" customFormat="false" ht="21" hidden="false" customHeight="true" outlineLevel="0" collapsed="false">
      <c r="A155" s="91" t="str">
        <f aca="false">IF(名簿!$D155="","",名簿!$B155&amp;"")</f>
        <v/>
      </c>
      <c r="B155" s="91" t="str">
        <f aca="false">IF(名簿!$D155="","",名簿!$C155)</f>
        <v/>
      </c>
      <c r="C155" s="59" t="str">
        <f aca="false">IF(名簿!$D155="","",名簿!$D155&amp;IF(名簿!$F155="転出","（転出）",""))</f>
        <v/>
      </c>
      <c r="D155" s="149"/>
      <c r="E155" s="61" t="str">
        <f aca="false">IF(OR($C155="",名簿!$F155="転出"),"",IF($C$2="学級ごと",$A155,IF($C$2="前の単元と同じ",単元04!$E155&amp;"",$D155&amp;"")))</f>
        <v/>
      </c>
      <c r="F155" s="150"/>
      <c r="G155" s="150"/>
      <c r="H155" s="150"/>
      <c r="I155" s="151"/>
      <c r="J155" s="41" t="str">
        <f aca="false">IF($E155="","",$E155&amp;"|"&amp;COUNTIF($E$5:$E155,$E155))</f>
        <v/>
      </c>
      <c r="K155" s="40" t="str">
        <f aca="false">IF($I155="","",LEN($I155))</f>
        <v/>
      </c>
      <c r="L155" s="13"/>
      <c r="M155" s="13"/>
      <c r="N155" s="13"/>
      <c r="O155" s="13"/>
      <c r="P155" s="152"/>
      <c r="Q155" s="149"/>
      <c r="R155" s="152"/>
      <c r="S155" s="152"/>
      <c r="T155" s="62" t="str">
        <f aca="false">IF(OR($C155="",R155=""),"",IF(R155/IF($R$2="",100,$R$2)&gt;=設定!$I$28,設定!$G$8,IF(R155/IF($R$2="",100,$R$2)&lt;設定!$I$29,設定!$G$10,設定!$G$9)))</f>
        <v/>
      </c>
      <c r="U155" s="62" t="str">
        <f aca="false">IF(OR($C155="",S155=""),"",IF(S155/IF($S$2="",100,$S$2)&gt;=設定!$I$28,設定!$G$8,IF(S155/IF($S$2="",100,$S$2)&lt;設定!$I$29,設定!$G$10,設定!$G$9)))</f>
        <v/>
      </c>
    </row>
    <row r="156" customFormat="false" ht="21" hidden="false" customHeight="true" outlineLevel="0" collapsed="false">
      <c r="A156" s="91" t="str">
        <f aca="false">IF(名簿!$D156="","",名簿!$B156&amp;"")</f>
        <v/>
      </c>
      <c r="B156" s="91" t="str">
        <f aca="false">IF(名簿!$D156="","",名簿!$C156)</f>
        <v/>
      </c>
      <c r="C156" s="59" t="str">
        <f aca="false">IF(名簿!$D156="","",名簿!$D156&amp;IF(名簿!$F156="転出","（転出）",""))</f>
        <v/>
      </c>
      <c r="D156" s="149"/>
      <c r="E156" s="61" t="str">
        <f aca="false">IF(OR($C156="",名簿!$F156="転出"),"",IF($C$2="学級ごと",$A156,IF($C$2="前の単元と同じ",単元04!$E156&amp;"",$D156&amp;"")))</f>
        <v/>
      </c>
      <c r="F156" s="150"/>
      <c r="G156" s="150"/>
      <c r="H156" s="150"/>
      <c r="I156" s="151"/>
      <c r="J156" s="41" t="str">
        <f aca="false">IF($E156="","",$E156&amp;"|"&amp;COUNTIF($E$5:$E156,$E156))</f>
        <v/>
      </c>
      <c r="K156" s="40" t="str">
        <f aca="false">IF($I156="","",LEN($I156))</f>
        <v/>
      </c>
      <c r="L156" s="13"/>
      <c r="M156" s="13"/>
      <c r="N156" s="13"/>
      <c r="O156" s="13"/>
      <c r="P156" s="152"/>
      <c r="Q156" s="149"/>
      <c r="R156" s="152"/>
      <c r="S156" s="152"/>
      <c r="T156" s="62" t="str">
        <f aca="false">IF(OR($C156="",R156=""),"",IF(R156/IF($R$2="",100,$R$2)&gt;=設定!$I$28,設定!$G$8,IF(R156/IF($R$2="",100,$R$2)&lt;設定!$I$29,設定!$G$10,設定!$G$9)))</f>
        <v/>
      </c>
      <c r="U156" s="62" t="str">
        <f aca="false">IF(OR($C156="",S156=""),"",IF(S156/IF($S$2="",100,$S$2)&gt;=設定!$I$28,設定!$G$8,IF(S156/IF($S$2="",100,$S$2)&lt;設定!$I$29,設定!$G$10,設定!$G$9)))</f>
        <v/>
      </c>
    </row>
    <row r="157" customFormat="false" ht="21" hidden="false" customHeight="true" outlineLevel="0" collapsed="false">
      <c r="A157" s="91" t="str">
        <f aca="false">IF(名簿!$D157="","",名簿!$B157&amp;"")</f>
        <v/>
      </c>
      <c r="B157" s="91" t="str">
        <f aca="false">IF(名簿!$D157="","",名簿!$C157)</f>
        <v/>
      </c>
      <c r="C157" s="59" t="str">
        <f aca="false">IF(名簿!$D157="","",名簿!$D157&amp;IF(名簿!$F157="転出","（転出）",""))</f>
        <v/>
      </c>
      <c r="D157" s="149"/>
      <c r="E157" s="61" t="str">
        <f aca="false">IF(OR($C157="",名簿!$F157="転出"),"",IF($C$2="学級ごと",$A157,IF($C$2="前の単元と同じ",単元04!$E157&amp;"",$D157&amp;"")))</f>
        <v/>
      </c>
      <c r="F157" s="150"/>
      <c r="G157" s="150"/>
      <c r="H157" s="150"/>
      <c r="I157" s="151"/>
      <c r="J157" s="41" t="str">
        <f aca="false">IF($E157="","",$E157&amp;"|"&amp;COUNTIF($E$5:$E157,$E157))</f>
        <v/>
      </c>
      <c r="K157" s="40" t="str">
        <f aca="false">IF($I157="","",LEN($I157))</f>
        <v/>
      </c>
      <c r="L157" s="13"/>
      <c r="M157" s="13"/>
      <c r="N157" s="13"/>
      <c r="O157" s="13"/>
      <c r="P157" s="152"/>
      <c r="Q157" s="149"/>
      <c r="R157" s="152"/>
      <c r="S157" s="152"/>
      <c r="T157" s="62" t="str">
        <f aca="false">IF(OR($C157="",R157=""),"",IF(R157/IF($R$2="",100,$R$2)&gt;=設定!$I$28,設定!$G$8,IF(R157/IF($R$2="",100,$R$2)&lt;設定!$I$29,設定!$G$10,設定!$G$9)))</f>
        <v/>
      </c>
      <c r="U157" s="62" t="str">
        <f aca="false">IF(OR($C157="",S157=""),"",IF(S157/IF($S$2="",100,$S$2)&gt;=設定!$I$28,設定!$G$8,IF(S157/IF($S$2="",100,$S$2)&lt;設定!$I$29,設定!$G$10,設定!$G$9)))</f>
        <v/>
      </c>
    </row>
    <row r="158" customFormat="false" ht="21" hidden="false" customHeight="true" outlineLevel="0" collapsed="false">
      <c r="A158" s="91" t="str">
        <f aca="false">IF(名簿!$D158="","",名簿!$B158&amp;"")</f>
        <v/>
      </c>
      <c r="B158" s="91" t="str">
        <f aca="false">IF(名簿!$D158="","",名簿!$C158)</f>
        <v/>
      </c>
      <c r="C158" s="59" t="str">
        <f aca="false">IF(名簿!$D158="","",名簿!$D158&amp;IF(名簿!$F158="転出","（転出）",""))</f>
        <v/>
      </c>
      <c r="D158" s="149"/>
      <c r="E158" s="61" t="str">
        <f aca="false">IF(OR($C158="",名簿!$F158="転出"),"",IF($C$2="学級ごと",$A158,IF($C$2="前の単元と同じ",単元04!$E158&amp;"",$D158&amp;"")))</f>
        <v/>
      </c>
      <c r="F158" s="150"/>
      <c r="G158" s="150"/>
      <c r="H158" s="150"/>
      <c r="I158" s="151"/>
      <c r="J158" s="41" t="str">
        <f aca="false">IF($E158="","",$E158&amp;"|"&amp;COUNTIF($E$5:$E158,$E158))</f>
        <v/>
      </c>
      <c r="K158" s="40" t="str">
        <f aca="false">IF($I158="","",LEN($I158))</f>
        <v/>
      </c>
      <c r="L158" s="13"/>
      <c r="M158" s="13"/>
      <c r="N158" s="13"/>
      <c r="O158" s="13"/>
      <c r="P158" s="152"/>
      <c r="Q158" s="149"/>
      <c r="R158" s="152"/>
      <c r="S158" s="152"/>
      <c r="T158" s="62" t="str">
        <f aca="false">IF(OR($C158="",R158=""),"",IF(R158/IF($R$2="",100,$R$2)&gt;=設定!$I$28,設定!$G$8,IF(R158/IF($R$2="",100,$R$2)&lt;設定!$I$29,設定!$G$10,設定!$G$9)))</f>
        <v/>
      </c>
      <c r="U158" s="62" t="str">
        <f aca="false">IF(OR($C158="",S158=""),"",IF(S158/IF($S$2="",100,$S$2)&gt;=設定!$I$28,設定!$G$8,IF(S158/IF($S$2="",100,$S$2)&lt;設定!$I$29,設定!$G$10,設定!$G$9)))</f>
        <v/>
      </c>
    </row>
    <row r="159" customFormat="false" ht="21" hidden="false" customHeight="true" outlineLevel="0" collapsed="false">
      <c r="A159" s="91" t="str">
        <f aca="false">IF(名簿!$D159="","",名簿!$B159&amp;"")</f>
        <v/>
      </c>
      <c r="B159" s="91" t="str">
        <f aca="false">IF(名簿!$D159="","",名簿!$C159)</f>
        <v/>
      </c>
      <c r="C159" s="59" t="str">
        <f aca="false">IF(名簿!$D159="","",名簿!$D159&amp;IF(名簿!$F159="転出","（転出）",""))</f>
        <v/>
      </c>
      <c r="D159" s="149"/>
      <c r="E159" s="61" t="str">
        <f aca="false">IF(OR($C159="",名簿!$F159="転出"),"",IF($C$2="学級ごと",$A159,IF($C$2="前の単元と同じ",単元04!$E159&amp;"",$D159&amp;"")))</f>
        <v/>
      </c>
      <c r="F159" s="150"/>
      <c r="G159" s="150"/>
      <c r="H159" s="150"/>
      <c r="I159" s="151"/>
      <c r="J159" s="41" t="str">
        <f aca="false">IF($E159="","",$E159&amp;"|"&amp;COUNTIF($E$5:$E159,$E159))</f>
        <v/>
      </c>
      <c r="K159" s="40" t="str">
        <f aca="false">IF($I159="","",LEN($I159))</f>
        <v/>
      </c>
      <c r="L159" s="13"/>
      <c r="M159" s="13"/>
      <c r="N159" s="13"/>
      <c r="O159" s="13"/>
      <c r="P159" s="152"/>
      <c r="Q159" s="149"/>
      <c r="R159" s="152"/>
      <c r="S159" s="152"/>
      <c r="T159" s="62" t="str">
        <f aca="false">IF(OR($C159="",R159=""),"",IF(R159/IF($R$2="",100,$R$2)&gt;=設定!$I$28,設定!$G$8,IF(R159/IF($R$2="",100,$R$2)&lt;設定!$I$29,設定!$G$10,設定!$G$9)))</f>
        <v/>
      </c>
      <c r="U159" s="62" t="str">
        <f aca="false">IF(OR($C159="",S159=""),"",IF(S159/IF($S$2="",100,$S$2)&gt;=設定!$I$28,設定!$G$8,IF(S159/IF($S$2="",100,$S$2)&lt;設定!$I$29,設定!$G$10,設定!$G$9)))</f>
        <v/>
      </c>
    </row>
    <row r="160" customFormat="false" ht="21" hidden="false" customHeight="true" outlineLevel="0" collapsed="false">
      <c r="A160" s="91" t="str">
        <f aca="false">IF(名簿!$D160="","",名簿!$B160&amp;"")</f>
        <v/>
      </c>
      <c r="B160" s="91" t="str">
        <f aca="false">IF(名簿!$D160="","",名簿!$C160)</f>
        <v/>
      </c>
      <c r="C160" s="59" t="str">
        <f aca="false">IF(名簿!$D160="","",名簿!$D160&amp;IF(名簿!$F160="転出","（転出）",""))</f>
        <v/>
      </c>
      <c r="D160" s="149"/>
      <c r="E160" s="61" t="str">
        <f aca="false">IF(OR($C160="",名簿!$F160="転出"),"",IF($C$2="学級ごと",$A160,IF($C$2="前の単元と同じ",単元04!$E160&amp;"",$D160&amp;"")))</f>
        <v/>
      </c>
      <c r="F160" s="150"/>
      <c r="G160" s="150"/>
      <c r="H160" s="150"/>
      <c r="I160" s="151"/>
      <c r="J160" s="41" t="str">
        <f aca="false">IF($E160="","",$E160&amp;"|"&amp;COUNTIF($E$5:$E160,$E160))</f>
        <v/>
      </c>
      <c r="K160" s="40" t="str">
        <f aca="false">IF($I160="","",LEN($I160))</f>
        <v/>
      </c>
      <c r="L160" s="13"/>
      <c r="M160" s="13"/>
      <c r="N160" s="13"/>
      <c r="O160" s="13"/>
      <c r="P160" s="152"/>
      <c r="Q160" s="149"/>
      <c r="R160" s="152"/>
      <c r="S160" s="152"/>
      <c r="T160" s="62" t="str">
        <f aca="false">IF(OR($C160="",R160=""),"",IF(R160/IF($R$2="",100,$R$2)&gt;=設定!$I$28,設定!$G$8,IF(R160/IF($R$2="",100,$R$2)&lt;設定!$I$29,設定!$G$10,設定!$G$9)))</f>
        <v/>
      </c>
      <c r="U160" s="62" t="str">
        <f aca="false">IF(OR($C160="",S160=""),"",IF(S160/IF($S$2="",100,$S$2)&gt;=設定!$I$28,設定!$G$8,IF(S160/IF($S$2="",100,$S$2)&lt;設定!$I$29,設定!$G$10,設定!$G$9)))</f>
        <v/>
      </c>
    </row>
    <row r="161" customFormat="false" ht="21" hidden="false" customHeight="true" outlineLevel="0" collapsed="false">
      <c r="A161" s="91" t="str">
        <f aca="false">IF(名簿!$D161="","",名簿!$B161&amp;"")</f>
        <v/>
      </c>
      <c r="B161" s="91" t="str">
        <f aca="false">IF(名簿!$D161="","",名簿!$C161)</f>
        <v/>
      </c>
      <c r="C161" s="59" t="str">
        <f aca="false">IF(名簿!$D161="","",名簿!$D161&amp;IF(名簿!$F161="転出","（転出）",""))</f>
        <v/>
      </c>
      <c r="D161" s="149"/>
      <c r="E161" s="61" t="str">
        <f aca="false">IF(OR($C161="",名簿!$F161="転出"),"",IF($C$2="学級ごと",$A161,IF($C$2="前の単元と同じ",単元04!$E161&amp;"",$D161&amp;"")))</f>
        <v/>
      </c>
      <c r="F161" s="150"/>
      <c r="G161" s="150"/>
      <c r="H161" s="150"/>
      <c r="I161" s="151"/>
      <c r="J161" s="41" t="str">
        <f aca="false">IF($E161="","",$E161&amp;"|"&amp;COUNTIF($E$5:$E161,$E161))</f>
        <v/>
      </c>
      <c r="K161" s="40" t="str">
        <f aca="false">IF($I161="","",LEN($I161))</f>
        <v/>
      </c>
      <c r="L161" s="13"/>
      <c r="M161" s="13"/>
      <c r="N161" s="13"/>
      <c r="O161" s="13"/>
      <c r="P161" s="152"/>
      <c r="Q161" s="149"/>
      <c r="R161" s="152"/>
      <c r="S161" s="152"/>
      <c r="T161" s="62" t="str">
        <f aca="false">IF(OR($C161="",R161=""),"",IF(R161/IF($R$2="",100,$R$2)&gt;=設定!$I$28,設定!$G$8,IF(R161/IF($R$2="",100,$R$2)&lt;設定!$I$29,設定!$G$10,設定!$G$9)))</f>
        <v/>
      </c>
      <c r="U161" s="62" t="str">
        <f aca="false">IF(OR($C161="",S161=""),"",IF(S161/IF($S$2="",100,$S$2)&gt;=設定!$I$28,設定!$G$8,IF(S161/IF($S$2="",100,$S$2)&lt;設定!$I$29,設定!$G$10,設定!$G$9)))</f>
        <v/>
      </c>
    </row>
    <row r="162" customFormat="false" ht="21" hidden="false" customHeight="true" outlineLevel="0" collapsed="false">
      <c r="A162" s="91" t="str">
        <f aca="false">IF(名簿!$D162="","",名簿!$B162&amp;"")</f>
        <v/>
      </c>
      <c r="B162" s="91" t="str">
        <f aca="false">IF(名簿!$D162="","",名簿!$C162)</f>
        <v/>
      </c>
      <c r="C162" s="59" t="str">
        <f aca="false">IF(名簿!$D162="","",名簿!$D162&amp;IF(名簿!$F162="転出","（転出）",""))</f>
        <v/>
      </c>
      <c r="D162" s="149"/>
      <c r="E162" s="61" t="str">
        <f aca="false">IF(OR($C162="",名簿!$F162="転出"),"",IF($C$2="学級ごと",$A162,IF($C$2="前の単元と同じ",単元04!$E162&amp;"",$D162&amp;"")))</f>
        <v/>
      </c>
      <c r="F162" s="150"/>
      <c r="G162" s="150"/>
      <c r="H162" s="150"/>
      <c r="I162" s="151"/>
      <c r="J162" s="41" t="str">
        <f aca="false">IF($E162="","",$E162&amp;"|"&amp;COUNTIF($E$5:$E162,$E162))</f>
        <v/>
      </c>
      <c r="K162" s="40" t="str">
        <f aca="false">IF($I162="","",LEN($I162))</f>
        <v/>
      </c>
      <c r="L162" s="13"/>
      <c r="M162" s="13"/>
      <c r="N162" s="13"/>
      <c r="O162" s="13"/>
      <c r="P162" s="152"/>
      <c r="Q162" s="149"/>
      <c r="R162" s="152"/>
      <c r="S162" s="152"/>
      <c r="T162" s="62" t="str">
        <f aca="false">IF(OR($C162="",R162=""),"",IF(R162/IF($R$2="",100,$R$2)&gt;=設定!$I$28,設定!$G$8,IF(R162/IF($R$2="",100,$R$2)&lt;設定!$I$29,設定!$G$10,設定!$G$9)))</f>
        <v/>
      </c>
      <c r="U162" s="62" t="str">
        <f aca="false">IF(OR($C162="",S162=""),"",IF(S162/IF($S$2="",100,$S$2)&gt;=設定!$I$28,設定!$G$8,IF(S162/IF($S$2="",100,$S$2)&lt;設定!$I$29,設定!$G$10,設定!$G$9)))</f>
        <v/>
      </c>
    </row>
    <row r="163" customFormat="false" ht="21" hidden="false" customHeight="true" outlineLevel="0" collapsed="false">
      <c r="A163" s="91" t="str">
        <f aca="false">IF(名簿!$D163="","",名簿!$B163&amp;"")</f>
        <v/>
      </c>
      <c r="B163" s="91" t="str">
        <f aca="false">IF(名簿!$D163="","",名簿!$C163)</f>
        <v/>
      </c>
      <c r="C163" s="59" t="str">
        <f aca="false">IF(名簿!$D163="","",名簿!$D163&amp;IF(名簿!$F163="転出","（転出）",""))</f>
        <v/>
      </c>
      <c r="D163" s="149"/>
      <c r="E163" s="61" t="str">
        <f aca="false">IF(OR($C163="",名簿!$F163="転出"),"",IF($C$2="学級ごと",$A163,IF($C$2="前の単元と同じ",単元04!$E163&amp;"",$D163&amp;"")))</f>
        <v/>
      </c>
      <c r="F163" s="150"/>
      <c r="G163" s="150"/>
      <c r="H163" s="150"/>
      <c r="I163" s="151"/>
      <c r="J163" s="41" t="str">
        <f aca="false">IF($E163="","",$E163&amp;"|"&amp;COUNTIF($E$5:$E163,$E163))</f>
        <v/>
      </c>
      <c r="K163" s="40" t="str">
        <f aca="false">IF($I163="","",LEN($I163))</f>
        <v/>
      </c>
      <c r="L163" s="13"/>
      <c r="M163" s="13"/>
      <c r="N163" s="13"/>
      <c r="O163" s="13"/>
      <c r="P163" s="152"/>
      <c r="Q163" s="149"/>
      <c r="R163" s="152"/>
      <c r="S163" s="152"/>
      <c r="T163" s="62" t="str">
        <f aca="false">IF(OR($C163="",R163=""),"",IF(R163/IF($R$2="",100,$R$2)&gt;=設定!$I$28,設定!$G$8,IF(R163/IF($R$2="",100,$R$2)&lt;設定!$I$29,設定!$G$10,設定!$G$9)))</f>
        <v/>
      </c>
      <c r="U163" s="62" t="str">
        <f aca="false">IF(OR($C163="",S163=""),"",IF(S163/IF($S$2="",100,$S$2)&gt;=設定!$I$28,設定!$G$8,IF(S163/IF($S$2="",100,$S$2)&lt;設定!$I$29,設定!$G$10,設定!$G$9)))</f>
        <v/>
      </c>
    </row>
    <row r="164" customFormat="false" ht="21" hidden="false" customHeight="true" outlineLevel="0" collapsed="false">
      <c r="A164" s="91" t="str">
        <f aca="false">IF(名簿!$D164="","",名簿!$B164&amp;"")</f>
        <v/>
      </c>
      <c r="B164" s="91" t="str">
        <f aca="false">IF(名簿!$D164="","",名簿!$C164)</f>
        <v/>
      </c>
      <c r="C164" s="59" t="str">
        <f aca="false">IF(名簿!$D164="","",名簿!$D164&amp;IF(名簿!$F164="転出","（転出）",""))</f>
        <v/>
      </c>
      <c r="D164" s="149"/>
      <c r="E164" s="61" t="str">
        <f aca="false">IF(OR($C164="",名簿!$F164="転出"),"",IF($C$2="学級ごと",$A164,IF($C$2="前の単元と同じ",単元04!$E164&amp;"",$D164&amp;"")))</f>
        <v/>
      </c>
      <c r="F164" s="150"/>
      <c r="G164" s="150"/>
      <c r="H164" s="150"/>
      <c r="I164" s="151"/>
      <c r="J164" s="41" t="str">
        <f aca="false">IF($E164="","",$E164&amp;"|"&amp;COUNTIF($E$5:$E164,$E164))</f>
        <v/>
      </c>
      <c r="K164" s="40" t="str">
        <f aca="false">IF($I164="","",LEN($I164))</f>
        <v/>
      </c>
      <c r="L164" s="13"/>
      <c r="M164" s="13"/>
      <c r="N164" s="13"/>
      <c r="O164" s="13"/>
      <c r="P164" s="152"/>
      <c r="Q164" s="149"/>
      <c r="R164" s="152"/>
      <c r="S164" s="152"/>
      <c r="T164" s="62" t="str">
        <f aca="false">IF(OR($C164="",R164=""),"",IF(R164/IF($R$2="",100,$R$2)&gt;=設定!$I$28,設定!$G$8,IF(R164/IF($R$2="",100,$R$2)&lt;設定!$I$29,設定!$G$10,設定!$G$9)))</f>
        <v/>
      </c>
      <c r="U164" s="62" t="str">
        <f aca="false">IF(OR($C164="",S164=""),"",IF(S164/IF($S$2="",100,$S$2)&gt;=設定!$I$28,設定!$G$8,IF(S164/IF($S$2="",100,$S$2)&lt;設定!$I$29,設定!$G$10,設定!$G$9)))</f>
        <v/>
      </c>
    </row>
  </sheetData>
  <sheetProtection sheet="true" formatColumns="false" formatRows="false" autoFilter="false"/>
  <autoFilter ref="A4:I164"/>
  <mergeCells count="5">
    <mergeCell ref="A1:I1"/>
    <mergeCell ref="R1:U1"/>
    <mergeCell ref="A2:B2"/>
    <mergeCell ref="D2:I2"/>
    <mergeCell ref="T2:U2"/>
  </mergeCells>
  <conditionalFormatting sqref="A5:C164">
    <cfRule type="expression" priority="2" aboveAverage="0" equalAverage="0" bottom="0" percent="0" rank="0" text="" dxfId="37">
      <formula>RIGHT($C5,4)="（転出）"</formula>
    </cfRule>
    <cfRule type="expression" priority="3" aboveAverage="0" equalAverage="0" bottom="0" percent="0" rank="0" text="" dxfId="8">
      <formula>$C5&lt;&gt;""</formula>
    </cfRule>
  </conditionalFormatting>
  <conditionalFormatting sqref="D5:D164">
    <cfRule type="expression" priority="4" aboveAverage="0" equalAverage="0" bottom="0" percent="0" rank="0" text="" dxfId="37">
      <formula>RIGHT($C5,4)="（転出）"</formula>
    </cfRule>
    <cfRule type="expression" priority="5" aboveAverage="0" equalAverage="0" bottom="0" percent="0" rank="0" text="" dxfId="38">
      <formula>AND($C5&lt;&gt;"",$C$2&lt;&gt;"習熟度別")</formula>
    </cfRule>
    <cfRule type="expression" priority="6" aboveAverage="0" equalAverage="0" bottom="0" percent="0" rank="0" text="" dxfId="39">
      <formula>AND($C5&lt;&gt;"",$E5="")</formula>
    </cfRule>
    <cfRule type="expression" priority="7" aboveAverage="0" equalAverage="0" bottom="0" percent="0" rank="0" text="" dxfId="39">
      <formula>AND($C5&lt;&gt;"",$D5&lt;&gt;"",COUNTIF(コース一覧,$D5)=0)</formula>
    </cfRule>
    <cfRule type="expression" priority="8" aboveAverage="0" equalAverage="0" bottom="0" percent="0" rank="0" text="" dxfId="40">
      <formula>AND($C5&lt;&gt;"",$C$2="習熟度別",$Q5&lt;&gt;"",$E5&lt;&gt;"",$Q5&lt;&gt;$E5)</formula>
    </cfRule>
    <cfRule type="expression" priority="9" aboveAverage="0" equalAverage="0" bottom="0" percent="0" rank="0" text="" dxfId="41">
      <formula>$C5&lt;&gt;""</formula>
    </cfRule>
  </conditionalFormatting>
  <conditionalFormatting sqref="E5:E164">
    <cfRule type="expression" priority="10" aboveAverage="0" equalAverage="0" bottom="0" percent="0" rank="0" text="" dxfId="37">
      <formula>RIGHT($C5,4)="（転出）"</formula>
    </cfRule>
    <cfRule type="expression" priority="11" aboveAverage="0" equalAverage="0" bottom="0" percent="0" rank="0" text="" dxfId="42">
      <formula>AND($E5&lt;&gt;"",$E5=$L$2)</formula>
    </cfRule>
    <cfRule type="expression" priority="12" aboveAverage="0" equalAverage="0" bottom="0" percent="0" rank="0" text="" dxfId="43">
      <formula>AND($E5&lt;&gt;"",$E5=$L$3)</formula>
    </cfRule>
    <cfRule type="expression" priority="13" aboveAverage="0" equalAverage="0" bottom="0" percent="0" rank="0" text="" dxfId="44">
      <formula>AND($E5&lt;&gt;"",$E5=$L$4)</formula>
    </cfRule>
    <cfRule type="expression" priority="14" aboveAverage="0" equalAverage="0" bottom="0" percent="0" rank="0" text="" dxfId="45">
      <formula>AND($E5&lt;&gt;"",$E5=$L$5)</formula>
    </cfRule>
    <cfRule type="expression" priority="15" aboveAverage="0" equalAverage="0" bottom="0" percent="0" rank="0" text="" dxfId="46">
      <formula>AND($E5&lt;&gt;"",$E5=$L$6)</formula>
    </cfRule>
    <cfRule type="expression" priority="16" aboveAverage="0" equalAverage="0" bottom="0" percent="0" rank="0" text="" dxfId="8">
      <formula>$C5&lt;&gt;""</formula>
    </cfRule>
  </conditionalFormatting>
  <conditionalFormatting sqref="F5:H164">
    <cfRule type="expression" priority="17" aboveAverage="0" equalAverage="0" bottom="0" percent="0" rank="0" text="" dxfId="37">
      <formula>RIGHT($C5,4)="（転出）"</formula>
    </cfRule>
    <cfRule type="expression" priority="18" aboveAverage="0" equalAverage="0" bottom="0" percent="0" rank="0" text="" dxfId="12">
      <formula>AND(F5&lt;&gt;"",F5=設定!$G$10)</formula>
    </cfRule>
    <cfRule type="expression" priority="19" aboveAverage="0" equalAverage="0" bottom="0" percent="0" rank="0" text="" dxfId="47">
      <formula>AND(F5&lt;&gt;"",F5=設定!$G$8)</formula>
    </cfRule>
    <cfRule type="expression" priority="20" aboveAverage="0" equalAverage="0" bottom="0" percent="0" rank="0" text="" dxfId="41">
      <formula>AND($C5&lt;&gt;"",$E5&lt;&gt;"")</formula>
    </cfRule>
    <cfRule type="expression" priority="21" aboveAverage="0" equalAverage="0" bottom="0" percent="0" rank="0" text="" dxfId="8">
      <formula>$C5&lt;&gt;""</formula>
    </cfRule>
  </conditionalFormatting>
  <conditionalFormatting sqref="I5:I164">
    <cfRule type="expression" priority="22" aboveAverage="0" equalAverage="0" bottom="0" percent="0" rank="0" text="" dxfId="37">
      <formula>RIGHT($C5,4)="（転出）"</formula>
    </cfRule>
    <cfRule type="expression" priority="23" aboveAverage="0" equalAverage="0" bottom="0" percent="0" rank="0" text="" dxfId="48">
      <formula>AND($C5&lt;&gt;"",$I5&lt;&gt;"",ISNUMBER(設定!$I$22),LEN($I5)&gt;設定!$I$22)</formula>
    </cfRule>
    <cfRule type="expression" priority="24" aboveAverage="0" equalAverage="0" bottom="0" percent="0" rank="0" text="" dxfId="41">
      <formula>AND($C5&lt;&gt;"",$E5&lt;&gt;"")</formula>
    </cfRule>
    <cfRule type="expression" priority="25" aboveAverage="0" equalAverage="0" bottom="0" percent="0" rank="0" text="" dxfId="8">
      <formula>$C5&lt;&gt;""</formula>
    </cfRule>
  </conditionalFormatting>
  <conditionalFormatting sqref="K5:K164">
    <cfRule type="expression" priority="26" aboveAverage="0" equalAverage="0" bottom="0" percent="0" rank="0" text="" dxfId="49">
      <formula>AND($K5&lt;&gt;"",ISNUMBER(設定!$I$22),$K5&gt;設定!$I$22)</formula>
    </cfRule>
    <cfRule type="expression" priority="27" aboveAverage="0" equalAverage="0" bottom="0" percent="0" rank="0" text="" dxfId="50">
      <formula>$C5&lt;&gt;""</formula>
    </cfRule>
  </conditionalFormatting>
  <conditionalFormatting sqref="P5:P164">
    <cfRule type="expression" priority="28" aboveAverage="0" equalAverage="0" bottom="0" percent="0" rank="0" text="" dxfId="41">
      <formula>$C5&lt;&gt;""</formula>
    </cfRule>
  </conditionalFormatting>
  <conditionalFormatting sqref="R5:R164">
    <cfRule type="expression" priority="29" aboveAverage="0" equalAverage="0" bottom="0" percent="0" rank="0" text="" dxfId="49">
      <formula>AND($C5&lt;&gt;"",$R5&lt;&gt;"",$R$2&lt;&gt;"",$R5&gt;$R$2)</formula>
    </cfRule>
    <cfRule type="expression" priority="30" aboveAverage="0" equalAverage="0" bottom="0" percent="0" rank="0" text="" dxfId="41">
      <formula>$C5&lt;&gt;""</formula>
    </cfRule>
  </conditionalFormatting>
  <conditionalFormatting sqref="S5:S164">
    <cfRule type="expression" priority="31" aboveAverage="0" equalAverage="0" bottom="0" percent="0" rank="0" text="" dxfId="49">
      <formula>AND($C5&lt;&gt;"",$S5&lt;&gt;"",$S$2&lt;&gt;"",$S5&gt;$S$2)</formula>
    </cfRule>
    <cfRule type="expression" priority="32" aboveAverage="0" equalAverage="0" bottom="0" percent="0" rank="0" text="" dxfId="41">
      <formula>$C5&lt;&gt;""</formula>
    </cfRule>
  </conditionalFormatting>
  <conditionalFormatting sqref="T5:U164">
    <cfRule type="expression" priority="33" aboveAverage="0" equalAverage="0" bottom="0" percent="0" rank="0" text="" dxfId="12">
      <formula>AND(T5&lt;&gt;"",T5=設定!$G$10)</formula>
    </cfRule>
    <cfRule type="expression" priority="34" aboveAverage="0" equalAverage="0" bottom="0" percent="0" rank="0" text="" dxfId="51">
      <formula>AND(T5&lt;&gt;"",T5=設定!$G$8)</formula>
    </cfRule>
    <cfRule type="expression" priority="35" aboveAverage="0" equalAverage="0" bottom="0" percent="0" rank="0" text="" dxfId="19">
      <formula>$C5&lt;&gt;""</formula>
    </cfRule>
  </conditionalFormatting>
  <conditionalFormatting sqref="Q5:Q164">
    <cfRule type="expression" priority="36" aboveAverage="0" equalAverage="0" bottom="0" percent="0" rank="0" text="" dxfId="40">
      <formula>AND($C5&lt;&gt;"",$Q5&lt;&gt;"",$E5&lt;&gt;"",$Q5&lt;&gt;$E5)</formula>
    </cfRule>
    <cfRule type="expression" priority="37" aboveAverage="0" equalAverage="0" bottom="0" percent="0" rank="0" text="" dxfId="41">
      <formula>$C5&lt;&gt;""</formula>
    </cfRule>
  </conditionalFormatting>
  <conditionalFormatting sqref="L2:N2">
    <cfRule type="expression" priority="38" aboveAverage="0" equalAverage="0" bottom="0" percent="0" rank="0" text="" dxfId="14">
      <formula>$L2=""</formula>
    </cfRule>
  </conditionalFormatting>
  <conditionalFormatting sqref="L3:N3">
    <cfRule type="expression" priority="39" aboveAverage="0" equalAverage="0" bottom="0" percent="0" rank="0" text="" dxfId="14">
      <formula>$L3=""</formula>
    </cfRule>
  </conditionalFormatting>
  <conditionalFormatting sqref="L4:N4">
    <cfRule type="expression" priority="40" aboveAverage="0" equalAverage="0" bottom="0" percent="0" rank="0" text="" dxfId="14">
      <formula>$L4=""</formula>
    </cfRule>
  </conditionalFormatting>
  <conditionalFormatting sqref="L5:N5">
    <cfRule type="expression" priority="41" aboveAverage="0" equalAverage="0" bottom="0" percent="0" rank="0" text="" dxfId="14">
      <formula>$L5=""</formula>
    </cfRule>
  </conditionalFormatting>
  <conditionalFormatting sqref="L6:N6">
    <cfRule type="expression" priority="42" aboveAverage="0" equalAverage="0" bottom="0" percent="0" rank="0" text="" dxfId="14">
      <formula>$L6=""</formula>
    </cfRule>
  </conditionalFormatting>
  <conditionalFormatting sqref="N7">
    <cfRule type="expression" priority="43" aboveAverage="0" equalAverage="0" bottom="0" percent="0" rank="0" text="" dxfId="52">
      <formula>$N$7=0</formula>
    </cfRule>
  </conditionalFormatting>
  <dataValidations count="6">
    <dataValidation allowBlank="true" error="点数（数字）を入力してください。" errorStyle="stop" operator="between" showDropDown="false" showErrorMessage="true" showInputMessage="false" sqref="R2:S2 P5:P164 R5:S164" type="decimal">
      <formula1>0</formula1>
      <formula2>1000</formula2>
    </dataValidation>
    <dataValidation allowBlank="false" error="一覧から選んでください。" errorStyle="stop" errorTitle="入力エラー" operator="between" showDropDown="false" showErrorMessage="true" showInputMessage="false" sqref="C2" type="list">
      <formula1>"習熟度別,前の単元と同じ,学級ごと"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D5:D164" type="list">
      <formula1>コース一覧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Q5:Q164" type="list">
      <formula1>コース一覧</formula1>
      <formula2>0</formula2>
    </dataValidation>
    <dataValidation allowBlank="true" error="設定シートの評価記号（A/B/C）から選んでください。" errorStyle="stop" errorTitle="入力エラー" operator="between" showDropDown="false" showErrorMessage="true" showInputMessage="false" sqref="F5:H164" type="list">
      <formula1>評価記号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M2:M6" type="list">
      <formula1>担当者一覧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U16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5"/>
    <col collapsed="false" customWidth="true" hidden="false" outlineLevel="0" max="3" min="3" style="0" width="17"/>
    <col collapsed="false" customWidth="true" hidden="false" outlineLevel="0" max="4" min="4" style="0" width="11"/>
    <col collapsed="false" customWidth="true" hidden="false" outlineLevel="0" max="5" min="5" style="0" width="12"/>
    <col collapsed="false" customWidth="true" hidden="false" outlineLevel="0" max="8" min="6" style="0" width="6"/>
    <col collapsed="false" customWidth="true" hidden="false" outlineLevel="0" max="9" min="9" style="0" width="55"/>
    <col collapsed="false" customWidth="true" hidden="true" outlineLevel="0" max="10" min="10" style="0" width="3"/>
    <col collapsed="false" customWidth="true" hidden="false" outlineLevel="0" max="11" min="11" style="0" width="5"/>
    <col collapsed="false" customWidth="true" hidden="false" outlineLevel="0" max="12" min="12" style="0" width="14"/>
    <col collapsed="false" customWidth="true" hidden="false" outlineLevel="0" max="13" min="13" style="0" width="13"/>
    <col collapsed="false" customWidth="true" hidden="false" outlineLevel="0" max="14" min="14" style="0" width="7"/>
    <col collapsed="false" customWidth="true" hidden="false" outlineLevel="0" max="15" min="15" style="0" width="2"/>
    <col collapsed="false" customWidth="true" hidden="false" outlineLevel="0" max="16" min="16" style="0" width="9"/>
    <col collapsed="false" customWidth="true" hidden="false" outlineLevel="0" max="17" min="17" style="0" width="12"/>
    <col collapsed="false" customWidth="true" hidden="false" outlineLevel="0" max="19" min="18" style="0" width="7"/>
    <col collapsed="false" customWidth="true" hidden="false" outlineLevel="0" max="21" min="20" style="0" width="6"/>
  </cols>
  <sheetData>
    <row r="1" customFormat="false" ht="33.75" hidden="false" customHeight="true" outlineLevel="0" collapsed="false">
      <c r="A1" s="14" t="str">
        <f aca="false">"単元6　"&amp;IF(設定!$D$22="","（設定シートで単元名を入力）",設定!$D$22)&amp;IF(設定!$C$22="","","　／　"&amp;設定!$C$22&amp;IF(ISNUMBER(設定!$C$22),"学期",""))</f>
        <v>単元6　（設定シートで単元名を入力）</v>
      </c>
      <c r="B1" s="14"/>
      <c r="C1" s="14"/>
      <c r="D1" s="14"/>
      <c r="E1" s="14"/>
      <c r="F1" s="14"/>
      <c r="G1" s="14"/>
      <c r="H1" s="14"/>
      <c r="I1" s="14"/>
      <c r="J1" s="13"/>
      <c r="K1" s="13"/>
      <c r="L1" s="16" t="s">
        <v>153</v>
      </c>
      <c r="M1" s="16" t="s">
        <v>68</v>
      </c>
      <c r="N1" s="16" t="s">
        <v>128</v>
      </c>
      <c r="O1" s="13"/>
      <c r="P1" s="13"/>
      <c r="Q1" s="13"/>
      <c r="R1" s="131" t="s">
        <v>154</v>
      </c>
      <c r="S1" s="131"/>
      <c r="T1" s="131"/>
      <c r="U1" s="131"/>
    </row>
    <row r="2" customFormat="false" ht="25.5" hidden="false" customHeight="true" outlineLevel="0" collapsed="false">
      <c r="A2" s="16" t="s">
        <v>131</v>
      </c>
      <c r="B2" s="16"/>
      <c r="C2" s="138" t="s">
        <v>164</v>
      </c>
      <c r="D2" s="139" t="str">
        <f aca="false">IF($C$2="習熟度別","← D列「コース」で一人ずつ選びます",IF($C$2="前の単元と同じ","← 前の単元のコースをそのまま使います","← 在籍学級のまま分かれます"))</f>
        <v>← D列「コース」で一人ずつ選びます</v>
      </c>
      <c r="E2" s="139"/>
      <c r="F2" s="139"/>
      <c r="G2" s="139"/>
      <c r="H2" s="139"/>
      <c r="I2" s="139"/>
      <c r="J2" s="13"/>
      <c r="K2" s="13"/>
      <c r="L2" s="119" t="str">
        <f aca="false">IF($C$2="前の単元と同じ",単元05!$L2&amp;"",IF($C$2="学級ごと",IF(設定!$B$8="","",設定!$B$8&amp;""),IF(設定!$D$8="","",設定!$D$8&amp;"")))</f>
        <v>深める</v>
      </c>
      <c r="M2" s="39"/>
      <c r="N2" s="140" t="n">
        <f aca="false">IF($L2="","",COUNTIF($E$5:$E$164,$L2))</f>
        <v>0</v>
      </c>
      <c r="O2" s="13"/>
      <c r="P2" s="13"/>
      <c r="Q2" s="13"/>
      <c r="R2" s="141" t="n">
        <v>100</v>
      </c>
      <c r="S2" s="141" t="n">
        <v>100</v>
      </c>
      <c r="T2" s="142" t="s">
        <v>165</v>
      </c>
      <c r="U2" s="142"/>
    </row>
    <row r="3" customFormat="false" ht="17.15" hidden="false" customHeight="false" outlineLevel="0" collapsed="false">
      <c r="A3" s="4" t="s">
        <v>166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23" t="str">
        <f aca="false">IF($C$2="前の単元と同じ",単元05!$L3&amp;"",IF($C$2="学級ごと",IF(設定!$B$9="","",設定!$B$9&amp;""),IF(設定!$D$9="","",設定!$D$9&amp;"")))</f>
        <v>広げるA</v>
      </c>
      <c r="M3" s="39"/>
      <c r="N3" s="140" t="n">
        <f aca="false">IF($L3="","",COUNTIF($E$5:$E$164,$L3))</f>
        <v>0</v>
      </c>
      <c r="O3" s="13"/>
      <c r="P3" s="143" t="s">
        <v>167</v>
      </c>
      <c r="Q3" s="13"/>
      <c r="R3" s="144" t="s">
        <v>168</v>
      </c>
      <c r="S3" s="13"/>
      <c r="T3" s="13"/>
      <c r="U3" s="13"/>
    </row>
    <row r="4" customFormat="false" ht="30" hidden="false" customHeight="true" outlineLevel="0" collapsed="false">
      <c r="A4" s="16" t="s">
        <v>121</v>
      </c>
      <c r="B4" s="16" t="s">
        <v>122</v>
      </c>
      <c r="C4" s="16" t="s">
        <v>123</v>
      </c>
      <c r="D4" s="145" t="s">
        <v>153</v>
      </c>
      <c r="E4" s="16" t="s">
        <v>169</v>
      </c>
      <c r="F4" s="146" t="str">
        <f aca="false">設定!$I$8</f>
        <v>知</v>
      </c>
      <c r="G4" s="146" t="str">
        <f aca="false">設定!$I$9</f>
        <v>思</v>
      </c>
      <c r="H4" s="146" t="str">
        <f aca="false">設定!$I$10</f>
        <v>態</v>
      </c>
      <c r="I4" s="146" t="s">
        <v>107</v>
      </c>
      <c r="J4" s="16"/>
      <c r="K4" s="110" t="s">
        <v>170</v>
      </c>
      <c r="L4" s="124" t="str">
        <f aca="false">IF($C$2="前の単元と同じ",単元05!$L4&amp;"",IF($C$2="学級ごと",IF(設定!$B$10="","",設定!$B$10&amp;""),IF(設定!$D$10="","",設定!$D$10&amp;"")))</f>
        <v>広げるB</v>
      </c>
      <c r="M4" s="39"/>
      <c r="N4" s="140" t="n">
        <f aca="false">IF($L4="","",COUNTIF($E$5:$E$164,$L4))</f>
        <v>0</v>
      </c>
      <c r="O4" s="13"/>
      <c r="P4" s="147" t="s">
        <v>171</v>
      </c>
      <c r="Q4" s="147" t="s">
        <v>172</v>
      </c>
      <c r="R4" s="131" t="str">
        <f aca="false">設定!$I$8&amp;"得点"</f>
        <v>知得点</v>
      </c>
      <c r="S4" s="131" t="str">
        <f aca="false">設定!$I$9&amp;"得点"</f>
        <v>思得点</v>
      </c>
      <c r="T4" s="148" t="str">
        <f aca="false">設定!$I$8&amp;"目安"</f>
        <v>知目安</v>
      </c>
      <c r="U4" s="148" t="str">
        <f aca="false">設定!$I$9&amp;"目安"</f>
        <v>思目安</v>
      </c>
    </row>
    <row r="5" customFormat="false" ht="21" hidden="false" customHeight="true" outlineLevel="0" collapsed="false">
      <c r="A5" s="91" t="str">
        <f aca="false">IF(名簿!$D5="","",名簿!$B5&amp;"")</f>
        <v/>
      </c>
      <c r="B5" s="91" t="str">
        <f aca="false">IF(名簿!$D5="","",名簿!$C5)</f>
        <v/>
      </c>
      <c r="C5" s="59" t="str">
        <f aca="false">IF(名簿!$D5="","",名簿!$D5&amp;IF(名簿!$F5="転出","（転出）",""))</f>
        <v/>
      </c>
      <c r="D5" s="149"/>
      <c r="E5" s="61" t="str">
        <f aca="false">IF(OR($C5="",名簿!$F5="転出"),"",IF($C$2="学級ごと",$A5,IF($C$2="前の単元と同じ",単元05!$E5&amp;"",$D5&amp;"")))</f>
        <v/>
      </c>
      <c r="F5" s="150"/>
      <c r="G5" s="150"/>
      <c r="H5" s="150"/>
      <c r="I5" s="151"/>
      <c r="J5" s="41" t="str">
        <f aca="false">IF($E5="","",$E5&amp;"|"&amp;COUNTIF($E$5:$E5,$E5))</f>
        <v/>
      </c>
      <c r="K5" s="40" t="str">
        <f aca="false">IF($I5="","",LEN($I5))</f>
        <v/>
      </c>
      <c r="L5" s="125" t="str">
        <f aca="false">IF($C$2="前の単元と同じ",単元05!$L5&amp;"",IF($C$2="学級ごと",IF(設定!$B$11="","",設定!$B$11&amp;""),IF(設定!$D$11="","",設定!$D$11&amp;"")))</f>
        <v>かためる</v>
      </c>
      <c r="M5" s="39"/>
      <c r="N5" s="140" t="n">
        <f aca="false">IF($L5="","",COUNTIF($E$5:$E$164,$L5))</f>
        <v>0</v>
      </c>
      <c r="O5" s="13"/>
      <c r="P5" s="152"/>
      <c r="Q5" s="149"/>
      <c r="R5" s="152"/>
      <c r="S5" s="152"/>
      <c r="T5" s="62" t="str">
        <f aca="false">IF(OR($C5="",R5=""),"",IF(R5/IF($R$2="",100,$R$2)&gt;=設定!$I$28,設定!$G$8,IF(R5/IF($R$2="",100,$R$2)&lt;設定!$I$29,設定!$G$10,設定!$G$9)))</f>
        <v/>
      </c>
      <c r="U5" s="62" t="str">
        <f aca="false">IF(OR($C5="",S5=""),"",IF(S5/IF($S$2="",100,$S$2)&gt;=設定!$I$28,設定!$G$8,IF(S5/IF($S$2="",100,$S$2)&lt;設定!$I$29,設定!$G$10,設定!$G$9)))</f>
        <v/>
      </c>
    </row>
    <row r="6" customFormat="false" ht="21" hidden="false" customHeight="true" outlineLevel="0" collapsed="false">
      <c r="A6" s="91" t="str">
        <f aca="false">IF(名簿!$D6="","",名簿!$B6&amp;"")</f>
        <v/>
      </c>
      <c r="B6" s="91" t="str">
        <f aca="false">IF(名簿!$D6="","",名簿!$C6)</f>
        <v/>
      </c>
      <c r="C6" s="59" t="str">
        <f aca="false">IF(名簿!$D6="","",名簿!$D6&amp;IF(名簿!$F6="転出","（転出）",""))</f>
        <v/>
      </c>
      <c r="D6" s="149"/>
      <c r="E6" s="61" t="str">
        <f aca="false">IF(OR($C6="",名簿!$F6="転出"),"",IF($C$2="学級ごと",$A6,IF($C$2="前の単元と同じ",単元05!$E6&amp;"",$D6&amp;"")))</f>
        <v/>
      </c>
      <c r="F6" s="150"/>
      <c r="G6" s="150"/>
      <c r="H6" s="150"/>
      <c r="I6" s="151"/>
      <c r="J6" s="41" t="str">
        <f aca="false">IF($E6="","",$E6&amp;"|"&amp;COUNTIF($E$5:$E6,$E6))</f>
        <v/>
      </c>
      <c r="K6" s="40" t="str">
        <f aca="false">IF($I6="","",LEN($I6))</f>
        <v/>
      </c>
      <c r="L6" s="126" t="str">
        <f aca="false">IF($C$2="前の単元と同じ",単元05!$L6&amp;"",IF($C$2="学級ごと",IF(設定!$B$12="","",設定!$B$12&amp;""),IF(設定!$D$12="","",設定!$D$12&amp;"")))</f>
        <v/>
      </c>
      <c r="M6" s="39"/>
      <c r="N6" s="153" t="str">
        <f aca="false">IF($L6="","",COUNTIF($E$5:$E$164,$L6))</f>
        <v/>
      </c>
      <c r="O6" s="13"/>
      <c r="P6" s="152"/>
      <c r="Q6" s="149"/>
      <c r="R6" s="152"/>
      <c r="S6" s="152"/>
      <c r="T6" s="62" t="str">
        <f aca="false">IF(OR($C6="",R6=""),"",IF(R6/IF($R$2="",100,$R$2)&gt;=設定!$I$28,設定!$G$8,IF(R6/IF($R$2="",100,$R$2)&lt;設定!$I$29,設定!$G$10,設定!$G$9)))</f>
        <v/>
      </c>
      <c r="U6" s="62" t="str">
        <f aca="false">IF(OR($C6="",S6=""),"",IF(S6/IF($S$2="",100,$S$2)&gt;=設定!$I$28,設定!$G$8,IF(S6/IF($S$2="",100,$S$2)&lt;設定!$I$29,設定!$G$10,設定!$G$9)))</f>
        <v/>
      </c>
    </row>
    <row r="7" customFormat="false" ht="21" hidden="false" customHeight="true" outlineLevel="0" collapsed="false">
      <c r="A7" s="91" t="str">
        <f aca="false">IF(名簿!$D7="","",名簿!$B7&amp;"")</f>
        <v/>
      </c>
      <c r="B7" s="91" t="str">
        <f aca="false">IF(名簿!$D7="","",名簿!$C7)</f>
        <v/>
      </c>
      <c r="C7" s="59" t="str">
        <f aca="false">IF(名簿!$D7="","",名簿!$D7&amp;IF(名簿!$F7="転出","（転出）",""))</f>
        <v/>
      </c>
      <c r="D7" s="149"/>
      <c r="E7" s="61" t="str">
        <f aca="false">IF(OR($C7="",名簿!$F7="転出"),"",IF($C$2="学級ごと",$A7,IF($C$2="前の単元と同じ",単元05!$E7&amp;"",$D7&amp;"")))</f>
        <v/>
      </c>
      <c r="F7" s="150"/>
      <c r="G7" s="150"/>
      <c r="H7" s="150"/>
      <c r="I7" s="151"/>
      <c r="J7" s="41" t="str">
        <f aca="false">IF($E7="","",$E7&amp;"|"&amp;COUNTIF($E$5:$E7,$E7))</f>
        <v/>
      </c>
      <c r="K7" s="40" t="str">
        <f aca="false">IF($I7="","",LEN($I7))</f>
        <v/>
      </c>
      <c r="L7" s="154" t="s">
        <v>133</v>
      </c>
      <c r="M7" s="155" t="s">
        <v>173</v>
      </c>
      <c r="N7" s="156" t="n">
        <f aca="false">SUMPRODUCT(($C$5:$C$164&lt;&gt;"")*(名簿!$F$5:$F$164&lt;&gt;"転出")*($E$5:$E$164=""))</f>
        <v>0</v>
      </c>
      <c r="O7" s="13"/>
      <c r="P7" s="152"/>
      <c r="Q7" s="149"/>
      <c r="R7" s="152"/>
      <c r="S7" s="152"/>
      <c r="T7" s="62" t="str">
        <f aca="false">IF(OR($C7="",R7=""),"",IF(R7/IF($R$2="",100,$R$2)&gt;=設定!$I$28,設定!$G$8,IF(R7/IF($R$2="",100,$R$2)&lt;設定!$I$29,設定!$G$10,設定!$G$9)))</f>
        <v/>
      </c>
      <c r="U7" s="62" t="str">
        <f aca="false">IF(OR($C7="",S7=""),"",IF(S7/IF($S$2="",100,$S$2)&gt;=設定!$I$28,設定!$G$8,IF(S7/IF($S$2="",100,$S$2)&lt;設定!$I$29,設定!$G$10,設定!$G$9)))</f>
        <v/>
      </c>
    </row>
    <row r="8" customFormat="false" ht="21" hidden="false" customHeight="true" outlineLevel="0" collapsed="false">
      <c r="A8" s="91" t="str">
        <f aca="false">IF(名簿!$D8="","",名簿!$B8&amp;"")</f>
        <v/>
      </c>
      <c r="B8" s="91" t="str">
        <f aca="false">IF(名簿!$D8="","",名簿!$C8)</f>
        <v/>
      </c>
      <c r="C8" s="59" t="str">
        <f aca="false">IF(名簿!$D8="","",名簿!$D8&amp;IF(名簿!$F8="転出","（転出）",""))</f>
        <v/>
      </c>
      <c r="D8" s="149"/>
      <c r="E8" s="61" t="str">
        <f aca="false">IF(OR($C8="",名簿!$F8="転出"),"",IF($C$2="学級ごと",$A8,IF($C$2="前の単元と同じ",単元05!$E8&amp;"",$D8&amp;"")))</f>
        <v/>
      </c>
      <c r="F8" s="150"/>
      <c r="G8" s="150"/>
      <c r="H8" s="150"/>
      <c r="I8" s="151"/>
      <c r="J8" s="41" t="str">
        <f aca="false">IF($E8="","",$E8&amp;"|"&amp;COUNTIF($E$5:$E8,$E8))</f>
        <v/>
      </c>
      <c r="K8" s="40" t="str">
        <f aca="false">IF($I8="","",LEN($I8))</f>
        <v/>
      </c>
      <c r="L8" s="157" t="s">
        <v>174</v>
      </c>
      <c r="M8" s="158" t="s">
        <v>175</v>
      </c>
      <c r="N8" s="159" t="n">
        <f aca="false">SUMPRODUCT(($E$5:$E$164&lt;&gt;"")*(($F$5:$F$164="")+($G$5:$G$164="")+($H$5:$H$164="")&gt;0))</f>
        <v>0</v>
      </c>
      <c r="O8" s="13"/>
      <c r="P8" s="152"/>
      <c r="Q8" s="149"/>
      <c r="R8" s="152"/>
      <c r="S8" s="152"/>
      <c r="T8" s="62" t="str">
        <f aca="false">IF(OR($C8="",R8=""),"",IF(R8/IF($R$2="",100,$R$2)&gt;=設定!$I$28,設定!$G$8,IF(R8/IF($R$2="",100,$R$2)&lt;設定!$I$29,設定!$G$10,設定!$G$9)))</f>
        <v/>
      </c>
      <c r="U8" s="62" t="str">
        <f aca="false">IF(OR($C8="",S8=""),"",IF(S8/IF($S$2="",100,$S$2)&gt;=設定!$I$28,設定!$G$8,IF(S8/IF($S$2="",100,$S$2)&lt;設定!$I$29,設定!$G$10,設定!$G$9)))</f>
        <v/>
      </c>
    </row>
    <row r="9" customFormat="false" ht="21" hidden="false" customHeight="true" outlineLevel="0" collapsed="false">
      <c r="A9" s="91" t="str">
        <f aca="false">IF(名簿!$D9="","",名簿!$B9&amp;"")</f>
        <v/>
      </c>
      <c r="B9" s="91" t="str">
        <f aca="false">IF(名簿!$D9="","",名簿!$C9)</f>
        <v/>
      </c>
      <c r="C9" s="59" t="str">
        <f aca="false">IF(名簿!$D9="","",名簿!$D9&amp;IF(名簿!$F9="転出","（転出）",""))</f>
        <v/>
      </c>
      <c r="D9" s="149"/>
      <c r="E9" s="61" t="str">
        <f aca="false">IF(OR($C9="",名簿!$F9="転出"),"",IF($C$2="学級ごと",$A9,IF($C$2="前の単元と同じ",単元05!$E9&amp;"",$D9&amp;"")))</f>
        <v/>
      </c>
      <c r="F9" s="150"/>
      <c r="G9" s="150"/>
      <c r="H9" s="150"/>
      <c r="I9" s="151"/>
      <c r="J9" s="41" t="str">
        <f aca="false">IF($E9="","",$E9&amp;"|"&amp;COUNTIF($E$5:$E9,$E9))</f>
        <v/>
      </c>
      <c r="K9" s="40" t="str">
        <f aca="false">IF($I9="","",LEN($I9))</f>
        <v/>
      </c>
      <c r="L9" s="13"/>
      <c r="M9" s="13"/>
      <c r="N9" s="13"/>
      <c r="O9" s="13"/>
      <c r="P9" s="152"/>
      <c r="Q9" s="149"/>
      <c r="R9" s="152"/>
      <c r="S9" s="152"/>
      <c r="T9" s="62" t="str">
        <f aca="false">IF(OR($C9="",R9=""),"",IF(R9/IF($R$2="",100,$R$2)&gt;=設定!$I$28,設定!$G$8,IF(R9/IF($R$2="",100,$R$2)&lt;設定!$I$29,設定!$G$10,設定!$G$9)))</f>
        <v/>
      </c>
      <c r="U9" s="62" t="str">
        <f aca="false">IF(OR($C9="",S9=""),"",IF(S9/IF($S$2="",100,$S$2)&gt;=設定!$I$28,設定!$G$8,IF(S9/IF($S$2="",100,$S$2)&lt;設定!$I$29,設定!$G$10,設定!$G$9)))</f>
        <v/>
      </c>
    </row>
    <row r="10" customFormat="false" ht="21" hidden="false" customHeight="true" outlineLevel="0" collapsed="false">
      <c r="A10" s="91" t="str">
        <f aca="false">IF(名簿!$D10="","",名簿!$B10&amp;"")</f>
        <v/>
      </c>
      <c r="B10" s="91" t="str">
        <f aca="false">IF(名簿!$D10="","",名簿!$C10)</f>
        <v/>
      </c>
      <c r="C10" s="59" t="str">
        <f aca="false">IF(名簿!$D10="","",名簿!$D10&amp;IF(名簿!$F10="転出","（転出）",""))</f>
        <v/>
      </c>
      <c r="D10" s="149"/>
      <c r="E10" s="61" t="str">
        <f aca="false">IF(OR($C10="",名簿!$F10="転出"),"",IF($C$2="学級ごと",$A10,IF($C$2="前の単元と同じ",単元05!$E10&amp;"",$D10&amp;"")))</f>
        <v/>
      </c>
      <c r="F10" s="150"/>
      <c r="G10" s="150"/>
      <c r="H10" s="150"/>
      <c r="I10" s="151"/>
      <c r="J10" s="41" t="str">
        <f aca="false">IF($E10="","",$E10&amp;"|"&amp;COUNTIF($E$5:$E10,$E10))</f>
        <v/>
      </c>
      <c r="K10" s="40" t="str">
        <f aca="false">IF($I10="","",LEN($I10))</f>
        <v/>
      </c>
      <c r="L10" s="13"/>
      <c r="M10" s="13"/>
      <c r="N10" s="13"/>
      <c r="O10" s="13"/>
      <c r="P10" s="152"/>
      <c r="Q10" s="149"/>
      <c r="R10" s="152"/>
      <c r="S10" s="152"/>
      <c r="T10" s="62" t="str">
        <f aca="false">IF(OR($C10="",R10=""),"",IF(R10/IF($R$2="",100,$R$2)&gt;=設定!$I$28,設定!$G$8,IF(R10/IF($R$2="",100,$R$2)&lt;設定!$I$29,設定!$G$10,設定!$G$9)))</f>
        <v/>
      </c>
      <c r="U10" s="62" t="str">
        <f aca="false">IF(OR($C10="",S10=""),"",IF(S10/IF($S$2="",100,$S$2)&gt;=設定!$I$28,設定!$G$8,IF(S10/IF($S$2="",100,$S$2)&lt;設定!$I$29,設定!$G$10,設定!$G$9)))</f>
        <v/>
      </c>
    </row>
    <row r="11" customFormat="false" ht="21" hidden="false" customHeight="true" outlineLevel="0" collapsed="false">
      <c r="A11" s="91" t="str">
        <f aca="false">IF(名簿!$D11="","",名簿!$B11&amp;"")</f>
        <v/>
      </c>
      <c r="B11" s="91" t="str">
        <f aca="false">IF(名簿!$D11="","",名簿!$C11)</f>
        <v/>
      </c>
      <c r="C11" s="59" t="str">
        <f aca="false">IF(名簿!$D11="","",名簿!$D11&amp;IF(名簿!$F11="転出","（転出）",""))</f>
        <v/>
      </c>
      <c r="D11" s="149"/>
      <c r="E11" s="61" t="str">
        <f aca="false">IF(OR($C11="",名簿!$F11="転出"),"",IF($C$2="学級ごと",$A11,IF($C$2="前の単元と同じ",単元05!$E11&amp;"",$D11&amp;"")))</f>
        <v/>
      </c>
      <c r="F11" s="150"/>
      <c r="G11" s="150"/>
      <c r="H11" s="150"/>
      <c r="I11" s="151"/>
      <c r="J11" s="41" t="str">
        <f aca="false">IF($E11="","",$E11&amp;"|"&amp;COUNTIF($E$5:$E11,$E11))</f>
        <v/>
      </c>
      <c r="K11" s="40" t="str">
        <f aca="false">IF($I11="","",LEN($I11))</f>
        <v/>
      </c>
      <c r="L11" s="13"/>
      <c r="M11" s="13"/>
      <c r="N11" s="13"/>
      <c r="O11" s="13"/>
      <c r="P11" s="152"/>
      <c r="Q11" s="149"/>
      <c r="R11" s="152"/>
      <c r="S11" s="152"/>
      <c r="T11" s="62" t="str">
        <f aca="false">IF(OR($C11="",R11=""),"",IF(R11/IF($R$2="",100,$R$2)&gt;=設定!$I$28,設定!$G$8,IF(R11/IF($R$2="",100,$R$2)&lt;設定!$I$29,設定!$G$10,設定!$G$9)))</f>
        <v/>
      </c>
      <c r="U11" s="62" t="str">
        <f aca="false">IF(OR($C11="",S11=""),"",IF(S11/IF($S$2="",100,$S$2)&gt;=設定!$I$28,設定!$G$8,IF(S11/IF($S$2="",100,$S$2)&lt;設定!$I$29,設定!$G$10,設定!$G$9)))</f>
        <v/>
      </c>
    </row>
    <row r="12" customFormat="false" ht="21" hidden="false" customHeight="true" outlineLevel="0" collapsed="false">
      <c r="A12" s="91" t="str">
        <f aca="false">IF(名簿!$D12="","",名簿!$B12&amp;"")</f>
        <v/>
      </c>
      <c r="B12" s="91" t="str">
        <f aca="false">IF(名簿!$D12="","",名簿!$C12)</f>
        <v/>
      </c>
      <c r="C12" s="59" t="str">
        <f aca="false">IF(名簿!$D12="","",名簿!$D12&amp;IF(名簿!$F12="転出","（転出）",""))</f>
        <v/>
      </c>
      <c r="D12" s="149"/>
      <c r="E12" s="61" t="str">
        <f aca="false">IF(OR($C12="",名簿!$F12="転出"),"",IF($C$2="学級ごと",$A12,IF($C$2="前の単元と同じ",単元05!$E12&amp;"",$D12&amp;"")))</f>
        <v/>
      </c>
      <c r="F12" s="150"/>
      <c r="G12" s="150"/>
      <c r="H12" s="150"/>
      <c r="I12" s="151"/>
      <c r="J12" s="41" t="str">
        <f aca="false">IF($E12="","",$E12&amp;"|"&amp;COUNTIF($E$5:$E12,$E12))</f>
        <v/>
      </c>
      <c r="K12" s="40" t="str">
        <f aca="false">IF($I12="","",LEN($I12))</f>
        <v/>
      </c>
      <c r="L12" s="13"/>
      <c r="M12" s="13"/>
      <c r="N12" s="13"/>
      <c r="O12" s="13"/>
      <c r="P12" s="152"/>
      <c r="Q12" s="149"/>
      <c r="R12" s="152"/>
      <c r="S12" s="152"/>
      <c r="T12" s="62" t="str">
        <f aca="false">IF(OR($C12="",R12=""),"",IF(R12/IF($R$2="",100,$R$2)&gt;=設定!$I$28,設定!$G$8,IF(R12/IF($R$2="",100,$R$2)&lt;設定!$I$29,設定!$G$10,設定!$G$9)))</f>
        <v/>
      </c>
      <c r="U12" s="62" t="str">
        <f aca="false">IF(OR($C12="",S12=""),"",IF(S12/IF($S$2="",100,$S$2)&gt;=設定!$I$28,設定!$G$8,IF(S12/IF($S$2="",100,$S$2)&lt;設定!$I$29,設定!$G$10,設定!$G$9)))</f>
        <v/>
      </c>
    </row>
    <row r="13" customFormat="false" ht="21" hidden="false" customHeight="true" outlineLevel="0" collapsed="false">
      <c r="A13" s="91" t="str">
        <f aca="false">IF(名簿!$D13="","",名簿!$B13&amp;"")</f>
        <v/>
      </c>
      <c r="B13" s="91" t="str">
        <f aca="false">IF(名簿!$D13="","",名簿!$C13)</f>
        <v/>
      </c>
      <c r="C13" s="59" t="str">
        <f aca="false">IF(名簿!$D13="","",名簿!$D13&amp;IF(名簿!$F13="転出","（転出）",""))</f>
        <v/>
      </c>
      <c r="D13" s="149"/>
      <c r="E13" s="61" t="str">
        <f aca="false">IF(OR($C13="",名簿!$F13="転出"),"",IF($C$2="学級ごと",$A13,IF($C$2="前の単元と同じ",単元05!$E13&amp;"",$D13&amp;"")))</f>
        <v/>
      </c>
      <c r="F13" s="150"/>
      <c r="G13" s="150"/>
      <c r="H13" s="150"/>
      <c r="I13" s="151"/>
      <c r="J13" s="41" t="str">
        <f aca="false">IF($E13="","",$E13&amp;"|"&amp;COUNTIF($E$5:$E13,$E13))</f>
        <v/>
      </c>
      <c r="K13" s="40" t="str">
        <f aca="false">IF($I13="","",LEN($I13))</f>
        <v/>
      </c>
      <c r="L13" s="13"/>
      <c r="M13" s="13"/>
      <c r="N13" s="13"/>
      <c r="O13" s="13"/>
      <c r="P13" s="152"/>
      <c r="Q13" s="149"/>
      <c r="R13" s="152"/>
      <c r="S13" s="152"/>
      <c r="T13" s="62" t="str">
        <f aca="false">IF(OR($C13="",R13=""),"",IF(R13/IF($R$2="",100,$R$2)&gt;=設定!$I$28,設定!$G$8,IF(R13/IF($R$2="",100,$R$2)&lt;設定!$I$29,設定!$G$10,設定!$G$9)))</f>
        <v/>
      </c>
      <c r="U13" s="62" t="str">
        <f aca="false">IF(OR($C13="",S13=""),"",IF(S13/IF($S$2="",100,$S$2)&gt;=設定!$I$28,設定!$G$8,IF(S13/IF($S$2="",100,$S$2)&lt;設定!$I$29,設定!$G$10,設定!$G$9)))</f>
        <v/>
      </c>
    </row>
    <row r="14" customFormat="false" ht="21" hidden="false" customHeight="true" outlineLevel="0" collapsed="false">
      <c r="A14" s="91" t="str">
        <f aca="false">IF(名簿!$D14="","",名簿!$B14&amp;"")</f>
        <v/>
      </c>
      <c r="B14" s="91" t="str">
        <f aca="false">IF(名簿!$D14="","",名簿!$C14)</f>
        <v/>
      </c>
      <c r="C14" s="59" t="str">
        <f aca="false">IF(名簿!$D14="","",名簿!$D14&amp;IF(名簿!$F14="転出","（転出）",""))</f>
        <v/>
      </c>
      <c r="D14" s="149"/>
      <c r="E14" s="61" t="str">
        <f aca="false">IF(OR($C14="",名簿!$F14="転出"),"",IF($C$2="学級ごと",$A14,IF($C$2="前の単元と同じ",単元05!$E14&amp;"",$D14&amp;"")))</f>
        <v/>
      </c>
      <c r="F14" s="150"/>
      <c r="G14" s="150"/>
      <c r="H14" s="150"/>
      <c r="I14" s="151"/>
      <c r="J14" s="41" t="str">
        <f aca="false">IF($E14="","",$E14&amp;"|"&amp;COUNTIF($E$5:$E14,$E14))</f>
        <v/>
      </c>
      <c r="K14" s="40" t="str">
        <f aca="false">IF($I14="","",LEN($I14))</f>
        <v/>
      </c>
      <c r="L14" s="13"/>
      <c r="M14" s="13"/>
      <c r="N14" s="13"/>
      <c r="O14" s="13"/>
      <c r="P14" s="152"/>
      <c r="Q14" s="149"/>
      <c r="R14" s="152"/>
      <c r="S14" s="152"/>
      <c r="T14" s="62" t="str">
        <f aca="false">IF(OR($C14="",R14=""),"",IF(R14/IF($R$2="",100,$R$2)&gt;=設定!$I$28,設定!$G$8,IF(R14/IF($R$2="",100,$R$2)&lt;設定!$I$29,設定!$G$10,設定!$G$9)))</f>
        <v/>
      </c>
      <c r="U14" s="62" t="str">
        <f aca="false">IF(OR($C14="",S14=""),"",IF(S14/IF($S$2="",100,$S$2)&gt;=設定!$I$28,設定!$G$8,IF(S14/IF($S$2="",100,$S$2)&lt;設定!$I$29,設定!$G$10,設定!$G$9)))</f>
        <v/>
      </c>
    </row>
    <row r="15" customFormat="false" ht="21" hidden="false" customHeight="true" outlineLevel="0" collapsed="false">
      <c r="A15" s="91" t="str">
        <f aca="false">IF(名簿!$D15="","",名簿!$B15&amp;"")</f>
        <v/>
      </c>
      <c r="B15" s="91" t="str">
        <f aca="false">IF(名簿!$D15="","",名簿!$C15)</f>
        <v/>
      </c>
      <c r="C15" s="59" t="str">
        <f aca="false">IF(名簿!$D15="","",名簿!$D15&amp;IF(名簿!$F15="転出","（転出）",""))</f>
        <v/>
      </c>
      <c r="D15" s="149"/>
      <c r="E15" s="61" t="str">
        <f aca="false">IF(OR($C15="",名簿!$F15="転出"),"",IF($C$2="学級ごと",$A15,IF($C$2="前の単元と同じ",単元05!$E15&amp;"",$D15&amp;"")))</f>
        <v/>
      </c>
      <c r="F15" s="150"/>
      <c r="G15" s="150"/>
      <c r="H15" s="150"/>
      <c r="I15" s="151"/>
      <c r="J15" s="41" t="str">
        <f aca="false">IF($E15="","",$E15&amp;"|"&amp;COUNTIF($E$5:$E15,$E15))</f>
        <v/>
      </c>
      <c r="K15" s="40" t="str">
        <f aca="false">IF($I15="","",LEN($I15))</f>
        <v/>
      </c>
      <c r="L15" s="13"/>
      <c r="M15" s="13"/>
      <c r="N15" s="13"/>
      <c r="O15" s="13"/>
      <c r="P15" s="152"/>
      <c r="Q15" s="149"/>
      <c r="R15" s="152"/>
      <c r="S15" s="152"/>
      <c r="T15" s="62" t="str">
        <f aca="false">IF(OR($C15="",R15=""),"",IF(R15/IF($R$2="",100,$R$2)&gt;=設定!$I$28,設定!$G$8,IF(R15/IF($R$2="",100,$R$2)&lt;設定!$I$29,設定!$G$10,設定!$G$9)))</f>
        <v/>
      </c>
      <c r="U15" s="62" t="str">
        <f aca="false">IF(OR($C15="",S15=""),"",IF(S15/IF($S$2="",100,$S$2)&gt;=設定!$I$28,設定!$G$8,IF(S15/IF($S$2="",100,$S$2)&lt;設定!$I$29,設定!$G$10,設定!$G$9)))</f>
        <v/>
      </c>
    </row>
    <row r="16" customFormat="false" ht="21" hidden="false" customHeight="true" outlineLevel="0" collapsed="false">
      <c r="A16" s="91" t="str">
        <f aca="false">IF(名簿!$D16="","",名簿!$B16&amp;"")</f>
        <v/>
      </c>
      <c r="B16" s="91" t="str">
        <f aca="false">IF(名簿!$D16="","",名簿!$C16)</f>
        <v/>
      </c>
      <c r="C16" s="59" t="str">
        <f aca="false">IF(名簿!$D16="","",名簿!$D16&amp;IF(名簿!$F16="転出","（転出）",""))</f>
        <v/>
      </c>
      <c r="D16" s="149"/>
      <c r="E16" s="61" t="str">
        <f aca="false">IF(OR($C16="",名簿!$F16="転出"),"",IF($C$2="学級ごと",$A16,IF($C$2="前の単元と同じ",単元05!$E16&amp;"",$D16&amp;"")))</f>
        <v/>
      </c>
      <c r="F16" s="150"/>
      <c r="G16" s="150"/>
      <c r="H16" s="150"/>
      <c r="I16" s="151"/>
      <c r="J16" s="41" t="str">
        <f aca="false">IF($E16="","",$E16&amp;"|"&amp;COUNTIF($E$5:$E16,$E16))</f>
        <v/>
      </c>
      <c r="K16" s="40" t="str">
        <f aca="false">IF($I16="","",LEN($I16))</f>
        <v/>
      </c>
      <c r="L16" s="13"/>
      <c r="M16" s="13"/>
      <c r="N16" s="13"/>
      <c r="O16" s="13"/>
      <c r="P16" s="152"/>
      <c r="Q16" s="149"/>
      <c r="R16" s="152"/>
      <c r="S16" s="152"/>
      <c r="T16" s="62" t="str">
        <f aca="false">IF(OR($C16="",R16=""),"",IF(R16/IF($R$2="",100,$R$2)&gt;=設定!$I$28,設定!$G$8,IF(R16/IF($R$2="",100,$R$2)&lt;設定!$I$29,設定!$G$10,設定!$G$9)))</f>
        <v/>
      </c>
      <c r="U16" s="62" t="str">
        <f aca="false">IF(OR($C16="",S16=""),"",IF(S16/IF($S$2="",100,$S$2)&gt;=設定!$I$28,設定!$G$8,IF(S16/IF($S$2="",100,$S$2)&lt;設定!$I$29,設定!$G$10,設定!$G$9)))</f>
        <v/>
      </c>
    </row>
    <row r="17" customFormat="false" ht="21" hidden="false" customHeight="true" outlineLevel="0" collapsed="false">
      <c r="A17" s="91" t="str">
        <f aca="false">IF(名簿!$D17="","",名簿!$B17&amp;"")</f>
        <v/>
      </c>
      <c r="B17" s="91" t="str">
        <f aca="false">IF(名簿!$D17="","",名簿!$C17)</f>
        <v/>
      </c>
      <c r="C17" s="59" t="str">
        <f aca="false">IF(名簿!$D17="","",名簿!$D17&amp;IF(名簿!$F17="転出","（転出）",""))</f>
        <v/>
      </c>
      <c r="D17" s="149"/>
      <c r="E17" s="61" t="str">
        <f aca="false">IF(OR($C17="",名簿!$F17="転出"),"",IF($C$2="学級ごと",$A17,IF($C$2="前の単元と同じ",単元05!$E17&amp;"",$D17&amp;"")))</f>
        <v/>
      </c>
      <c r="F17" s="150"/>
      <c r="G17" s="150"/>
      <c r="H17" s="150"/>
      <c r="I17" s="151"/>
      <c r="J17" s="41" t="str">
        <f aca="false">IF($E17="","",$E17&amp;"|"&amp;COUNTIF($E$5:$E17,$E17))</f>
        <v/>
      </c>
      <c r="K17" s="40" t="str">
        <f aca="false">IF($I17="","",LEN($I17))</f>
        <v/>
      </c>
      <c r="L17" s="13"/>
      <c r="M17" s="13"/>
      <c r="N17" s="13"/>
      <c r="O17" s="13"/>
      <c r="P17" s="152"/>
      <c r="Q17" s="149"/>
      <c r="R17" s="152"/>
      <c r="S17" s="152"/>
      <c r="T17" s="62" t="str">
        <f aca="false">IF(OR($C17="",R17=""),"",IF(R17/IF($R$2="",100,$R$2)&gt;=設定!$I$28,設定!$G$8,IF(R17/IF($R$2="",100,$R$2)&lt;設定!$I$29,設定!$G$10,設定!$G$9)))</f>
        <v/>
      </c>
      <c r="U17" s="62" t="str">
        <f aca="false">IF(OR($C17="",S17=""),"",IF(S17/IF($S$2="",100,$S$2)&gt;=設定!$I$28,設定!$G$8,IF(S17/IF($S$2="",100,$S$2)&lt;設定!$I$29,設定!$G$10,設定!$G$9)))</f>
        <v/>
      </c>
    </row>
    <row r="18" customFormat="false" ht="21" hidden="false" customHeight="true" outlineLevel="0" collapsed="false">
      <c r="A18" s="91" t="str">
        <f aca="false">IF(名簿!$D18="","",名簿!$B18&amp;"")</f>
        <v/>
      </c>
      <c r="B18" s="91" t="str">
        <f aca="false">IF(名簿!$D18="","",名簿!$C18)</f>
        <v/>
      </c>
      <c r="C18" s="59" t="str">
        <f aca="false">IF(名簿!$D18="","",名簿!$D18&amp;IF(名簿!$F18="転出","（転出）",""))</f>
        <v/>
      </c>
      <c r="D18" s="149"/>
      <c r="E18" s="61" t="str">
        <f aca="false">IF(OR($C18="",名簿!$F18="転出"),"",IF($C$2="学級ごと",$A18,IF($C$2="前の単元と同じ",単元05!$E18&amp;"",$D18&amp;"")))</f>
        <v/>
      </c>
      <c r="F18" s="150"/>
      <c r="G18" s="150"/>
      <c r="H18" s="150"/>
      <c r="I18" s="151"/>
      <c r="J18" s="41" t="str">
        <f aca="false">IF($E18="","",$E18&amp;"|"&amp;COUNTIF($E$5:$E18,$E18))</f>
        <v/>
      </c>
      <c r="K18" s="40" t="str">
        <f aca="false">IF($I18="","",LEN($I18))</f>
        <v/>
      </c>
      <c r="L18" s="13"/>
      <c r="M18" s="13"/>
      <c r="N18" s="13"/>
      <c r="O18" s="13"/>
      <c r="P18" s="152"/>
      <c r="Q18" s="149"/>
      <c r="R18" s="152"/>
      <c r="S18" s="152"/>
      <c r="T18" s="62" t="str">
        <f aca="false">IF(OR($C18="",R18=""),"",IF(R18/IF($R$2="",100,$R$2)&gt;=設定!$I$28,設定!$G$8,IF(R18/IF($R$2="",100,$R$2)&lt;設定!$I$29,設定!$G$10,設定!$G$9)))</f>
        <v/>
      </c>
      <c r="U18" s="62" t="str">
        <f aca="false">IF(OR($C18="",S18=""),"",IF(S18/IF($S$2="",100,$S$2)&gt;=設定!$I$28,設定!$G$8,IF(S18/IF($S$2="",100,$S$2)&lt;設定!$I$29,設定!$G$10,設定!$G$9)))</f>
        <v/>
      </c>
    </row>
    <row r="19" customFormat="false" ht="21" hidden="false" customHeight="true" outlineLevel="0" collapsed="false">
      <c r="A19" s="91" t="str">
        <f aca="false">IF(名簿!$D19="","",名簿!$B19&amp;"")</f>
        <v/>
      </c>
      <c r="B19" s="91" t="str">
        <f aca="false">IF(名簿!$D19="","",名簿!$C19)</f>
        <v/>
      </c>
      <c r="C19" s="59" t="str">
        <f aca="false">IF(名簿!$D19="","",名簿!$D19&amp;IF(名簿!$F19="転出","（転出）",""))</f>
        <v/>
      </c>
      <c r="D19" s="149"/>
      <c r="E19" s="61" t="str">
        <f aca="false">IF(OR($C19="",名簿!$F19="転出"),"",IF($C$2="学級ごと",$A19,IF($C$2="前の単元と同じ",単元05!$E19&amp;"",$D19&amp;"")))</f>
        <v/>
      </c>
      <c r="F19" s="150"/>
      <c r="G19" s="150"/>
      <c r="H19" s="150"/>
      <c r="I19" s="151"/>
      <c r="J19" s="41" t="str">
        <f aca="false">IF($E19="","",$E19&amp;"|"&amp;COUNTIF($E$5:$E19,$E19))</f>
        <v/>
      </c>
      <c r="K19" s="40" t="str">
        <f aca="false">IF($I19="","",LEN($I19))</f>
        <v/>
      </c>
      <c r="L19" s="13"/>
      <c r="M19" s="13"/>
      <c r="N19" s="13"/>
      <c r="O19" s="13"/>
      <c r="P19" s="152"/>
      <c r="Q19" s="149"/>
      <c r="R19" s="152"/>
      <c r="S19" s="152"/>
      <c r="T19" s="62" t="str">
        <f aca="false">IF(OR($C19="",R19=""),"",IF(R19/IF($R$2="",100,$R$2)&gt;=設定!$I$28,設定!$G$8,IF(R19/IF($R$2="",100,$R$2)&lt;設定!$I$29,設定!$G$10,設定!$G$9)))</f>
        <v/>
      </c>
      <c r="U19" s="62" t="str">
        <f aca="false">IF(OR($C19="",S19=""),"",IF(S19/IF($S$2="",100,$S$2)&gt;=設定!$I$28,設定!$G$8,IF(S19/IF($S$2="",100,$S$2)&lt;設定!$I$29,設定!$G$10,設定!$G$9)))</f>
        <v/>
      </c>
    </row>
    <row r="20" customFormat="false" ht="21" hidden="false" customHeight="true" outlineLevel="0" collapsed="false">
      <c r="A20" s="91" t="str">
        <f aca="false">IF(名簿!$D20="","",名簿!$B20&amp;"")</f>
        <v/>
      </c>
      <c r="B20" s="91" t="str">
        <f aca="false">IF(名簿!$D20="","",名簿!$C20)</f>
        <v/>
      </c>
      <c r="C20" s="59" t="str">
        <f aca="false">IF(名簿!$D20="","",名簿!$D20&amp;IF(名簿!$F20="転出","（転出）",""))</f>
        <v/>
      </c>
      <c r="D20" s="149"/>
      <c r="E20" s="61" t="str">
        <f aca="false">IF(OR($C20="",名簿!$F20="転出"),"",IF($C$2="学級ごと",$A20,IF($C$2="前の単元と同じ",単元05!$E20&amp;"",$D20&amp;"")))</f>
        <v/>
      </c>
      <c r="F20" s="150"/>
      <c r="G20" s="150"/>
      <c r="H20" s="150"/>
      <c r="I20" s="151"/>
      <c r="J20" s="41" t="str">
        <f aca="false">IF($E20="","",$E20&amp;"|"&amp;COUNTIF($E$5:$E20,$E20))</f>
        <v/>
      </c>
      <c r="K20" s="40" t="str">
        <f aca="false">IF($I20="","",LEN($I20))</f>
        <v/>
      </c>
      <c r="L20" s="13"/>
      <c r="M20" s="13"/>
      <c r="N20" s="13"/>
      <c r="O20" s="13"/>
      <c r="P20" s="152"/>
      <c r="Q20" s="149"/>
      <c r="R20" s="152"/>
      <c r="S20" s="152"/>
      <c r="T20" s="62" t="str">
        <f aca="false">IF(OR($C20="",R20=""),"",IF(R20/IF($R$2="",100,$R$2)&gt;=設定!$I$28,設定!$G$8,IF(R20/IF($R$2="",100,$R$2)&lt;設定!$I$29,設定!$G$10,設定!$G$9)))</f>
        <v/>
      </c>
      <c r="U20" s="62" t="str">
        <f aca="false">IF(OR($C20="",S20=""),"",IF(S20/IF($S$2="",100,$S$2)&gt;=設定!$I$28,設定!$G$8,IF(S20/IF($S$2="",100,$S$2)&lt;設定!$I$29,設定!$G$10,設定!$G$9)))</f>
        <v/>
      </c>
    </row>
    <row r="21" customFormat="false" ht="21" hidden="false" customHeight="true" outlineLevel="0" collapsed="false">
      <c r="A21" s="91" t="str">
        <f aca="false">IF(名簿!$D21="","",名簿!$B21&amp;"")</f>
        <v/>
      </c>
      <c r="B21" s="91" t="str">
        <f aca="false">IF(名簿!$D21="","",名簿!$C21)</f>
        <v/>
      </c>
      <c r="C21" s="59" t="str">
        <f aca="false">IF(名簿!$D21="","",名簿!$D21&amp;IF(名簿!$F21="転出","（転出）",""))</f>
        <v/>
      </c>
      <c r="D21" s="149"/>
      <c r="E21" s="61" t="str">
        <f aca="false">IF(OR($C21="",名簿!$F21="転出"),"",IF($C$2="学級ごと",$A21,IF($C$2="前の単元と同じ",単元05!$E21&amp;"",$D21&amp;"")))</f>
        <v/>
      </c>
      <c r="F21" s="150"/>
      <c r="G21" s="150"/>
      <c r="H21" s="150"/>
      <c r="I21" s="151"/>
      <c r="J21" s="41" t="str">
        <f aca="false">IF($E21="","",$E21&amp;"|"&amp;COUNTIF($E$5:$E21,$E21))</f>
        <v/>
      </c>
      <c r="K21" s="40" t="str">
        <f aca="false">IF($I21="","",LEN($I21))</f>
        <v/>
      </c>
      <c r="L21" s="13"/>
      <c r="M21" s="13"/>
      <c r="N21" s="13"/>
      <c r="O21" s="13"/>
      <c r="P21" s="152"/>
      <c r="Q21" s="149"/>
      <c r="R21" s="152"/>
      <c r="S21" s="152"/>
      <c r="T21" s="62" t="str">
        <f aca="false">IF(OR($C21="",R21=""),"",IF(R21/IF($R$2="",100,$R$2)&gt;=設定!$I$28,設定!$G$8,IF(R21/IF($R$2="",100,$R$2)&lt;設定!$I$29,設定!$G$10,設定!$G$9)))</f>
        <v/>
      </c>
      <c r="U21" s="62" t="str">
        <f aca="false">IF(OR($C21="",S21=""),"",IF(S21/IF($S$2="",100,$S$2)&gt;=設定!$I$28,設定!$G$8,IF(S21/IF($S$2="",100,$S$2)&lt;設定!$I$29,設定!$G$10,設定!$G$9)))</f>
        <v/>
      </c>
    </row>
    <row r="22" customFormat="false" ht="21" hidden="false" customHeight="true" outlineLevel="0" collapsed="false">
      <c r="A22" s="91" t="str">
        <f aca="false">IF(名簿!$D22="","",名簿!$B22&amp;"")</f>
        <v/>
      </c>
      <c r="B22" s="91" t="str">
        <f aca="false">IF(名簿!$D22="","",名簿!$C22)</f>
        <v/>
      </c>
      <c r="C22" s="59" t="str">
        <f aca="false">IF(名簿!$D22="","",名簿!$D22&amp;IF(名簿!$F22="転出","（転出）",""))</f>
        <v/>
      </c>
      <c r="D22" s="149"/>
      <c r="E22" s="61" t="str">
        <f aca="false">IF(OR($C22="",名簿!$F22="転出"),"",IF($C$2="学級ごと",$A22,IF($C$2="前の単元と同じ",単元05!$E22&amp;"",$D22&amp;"")))</f>
        <v/>
      </c>
      <c r="F22" s="150"/>
      <c r="G22" s="150"/>
      <c r="H22" s="150"/>
      <c r="I22" s="151"/>
      <c r="J22" s="41" t="str">
        <f aca="false">IF($E22="","",$E22&amp;"|"&amp;COUNTIF($E$5:$E22,$E22))</f>
        <v/>
      </c>
      <c r="K22" s="40" t="str">
        <f aca="false">IF($I22="","",LEN($I22))</f>
        <v/>
      </c>
      <c r="L22" s="13"/>
      <c r="M22" s="13"/>
      <c r="N22" s="13"/>
      <c r="O22" s="13"/>
      <c r="P22" s="152"/>
      <c r="Q22" s="149"/>
      <c r="R22" s="152"/>
      <c r="S22" s="152"/>
      <c r="T22" s="62" t="str">
        <f aca="false">IF(OR($C22="",R22=""),"",IF(R22/IF($R$2="",100,$R$2)&gt;=設定!$I$28,設定!$G$8,IF(R22/IF($R$2="",100,$R$2)&lt;設定!$I$29,設定!$G$10,設定!$G$9)))</f>
        <v/>
      </c>
      <c r="U22" s="62" t="str">
        <f aca="false">IF(OR($C22="",S22=""),"",IF(S22/IF($S$2="",100,$S$2)&gt;=設定!$I$28,設定!$G$8,IF(S22/IF($S$2="",100,$S$2)&lt;設定!$I$29,設定!$G$10,設定!$G$9)))</f>
        <v/>
      </c>
    </row>
    <row r="23" customFormat="false" ht="21" hidden="false" customHeight="true" outlineLevel="0" collapsed="false">
      <c r="A23" s="91" t="str">
        <f aca="false">IF(名簿!$D23="","",名簿!$B23&amp;"")</f>
        <v/>
      </c>
      <c r="B23" s="91" t="str">
        <f aca="false">IF(名簿!$D23="","",名簿!$C23)</f>
        <v/>
      </c>
      <c r="C23" s="59" t="str">
        <f aca="false">IF(名簿!$D23="","",名簿!$D23&amp;IF(名簿!$F23="転出","（転出）",""))</f>
        <v/>
      </c>
      <c r="D23" s="149"/>
      <c r="E23" s="61" t="str">
        <f aca="false">IF(OR($C23="",名簿!$F23="転出"),"",IF($C$2="学級ごと",$A23,IF($C$2="前の単元と同じ",単元05!$E23&amp;"",$D23&amp;"")))</f>
        <v/>
      </c>
      <c r="F23" s="150"/>
      <c r="G23" s="150"/>
      <c r="H23" s="150"/>
      <c r="I23" s="151"/>
      <c r="J23" s="41" t="str">
        <f aca="false">IF($E23="","",$E23&amp;"|"&amp;COUNTIF($E$5:$E23,$E23))</f>
        <v/>
      </c>
      <c r="K23" s="40" t="str">
        <f aca="false">IF($I23="","",LEN($I23))</f>
        <v/>
      </c>
      <c r="L23" s="13"/>
      <c r="M23" s="13"/>
      <c r="N23" s="13"/>
      <c r="O23" s="13"/>
      <c r="P23" s="152"/>
      <c r="Q23" s="149"/>
      <c r="R23" s="152"/>
      <c r="S23" s="152"/>
      <c r="T23" s="62" t="str">
        <f aca="false">IF(OR($C23="",R23=""),"",IF(R23/IF($R$2="",100,$R$2)&gt;=設定!$I$28,設定!$G$8,IF(R23/IF($R$2="",100,$R$2)&lt;設定!$I$29,設定!$G$10,設定!$G$9)))</f>
        <v/>
      </c>
      <c r="U23" s="62" t="str">
        <f aca="false">IF(OR($C23="",S23=""),"",IF(S23/IF($S$2="",100,$S$2)&gt;=設定!$I$28,設定!$G$8,IF(S23/IF($S$2="",100,$S$2)&lt;設定!$I$29,設定!$G$10,設定!$G$9)))</f>
        <v/>
      </c>
    </row>
    <row r="24" customFormat="false" ht="21" hidden="false" customHeight="true" outlineLevel="0" collapsed="false">
      <c r="A24" s="91" t="str">
        <f aca="false">IF(名簿!$D24="","",名簿!$B24&amp;"")</f>
        <v/>
      </c>
      <c r="B24" s="91" t="str">
        <f aca="false">IF(名簿!$D24="","",名簿!$C24)</f>
        <v/>
      </c>
      <c r="C24" s="59" t="str">
        <f aca="false">IF(名簿!$D24="","",名簿!$D24&amp;IF(名簿!$F24="転出","（転出）",""))</f>
        <v/>
      </c>
      <c r="D24" s="149"/>
      <c r="E24" s="61" t="str">
        <f aca="false">IF(OR($C24="",名簿!$F24="転出"),"",IF($C$2="学級ごと",$A24,IF($C$2="前の単元と同じ",単元05!$E24&amp;"",$D24&amp;"")))</f>
        <v/>
      </c>
      <c r="F24" s="150"/>
      <c r="G24" s="150"/>
      <c r="H24" s="150"/>
      <c r="I24" s="151"/>
      <c r="J24" s="41" t="str">
        <f aca="false">IF($E24="","",$E24&amp;"|"&amp;COUNTIF($E$5:$E24,$E24))</f>
        <v/>
      </c>
      <c r="K24" s="40" t="str">
        <f aca="false">IF($I24="","",LEN($I24))</f>
        <v/>
      </c>
      <c r="L24" s="13"/>
      <c r="M24" s="13"/>
      <c r="N24" s="13"/>
      <c r="O24" s="13"/>
      <c r="P24" s="152"/>
      <c r="Q24" s="149"/>
      <c r="R24" s="152"/>
      <c r="S24" s="152"/>
      <c r="T24" s="62" t="str">
        <f aca="false">IF(OR($C24="",R24=""),"",IF(R24/IF($R$2="",100,$R$2)&gt;=設定!$I$28,設定!$G$8,IF(R24/IF($R$2="",100,$R$2)&lt;設定!$I$29,設定!$G$10,設定!$G$9)))</f>
        <v/>
      </c>
      <c r="U24" s="62" t="str">
        <f aca="false">IF(OR($C24="",S24=""),"",IF(S24/IF($S$2="",100,$S$2)&gt;=設定!$I$28,設定!$G$8,IF(S24/IF($S$2="",100,$S$2)&lt;設定!$I$29,設定!$G$10,設定!$G$9)))</f>
        <v/>
      </c>
    </row>
    <row r="25" customFormat="false" ht="21" hidden="false" customHeight="true" outlineLevel="0" collapsed="false">
      <c r="A25" s="91" t="str">
        <f aca="false">IF(名簿!$D25="","",名簿!$B25&amp;"")</f>
        <v/>
      </c>
      <c r="B25" s="91" t="str">
        <f aca="false">IF(名簿!$D25="","",名簿!$C25)</f>
        <v/>
      </c>
      <c r="C25" s="59" t="str">
        <f aca="false">IF(名簿!$D25="","",名簿!$D25&amp;IF(名簿!$F25="転出","（転出）",""))</f>
        <v/>
      </c>
      <c r="D25" s="149"/>
      <c r="E25" s="61" t="str">
        <f aca="false">IF(OR($C25="",名簿!$F25="転出"),"",IF($C$2="学級ごと",$A25,IF($C$2="前の単元と同じ",単元05!$E25&amp;"",$D25&amp;"")))</f>
        <v/>
      </c>
      <c r="F25" s="150"/>
      <c r="G25" s="150"/>
      <c r="H25" s="150"/>
      <c r="I25" s="151"/>
      <c r="J25" s="41" t="str">
        <f aca="false">IF($E25="","",$E25&amp;"|"&amp;COUNTIF($E$5:$E25,$E25))</f>
        <v/>
      </c>
      <c r="K25" s="40" t="str">
        <f aca="false">IF($I25="","",LEN($I25))</f>
        <v/>
      </c>
      <c r="L25" s="13"/>
      <c r="M25" s="13"/>
      <c r="N25" s="13"/>
      <c r="O25" s="13"/>
      <c r="P25" s="152"/>
      <c r="Q25" s="149"/>
      <c r="R25" s="152"/>
      <c r="S25" s="152"/>
      <c r="T25" s="62" t="str">
        <f aca="false">IF(OR($C25="",R25=""),"",IF(R25/IF($R$2="",100,$R$2)&gt;=設定!$I$28,設定!$G$8,IF(R25/IF($R$2="",100,$R$2)&lt;設定!$I$29,設定!$G$10,設定!$G$9)))</f>
        <v/>
      </c>
      <c r="U25" s="62" t="str">
        <f aca="false">IF(OR($C25="",S25=""),"",IF(S25/IF($S$2="",100,$S$2)&gt;=設定!$I$28,設定!$G$8,IF(S25/IF($S$2="",100,$S$2)&lt;設定!$I$29,設定!$G$10,設定!$G$9)))</f>
        <v/>
      </c>
    </row>
    <row r="26" customFormat="false" ht="21" hidden="false" customHeight="true" outlineLevel="0" collapsed="false">
      <c r="A26" s="91" t="str">
        <f aca="false">IF(名簿!$D26="","",名簿!$B26&amp;"")</f>
        <v/>
      </c>
      <c r="B26" s="91" t="str">
        <f aca="false">IF(名簿!$D26="","",名簿!$C26)</f>
        <v/>
      </c>
      <c r="C26" s="59" t="str">
        <f aca="false">IF(名簿!$D26="","",名簿!$D26&amp;IF(名簿!$F26="転出","（転出）",""))</f>
        <v/>
      </c>
      <c r="D26" s="149"/>
      <c r="E26" s="61" t="str">
        <f aca="false">IF(OR($C26="",名簿!$F26="転出"),"",IF($C$2="学級ごと",$A26,IF($C$2="前の単元と同じ",単元05!$E26&amp;"",$D26&amp;"")))</f>
        <v/>
      </c>
      <c r="F26" s="150"/>
      <c r="G26" s="150"/>
      <c r="H26" s="150"/>
      <c r="I26" s="151"/>
      <c r="J26" s="41" t="str">
        <f aca="false">IF($E26="","",$E26&amp;"|"&amp;COUNTIF($E$5:$E26,$E26))</f>
        <v/>
      </c>
      <c r="K26" s="40" t="str">
        <f aca="false">IF($I26="","",LEN($I26))</f>
        <v/>
      </c>
      <c r="L26" s="13"/>
      <c r="M26" s="13"/>
      <c r="N26" s="13"/>
      <c r="O26" s="13"/>
      <c r="P26" s="152"/>
      <c r="Q26" s="149"/>
      <c r="R26" s="152"/>
      <c r="S26" s="152"/>
      <c r="T26" s="62" t="str">
        <f aca="false">IF(OR($C26="",R26=""),"",IF(R26/IF($R$2="",100,$R$2)&gt;=設定!$I$28,設定!$G$8,IF(R26/IF($R$2="",100,$R$2)&lt;設定!$I$29,設定!$G$10,設定!$G$9)))</f>
        <v/>
      </c>
      <c r="U26" s="62" t="str">
        <f aca="false">IF(OR($C26="",S26=""),"",IF(S26/IF($S$2="",100,$S$2)&gt;=設定!$I$28,設定!$G$8,IF(S26/IF($S$2="",100,$S$2)&lt;設定!$I$29,設定!$G$10,設定!$G$9)))</f>
        <v/>
      </c>
    </row>
    <row r="27" customFormat="false" ht="21" hidden="false" customHeight="true" outlineLevel="0" collapsed="false">
      <c r="A27" s="91" t="str">
        <f aca="false">IF(名簿!$D27="","",名簿!$B27&amp;"")</f>
        <v/>
      </c>
      <c r="B27" s="91" t="str">
        <f aca="false">IF(名簿!$D27="","",名簿!$C27)</f>
        <v/>
      </c>
      <c r="C27" s="59" t="str">
        <f aca="false">IF(名簿!$D27="","",名簿!$D27&amp;IF(名簿!$F27="転出","（転出）",""))</f>
        <v/>
      </c>
      <c r="D27" s="149"/>
      <c r="E27" s="61" t="str">
        <f aca="false">IF(OR($C27="",名簿!$F27="転出"),"",IF($C$2="学級ごと",$A27,IF($C$2="前の単元と同じ",単元05!$E27&amp;"",$D27&amp;"")))</f>
        <v/>
      </c>
      <c r="F27" s="150"/>
      <c r="G27" s="150"/>
      <c r="H27" s="150"/>
      <c r="I27" s="151"/>
      <c r="J27" s="41" t="str">
        <f aca="false">IF($E27="","",$E27&amp;"|"&amp;COUNTIF($E$5:$E27,$E27))</f>
        <v/>
      </c>
      <c r="K27" s="40" t="str">
        <f aca="false">IF($I27="","",LEN($I27))</f>
        <v/>
      </c>
      <c r="L27" s="13"/>
      <c r="M27" s="13"/>
      <c r="N27" s="13"/>
      <c r="O27" s="13"/>
      <c r="P27" s="152"/>
      <c r="Q27" s="149"/>
      <c r="R27" s="152"/>
      <c r="S27" s="152"/>
      <c r="T27" s="62" t="str">
        <f aca="false">IF(OR($C27="",R27=""),"",IF(R27/IF($R$2="",100,$R$2)&gt;=設定!$I$28,設定!$G$8,IF(R27/IF($R$2="",100,$R$2)&lt;設定!$I$29,設定!$G$10,設定!$G$9)))</f>
        <v/>
      </c>
      <c r="U27" s="62" t="str">
        <f aca="false">IF(OR($C27="",S27=""),"",IF(S27/IF($S$2="",100,$S$2)&gt;=設定!$I$28,設定!$G$8,IF(S27/IF($S$2="",100,$S$2)&lt;設定!$I$29,設定!$G$10,設定!$G$9)))</f>
        <v/>
      </c>
    </row>
    <row r="28" customFormat="false" ht="21" hidden="false" customHeight="true" outlineLevel="0" collapsed="false">
      <c r="A28" s="91" t="str">
        <f aca="false">IF(名簿!$D28="","",名簿!$B28&amp;"")</f>
        <v/>
      </c>
      <c r="B28" s="91" t="str">
        <f aca="false">IF(名簿!$D28="","",名簿!$C28)</f>
        <v/>
      </c>
      <c r="C28" s="59" t="str">
        <f aca="false">IF(名簿!$D28="","",名簿!$D28&amp;IF(名簿!$F28="転出","（転出）",""))</f>
        <v/>
      </c>
      <c r="D28" s="149"/>
      <c r="E28" s="61" t="str">
        <f aca="false">IF(OR($C28="",名簿!$F28="転出"),"",IF($C$2="学級ごと",$A28,IF($C$2="前の単元と同じ",単元05!$E28&amp;"",$D28&amp;"")))</f>
        <v/>
      </c>
      <c r="F28" s="150"/>
      <c r="G28" s="150"/>
      <c r="H28" s="150"/>
      <c r="I28" s="151"/>
      <c r="J28" s="41" t="str">
        <f aca="false">IF($E28="","",$E28&amp;"|"&amp;COUNTIF($E$5:$E28,$E28))</f>
        <v/>
      </c>
      <c r="K28" s="40" t="str">
        <f aca="false">IF($I28="","",LEN($I28))</f>
        <v/>
      </c>
      <c r="L28" s="13"/>
      <c r="M28" s="13"/>
      <c r="N28" s="13"/>
      <c r="O28" s="13"/>
      <c r="P28" s="152"/>
      <c r="Q28" s="149"/>
      <c r="R28" s="152"/>
      <c r="S28" s="152"/>
      <c r="T28" s="62" t="str">
        <f aca="false">IF(OR($C28="",R28=""),"",IF(R28/IF($R$2="",100,$R$2)&gt;=設定!$I$28,設定!$G$8,IF(R28/IF($R$2="",100,$R$2)&lt;設定!$I$29,設定!$G$10,設定!$G$9)))</f>
        <v/>
      </c>
      <c r="U28" s="62" t="str">
        <f aca="false">IF(OR($C28="",S28=""),"",IF(S28/IF($S$2="",100,$S$2)&gt;=設定!$I$28,設定!$G$8,IF(S28/IF($S$2="",100,$S$2)&lt;設定!$I$29,設定!$G$10,設定!$G$9)))</f>
        <v/>
      </c>
    </row>
    <row r="29" customFormat="false" ht="21" hidden="false" customHeight="true" outlineLevel="0" collapsed="false">
      <c r="A29" s="91" t="str">
        <f aca="false">IF(名簿!$D29="","",名簿!$B29&amp;"")</f>
        <v/>
      </c>
      <c r="B29" s="91" t="str">
        <f aca="false">IF(名簿!$D29="","",名簿!$C29)</f>
        <v/>
      </c>
      <c r="C29" s="59" t="str">
        <f aca="false">IF(名簿!$D29="","",名簿!$D29&amp;IF(名簿!$F29="転出","（転出）",""))</f>
        <v/>
      </c>
      <c r="D29" s="149"/>
      <c r="E29" s="61" t="str">
        <f aca="false">IF(OR($C29="",名簿!$F29="転出"),"",IF($C$2="学級ごと",$A29,IF($C$2="前の単元と同じ",単元05!$E29&amp;"",$D29&amp;"")))</f>
        <v/>
      </c>
      <c r="F29" s="150"/>
      <c r="G29" s="150"/>
      <c r="H29" s="150"/>
      <c r="I29" s="151"/>
      <c r="J29" s="41" t="str">
        <f aca="false">IF($E29="","",$E29&amp;"|"&amp;COUNTIF($E$5:$E29,$E29))</f>
        <v/>
      </c>
      <c r="K29" s="40" t="str">
        <f aca="false">IF($I29="","",LEN($I29))</f>
        <v/>
      </c>
      <c r="L29" s="13"/>
      <c r="M29" s="13"/>
      <c r="N29" s="13"/>
      <c r="O29" s="13"/>
      <c r="P29" s="152"/>
      <c r="Q29" s="149"/>
      <c r="R29" s="152"/>
      <c r="S29" s="152"/>
      <c r="T29" s="62" t="str">
        <f aca="false">IF(OR($C29="",R29=""),"",IF(R29/IF($R$2="",100,$R$2)&gt;=設定!$I$28,設定!$G$8,IF(R29/IF($R$2="",100,$R$2)&lt;設定!$I$29,設定!$G$10,設定!$G$9)))</f>
        <v/>
      </c>
      <c r="U29" s="62" t="str">
        <f aca="false">IF(OR($C29="",S29=""),"",IF(S29/IF($S$2="",100,$S$2)&gt;=設定!$I$28,設定!$G$8,IF(S29/IF($S$2="",100,$S$2)&lt;設定!$I$29,設定!$G$10,設定!$G$9)))</f>
        <v/>
      </c>
    </row>
    <row r="30" customFormat="false" ht="21" hidden="false" customHeight="true" outlineLevel="0" collapsed="false">
      <c r="A30" s="91" t="str">
        <f aca="false">IF(名簿!$D30="","",名簿!$B30&amp;"")</f>
        <v/>
      </c>
      <c r="B30" s="91" t="str">
        <f aca="false">IF(名簿!$D30="","",名簿!$C30)</f>
        <v/>
      </c>
      <c r="C30" s="59" t="str">
        <f aca="false">IF(名簿!$D30="","",名簿!$D30&amp;IF(名簿!$F30="転出","（転出）",""))</f>
        <v/>
      </c>
      <c r="D30" s="149"/>
      <c r="E30" s="61" t="str">
        <f aca="false">IF(OR($C30="",名簿!$F30="転出"),"",IF($C$2="学級ごと",$A30,IF($C$2="前の単元と同じ",単元05!$E30&amp;"",$D30&amp;"")))</f>
        <v/>
      </c>
      <c r="F30" s="150"/>
      <c r="G30" s="150"/>
      <c r="H30" s="150"/>
      <c r="I30" s="151"/>
      <c r="J30" s="41" t="str">
        <f aca="false">IF($E30="","",$E30&amp;"|"&amp;COUNTIF($E$5:$E30,$E30))</f>
        <v/>
      </c>
      <c r="K30" s="40" t="str">
        <f aca="false">IF($I30="","",LEN($I30))</f>
        <v/>
      </c>
      <c r="L30" s="13"/>
      <c r="M30" s="13"/>
      <c r="N30" s="13"/>
      <c r="O30" s="13"/>
      <c r="P30" s="152"/>
      <c r="Q30" s="149"/>
      <c r="R30" s="152"/>
      <c r="S30" s="152"/>
      <c r="T30" s="62" t="str">
        <f aca="false">IF(OR($C30="",R30=""),"",IF(R30/IF($R$2="",100,$R$2)&gt;=設定!$I$28,設定!$G$8,IF(R30/IF($R$2="",100,$R$2)&lt;設定!$I$29,設定!$G$10,設定!$G$9)))</f>
        <v/>
      </c>
      <c r="U30" s="62" t="str">
        <f aca="false">IF(OR($C30="",S30=""),"",IF(S30/IF($S$2="",100,$S$2)&gt;=設定!$I$28,設定!$G$8,IF(S30/IF($S$2="",100,$S$2)&lt;設定!$I$29,設定!$G$10,設定!$G$9)))</f>
        <v/>
      </c>
    </row>
    <row r="31" customFormat="false" ht="21" hidden="false" customHeight="true" outlineLevel="0" collapsed="false">
      <c r="A31" s="91" t="str">
        <f aca="false">IF(名簿!$D31="","",名簿!$B31&amp;"")</f>
        <v/>
      </c>
      <c r="B31" s="91" t="str">
        <f aca="false">IF(名簿!$D31="","",名簿!$C31)</f>
        <v/>
      </c>
      <c r="C31" s="59" t="str">
        <f aca="false">IF(名簿!$D31="","",名簿!$D31&amp;IF(名簿!$F31="転出","（転出）",""))</f>
        <v/>
      </c>
      <c r="D31" s="149"/>
      <c r="E31" s="61" t="str">
        <f aca="false">IF(OR($C31="",名簿!$F31="転出"),"",IF($C$2="学級ごと",$A31,IF($C$2="前の単元と同じ",単元05!$E31&amp;"",$D31&amp;"")))</f>
        <v/>
      </c>
      <c r="F31" s="150"/>
      <c r="G31" s="150"/>
      <c r="H31" s="150"/>
      <c r="I31" s="151"/>
      <c r="J31" s="41" t="str">
        <f aca="false">IF($E31="","",$E31&amp;"|"&amp;COUNTIF($E$5:$E31,$E31))</f>
        <v/>
      </c>
      <c r="K31" s="40" t="str">
        <f aca="false">IF($I31="","",LEN($I31))</f>
        <v/>
      </c>
      <c r="L31" s="13"/>
      <c r="M31" s="13"/>
      <c r="N31" s="13"/>
      <c r="O31" s="13"/>
      <c r="P31" s="152"/>
      <c r="Q31" s="149"/>
      <c r="R31" s="152"/>
      <c r="S31" s="152"/>
      <c r="T31" s="62" t="str">
        <f aca="false">IF(OR($C31="",R31=""),"",IF(R31/IF($R$2="",100,$R$2)&gt;=設定!$I$28,設定!$G$8,IF(R31/IF($R$2="",100,$R$2)&lt;設定!$I$29,設定!$G$10,設定!$G$9)))</f>
        <v/>
      </c>
      <c r="U31" s="62" t="str">
        <f aca="false">IF(OR($C31="",S31=""),"",IF(S31/IF($S$2="",100,$S$2)&gt;=設定!$I$28,設定!$G$8,IF(S31/IF($S$2="",100,$S$2)&lt;設定!$I$29,設定!$G$10,設定!$G$9)))</f>
        <v/>
      </c>
    </row>
    <row r="32" customFormat="false" ht="21" hidden="false" customHeight="true" outlineLevel="0" collapsed="false">
      <c r="A32" s="91" t="str">
        <f aca="false">IF(名簿!$D32="","",名簿!$B32&amp;"")</f>
        <v/>
      </c>
      <c r="B32" s="91" t="str">
        <f aca="false">IF(名簿!$D32="","",名簿!$C32)</f>
        <v/>
      </c>
      <c r="C32" s="59" t="str">
        <f aca="false">IF(名簿!$D32="","",名簿!$D32&amp;IF(名簿!$F32="転出","（転出）",""))</f>
        <v/>
      </c>
      <c r="D32" s="149"/>
      <c r="E32" s="61" t="str">
        <f aca="false">IF(OR($C32="",名簿!$F32="転出"),"",IF($C$2="学級ごと",$A32,IF($C$2="前の単元と同じ",単元05!$E32&amp;"",$D32&amp;"")))</f>
        <v/>
      </c>
      <c r="F32" s="150"/>
      <c r="G32" s="150"/>
      <c r="H32" s="150"/>
      <c r="I32" s="151"/>
      <c r="J32" s="41" t="str">
        <f aca="false">IF($E32="","",$E32&amp;"|"&amp;COUNTIF($E$5:$E32,$E32))</f>
        <v/>
      </c>
      <c r="K32" s="40" t="str">
        <f aca="false">IF($I32="","",LEN($I32))</f>
        <v/>
      </c>
      <c r="L32" s="13"/>
      <c r="M32" s="13"/>
      <c r="N32" s="13"/>
      <c r="O32" s="13"/>
      <c r="P32" s="152"/>
      <c r="Q32" s="149"/>
      <c r="R32" s="152"/>
      <c r="S32" s="152"/>
      <c r="T32" s="62" t="str">
        <f aca="false">IF(OR($C32="",R32=""),"",IF(R32/IF($R$2="",100,$R$2)&gt;=設定!$I$28,設定!$G$8,IF(R32/IF($R$2="",100,$R$2)&lt;設定!$I$29,設定!$G$10,設定!$G$9)))</f>
        <v/>
      </c>
      <c r="U32" s="62" t="str">
        <f aca="false">IF(OR($C32="",S32=""),"",IF(S32/IF($S$2="",100,$S$2)&gt;=設定!$I$28,設定!$G$8,IF(S32/IF($S$2="",100,$S$2)&lt;設定!$I$29,設定!$G$10,設定!$G$9)))</f>
        <v/>
      </c>
    </row>
    <row r="33" customFormat="false" ht="21" hidden="false" customHeight="true" outlineLevel="0" collapsed="false">
      <c r="A33" s="91" t="str">
        <f aca="false">IF(名簿!$D33="","",名簿!$B33&amp;"")</f>
        <v/>
      </c>
      <c r="B33" s="91" t="str">
        <f aca="false">IF(名簿!$D33="","",名簿!$C33)</f>
        <v/>
      </c>
      <c r="C33" s="59" t="str">
        <f aca="false">IF(名簿!$D33="","",名簿!$D33&amp;IF(名簿!$F33="転出","（転出）",""))</f>
        <v/>
      </c>
      <c r="D33" s="149"/>
      <c r="E33" s="61" t="str">
        <f aca="false">IF(OR($C33="",名簿!$F33="転出"),"",IF($C$2="学級ごと",$A33,IF($C$2="前の単元と同じ",単元05!$E33&amp;"",$D33&amp;"")))</f>
        <v/>
      </c>
      <c r="F33" s="150"/>
      <c r="G33" s="150"/>
      <c r="H33" s="150"/>
      <c r="I33" s="151"/>
      <c r="J33" s="41" t="str">
        <f aca="false">IF($E33="","",$E33&amp;"|"&amp;COUNTIF($E$5:$E33,$E33))</f>
        <v/>
      </c>
      <c r="K33" s="40" t="str">
        <f aca="false">IF($I33="","",LEN($I33))</f>
        <v/>
      </c>
      <c r="L33" s="13"/>
      <c r="M33" s="13"/>
      <c r="N33" s="13"/>
      <c r="O33" s="13"/>
      <c r="P33" s="152"/>
      <c r="Q33" s="149"/>
      <c r="R33" s="152"/>
      <c r="S33" s="152"/>
      <c r="T33" s="62" t="str">
        <f aca="false">IF(OR($C33="",R33=""),"",IF(R33/IF($R$2="",100,$R$2)&gt;=設定!$I$28,設定!$G$8,IF(R33/IF($R$2="",100,$R$2)&lt;設定!$I$29,設定!$G$10,設定!$G$9)))</f>
        <v/>
      </c>
      <c r="U33" s="62" t="str">
        <f aca="false">IF(OR($C33="",S33=""),"",IF(S33/IF($S$2="",100,$S$2)&gt;=設定!$I$28,設定!$G$8,IF(S33/IF($S$2="",100,$S$2)&lt;設定!$I$29,設定!$G$10,設定!$G$9)))</f>
        <v/>
      </c>
    </row>
    <row r="34" customFormat="false" ht="21" hidden="false" customHeight="true" outlineLevel="0" collapsed="false">
      <c r="A34" s="91" t="str">
        <f aca="false">IF(名簿!$D34="","",名簿!$B34&amp;"")</f>
        <v/>
      </c>
      <c r="B34" s="91" t="str">
        <f aca="false">IF(名簿!$D34="","",名簿!$C34)</f>
        <v/>
      </c>
      <c r="C34" s="59" t="str">
        <f aca="false">IF(名簿!$D34="","",名簿!$D34&amp;IF(名簿!$F34="転出","（転出）",""))</f>
        <v/>
      </c>
      <c r="D34" s="149"/>
      <c r="E34" s="61" t="str">
        <f aca="false">IF(OR($C34="",名簿!$F34="転出"),"",IF($C$2="学級ごと",$A34,IF($C$2="前の単元と同じ",単元05!$E34&amp;"",$D34&amp;"")))</f>
        <v/>
      </c>
      <c r="F34" s="150"/>
      <c r="G34" s="150"/>
      <c r="H34" s="150"/>
      <c r="I34" s="151"/>
      <c r="J34" s="41" t="str">
        <f aca="false">IF($E34="","",$E34&amp;"|"&amp;COUNTIF($E$5:$E34,$E34))</f>
        <v/>
      </c>
      <c r="K34" s="40" t="str">
        <f aca="false">IF($I34="","",LEN($I34))</f>
        <v/>
      </c>
      <c r="L34" s="13"/>
      <c r="M34" s="13"/>
      <c r="N34" s="13"/>
      <c r="O34" s="13"/>
      <c r="P34" s="152"/>
      <c r="Q34" s="149"/>
      <c r="R34" s="152"/>
      <c r="S34" s="152"/>
      <c r="T34" s="62" t="str">
        <f aca="false">IF(OR($C34="",R34=""),"",IF(R34/IF($R$2="",100,$R$2)&gt;=設定!$I$28,設定!$G$8,IF(R34/IF($R$2="",100,$R$2)&lt;設定!$I$29,設定!$G$10,設定!$G$9)))</f>
        <v/>
      </c>
      <c r="U34" s="62" t="str">
        <f aca="false">IF(OR($C34="",S34=""),"",IF(S34/IF($S$2="",100,$S$2)&gt;=設定!$I$28,設定!$G$8,IF(S34/IF($S$2="",100,$S$2)&lt;設定!$I$29,設定!$G$10,設定!$G$9)))</f>
        <v/>
      </c>
    </row>
    <row r="35" customFormat="false" ht="21" hidden="false" customHeight="true" outlineLevel="0" collapsed="false">
      <c r="A35" s="91" t="str">
        <f aca="false">IF(名簿!$D35="","",名簿!$B35&amp;"")</f>
        <v/>
      </c>
      <c r="B35" s="91" t="str">
        <f aca="false">IF(名簿!$D35="","",名簿!$C35)</f>
        <v/>
      </c>
      <c r="C35" s="59" t="str">
        <f aca="false">IF(名簿!$D35="","",名簿!$D35&amp;IF(名簿!$F35="転出","（転出）",""))</f>
        <v/>
      </c>
      <c r="D35" s="149"/>
      <c r="E35" s="61" t="str">
        <f aca="false">IF(OR($C35="",名簿!$F35="転出"),"",IF($C$2="学級ごと",$A35,IF($C$2="前の単元と同じ",単元05!$E35&amp;"",$D35&amp;"")))</f>
        <v/>
      </c>
      <c r="F35" s="150"/>
      <c r="G35" s="150"/>
      <c r="H35" s="150"/>
      <c r="I35" s="151"/>
      <c r="J35" s="41" t="str">
        <f aca="false">IF($E35="","",$E35&amp;"|"&amp;COUNTIF($E$5:$E35,$E35))</f>
        <v/>
      </c>
      <c r="K35" s="40" t="str">
        <f aca="false">IF($I35="","",LEN($I35))</f>
        <v/>
      </c>
      <c r="L35" s="13"/>
      <c r="M35" s="13"/>
      <c r="N35" s="13"/>
      <c r="O35" s="13"/>
      <c r="P35" s="152"/>
      <c r="Q35" s="149"/>
      <c r="R35" s="152"/>
      <c r="S35" s="152"/>
      <c r="T35" s="62" t="str">
        <f aca="false">IF(OR($C35="",R35=""),"",IF(R35/IF($R$2="",100,$R$2)&gt;=設定!$I$28,設定!$G$8,IF(R35/IF($R$2="",100,$R$2)&lt;設定!$I$29,設定!$G$10,設定!$G$9)))</f>
        <v/>
      </c>
      <c r="U35" s="62" t="str">
        <f aca="false">IF(OR($C35="",S35=""),"",IF(S35/IF($S$2="",100,$S$2)&gt;=設定!$I$28,設定!$G$8,IF(S35/IF($S$2="",100,$S$2)&lt;設定!$I$29,設定!$G$10,設定!$G$9)))</f>
        <v/>
      </c>
    </row>
    <row r="36" customFormat="false" ht="21" hidden="false" customHeight="true" outlineLevel="0" collapsed="false">
      <c r="A36" s="91" t="str">
        <f aca="false">IF(名簿!$D36="","",名簿!$B36&amp;"")</f>
        <v/>
      </c>
      <c r="B36" s="91" t="str">
        <f aca="false">IF(名簿!$D36="","",名簿!$C36)</f>
        <v/>
      </c>
      <c r="C36" s="59" t="str">
        <f aca="false">IF(名簿!$D36="","",名簿!$D36&amp;IF(名簿!$F36="転出","（転出）",""))</f>
        <v/>
      </c>
      <c r="D36" s="149"/>
      <c r="E36" s="61" t="str">
        <f aca="false">IF(OR($C36="",名簿!$F36="転出"),"",IF($C$2="学級ごと",$A36,IF($C$2="前の単元と同じ",単元05!$E36&amp;"",$D36&amp;"")))</f>
        <v/>
      </c>
      <c r="F36" s="150"/>
      <c r="G36" s="150"/>
      <c r="H36" s="150"/>
      <c r="I36" s="151"/>
      <c r="J36" s="41" t="str">
        <f aca="false">IF($E36="","",$E36&amp;"|"&amp;COUNTIF($E$5:$E36,$E36))</f>
        <v/>
      </c>
      <c r="K36" s="40" t="str">
        <f aca="false">IF($I36="","",LEN($I36))</f>
        <v/>
      </c>
      <c r="L36" s="13"/>
      <c r="M36" s="13"/>
      <c r="N36" s="13"/>
      <c r="O36" s="13"/>
      <c r="P36" s="152"/>
      <c r="Q36" s="149"/>
      <c r="R36" s="152"/>
      <c r="S36" s="152"/>
      <c r="T36" s="62" t="str">
        <f aca="false">IF(OR($C36="",R36=""),"",IF(R36/IF($R$2="",100,$R$2)&gt;=設定!$I$28,設定!$G$8,IF(R36/IF($R$2="",100,$R$2)&lt;設定!$I$29,設定!$G$10,設定!$G$9)))</f>
        <v/>
      </c>
      <c r="U36" s="62" t="str">
        <f aca="false">IF(OR($C36="",S36=""),"",IF(S36/IF($S$2="",100,$S$2)&gt;=設定!$I$28,設定!$G$8,IF(S36/IF($S$2="",100,$S$2)&lt;設定!$I$29,設定!$G$10,設定!$G$9)))</f>
        <v/>
      </c>
    </row>
    <row r="37" customFormat="false" ht="21" hidden="false" customHeight="true" outlineLevel="0" collapsed="false">
      <c r="A37" s="91" t="str">
        <f aca="false">IF(名簿!$D37="","",名簿!$B37&amp;"")</f>
        <v/>
      </c>
      <c r="B37" s="91" t="str">
        <f aca="false">IF(名簿!$D37="","",名簿!$C37)</f>
        <v/>
      </c>
      <c r="C37" s="59" t="str">
        <f aca="false">IF(名簿!$D37="","",名簿!$D37&amp;IF(名簿!$F37="転出","（転出）",""))</f>
        <v/>
      </c>
      <c r="D37" s="149"/>
      <c r="E37" s="61" t="str">
        <f aca="false">IF(OR($C37="",名簿!$F37="転出"),"",IF($C$2="学級ごと",$A37,IF($C$2="前の単元と同じ",単元05!$E37&amp;"",$D37&amp;"")))</f>
        <v/>
      </c>
      <c r="F37" s="150"/>
      <c r="G37" s="150"/>
      <c r="H37" s="150"/>
      <c r="I37" s="151"/>
      <c r="J37" s="41" t="str">
        <f aca="false">IF($E37="","",$E37&amp;"|"&amp;COUNTIF($E$5:$E37,$E37))</f>
        <v/>
      </c>
      <c r="K37" s="40" t="str">
        <f aca="false">IF($I37="","",LEN($I37))</f>
        <v/>
      </c>
      <c r="L37" s="13"/>
      <c r="M37" s="13"/>
      <c r="N37" s="13"/>
      <c r="O37" s="13"/>
      <c r="P37" s="152"/>
      <c r="Q37" s="149"/>
      <c r="R37" s="152"/>
      <c r="S37" s="152"/>
      <c r="T37" s="62" t="str">
        <f aca="false">IF(OR($C37="",R37=""),"",IF(R37/IF($R$2="",100,$R$2)&gt;=設定!$I$28,設定!$G$8,IF(R37/IF($R$2="",100,$R$2)&lt;設定!$I$29,設定!$G$10,設定!$G$9)))</f>
        <v/>
      </c>
      <c r="U37" s="62" t="str">
        <f aca="false">IF(OR($C37="",S37=""),"",IF(S37/IF($S$2="",100,$S$2)&gt;=設定!$I$28,設定!$G$8,IF(S37/IF($S$2="",100,$S$2)&lt;設定!$I$29,設定!$G$10,設定!$G$9)))</f>
        <v/>
      </c>
    </row>
    <row r="38" customFormat="false" ht="21" hidden="false" customHeight="true" outlineLevel="0" collapsed="false">
      <c r="A38" s="91" t="str">
        <f aca="false">IF(名簿!$D38="","",名簿!$B38&amp;"")</f>
        <v/>
      </c>
      <c r="B38" s="91" t="str">
        <f aca="false">IF(名簿!$D38="","",名簿!$C38)</f>
        <v/>
      </c>
      <c r="C38" s="59" t="str">
        <f aca="false">IF(名簿!$D38="","",名簿!$D38&amp;IF(名簿!$F38="転出","（転出）",""))</f>
        <v/>
      </c>
      <c r="D38" s="149"/>
      <c r="E38" s="61" t="str">
        <f aca="false">IF(OR($C38="",名簿!$F38="転出"),"",IF($C$2="学級ごと",$A38,IF($C$2="前の単元と同じ",単元05!$E38&amp;"",$D38&amp;"")))</f>
        <v/>
      </c>
      <c r="F38" s="150"/>
      <c r="G38" s="150"/>
      <c r="H38" s="150"/>
      <c r="I38" s="151"/>
      <c r="J38" s="41" t="str">
        <f aca="false">IF($E38="","",$E38&amp;"|"&amp;COUNTIF($E$5:$E38,$E38))</f>
        <v/>
      </c>
      <c r="K38" s="40" t="str">
        <f aca="false">IF($I38="","",LEN($I38))</f>
        <v/>
      </c>
      <c r="L38" s="13"/>
      <c r="M38" s="13"/>
      <c r="N38" s="13"/>
      <c r="O38" s="13"/>
      <c r="P38" s="152"/>
      <c r="Q38" s="149"/>
      <c r="R38" s="152"/>
      <c r="S38" s="152"/>
      <c r="T38" s="62" t="str">
        <f aca="false">IF(OR($C38="",R38=""),"",IF(R38/IF($R$2="",100,$R$2)&gt;=設定!$I$28,設定!$G$8,IF(R38/IF($R$2="",100,$R$2)&lt;設定!$I$29,設定!$G$10,設定!$G$9)))</f>
        <v/>
      </c>
      <c r="U38" s="62" t="str">
        <f aca="false">IF(OR($C38="",S38=""),"",IF(S38/IF($S$2="",100,$S$2)&gt;=設定!$I$28,設定!$G$8,IF(S38/IF($S$2="",100,$S$2)&lt;設定!$I$29,設定!$G$10,設定!$G$9)))</f>
        <v/>
      </c>
    </row>
    <row r="39" customFormat="false" ht="21" hidden="false" customHeight="true" outlineLevel="0" collapsed="false">
      <c r="A39" s="91" t="str">
        <f aca="false">IF(名簿!$D39="","",名簿!$B39&amp;"")</f>
        <v/>
      </c>
      <c r="B39" s="91" t="str">
        <f aca="false">IF(名簿!$D39="","",名簿!$C39)</f>
        <v/>
      </c>
      <c r="C39" s="59" t="str">
        <f aca="false">IF(名簿!$D39="","",名簿!$D39&amp;IF(名簿!$F39="転出","（転出）",""))</f>
        <v/>
      </c>
      <c r="D39" s="149"/>
      <c r="E39" s="61" t="str">
        <f aca="false">IF(OR($C39="",名簿!$F39="転出"),"",IF($C$2="学級ごと",$A39,IF($C$2="前の単元と同じ",単元05!$E39&amp;"",$D39&amp;"")))</f>
        <v/>
      </c>
      <c r="F39" s="150"/>
      <c r="G39" s="150"/>
      <c r="H39" s="150"/>
      <c r="I39" s="151"/>
      <c r="J39" s="41" t="str">
        <f aca="false">IF($E39="","",$E39&amp;"|"&amp;COUNTIF($E$5:$E39,$E39))</f>
        <v/>
      </c>
      <c r="K39" s="40" t="str">
        <f aca="false">IF($I39="","",LEN($I39))</f>
        <v/>
      </c>
      <c r="L39" s="13"/>
      <c r="M39" s="13"/>
      <c r="N39" s="13"/>
      <c r="O39" s="13"/>
      <c r="P39" s="152"/>
      <c r="Q39" s="149"/>
      <c r="R39" s="152"/>
      <c r="S39" s="152"/>
      <c r="T39" s="62" t="str">
        <f aca="false">IF(OR($C39="",R39=""),"",IF(R39/IF($R$2="",100,$R$2)&gt;=設定!$I$28,設定!$G$8,IF(R39/IF($R$2="",100,$R$2)&lt;設定!$I$29,設定!$G$10,設定!$G$9)))</f>
        <v/>
      </c>
      <c r="U39" s="62" t="str">
        <f aca="false">IF(OR($C39="",S39=""),"",IF(S39/IF($S$2="",100,$S$2)&gt;=設定!$I$28,設定!$G$8,IF(S39/IF($S$2="",100,$S$2)&lt;設定!$I$29,設定!$G$10,設定!$G$9)))</f>
        <v/>
      </c>
    </row>
    <row r="40" customFormat="false" ht="21" hidden="false" customHeight="true" outlineLevel="0" collapsed="false">
      <c r="A40" s="91" t="str">
        <f aca="false">IF(名簿!$D40="","",名簿!$B40&amp;"")</f>
        <v/>
      </c>
      <c r="B40" s="91" t="str">
        <f aca="false">IF(名簿!$D40="","",名簿!$C40)</f>
        <v/>
      </c>
      <c r="C40" s="59" t="str">
        <f aca="false">IF(名簿!$D40="","",名簿!$D40&amp;IF(名簿!$F40="転出","（転出）",""))</f>
        <v/>
      </c>
      <c r="D40" s="149"/>
      <c r="E40" s="61" t="str">
        <f aca="false">IF(OR($C40="",名簿!$F40="転出"),"",IF($C$2="学級ごと",$A40,IF($C$2="前の単元と同じ",単元05!$E40&amp;"",$D40&amp;"")))</f>
        <v/>
      </c>
      <c r="F40" s="150"/>
      <c r="G40" s="150"/>
      <c r="H40" s="150"/>
      <c r="I40" s="151"/>
      <c r="J40" s="41" t="str">
        <f aca="false">IF($E40="","",$E40&amp;"|"&amp;COUNTIF($E$5:$E40,$E40))</f>
        <v/>
      </c>
      <c r="K40" s="40" t="str">
        <f aca="false">IF($I40="","",LEN($I40))</f>
        <v/>
      </c>
      <c r="L40" s="13"/>
      <c r="M40" s="13"/>
      <c r="N40" s="13"/>
      <c r="O40" s="13"/>
      <c r="P40" s="152"/>
      <c r="Q40" s="149"/>
      <c r="R40" s="152"/>
      <c r="S40" s="152"/>
      <c r="T40" s="62" t="str">
        <f aca="false">IF(OR($C40="",R40=""),"",IF(R40/IF($R$2="",100,$R$2)&gt;=設定!$I$28,設定!$G$8,IF(R40/IF($R$2="",100,$R$2)&lt;設定!$I$29,設定!$G$10,設定!$G$9)))</f>
        <v/>
      </c>
      <c r="U40" s="62" t="str">
        <f aca="false">IF(OR($C40="",S40=""),"",IF(S40/IF($S$2="",100,$S$2)&gt;=設定!$I$28,設定!$G$8,IF(S40/IF($S$2="",100,$S$2)&lt;設定!$I$29,設定!$G$10,設定!$G$9)))</f>
        <v/>
      </c>
    </row>
    <row r="41" customFormat="false" ht="21" hidden="false" customHeight="true" outlineLevel="0" collapsed="false">
      <c r="A41" s="91" t="str">
        <f aca="false">IF(名簿!$D41="","",名簿!$B41&amp;"")</f>
        <v/>
      </c>
      <c r="B41" s="91" t="str">
        <f aca="false">IF(名簿!$D41="","",名簿!$C41)</f>
        <v/>
      </c>
      <c r="C41" s="59" t="str">
        <f aca="false">IF(名簿!$D41="","",名簿!$D41&amp;IF(名簿!$F41="転出","（転出）",""))</f>
        <v/>
      </c>
      <c r="D41" s="149"/>
      <c r="E41" s="61" t="str">
        <f aca="false">IF(OR($C41="",名簿!$F41="転出"),"",IF($C$2="学級ごと",$A41,IF($C$2="前の単元と同じ",単元05!$E41&amp;"",$D41&amp;"")))</f>
        <v/>
      </c>
      <c r="F41" s="150"/>
      <c r="G41" s="150"/>
      <c r="H41" s="150"/>
      <c r="I41" s="151"/>
      <c r="J41" s="41" t="str">
        <f aca="false">IF($E41="","",$E41&amp;"|"&amp;COUNTIF($E$5:$E41,$E41))</f>
        <v/>
      </c>
      <c r="K41" s="40" t="str">
        <f aca="false">IF($I41="","",LEN($I41))</f>
        <v/>
      </c>
      <c r="L41" s="13"/>
      <c r="M41" s="13"/>
      <c r="N41" s="13"/>
      <c r="O41" s="13"/>
      <c r="P41" s="152"/>
      <c r="Q41" s="149"/>
      <c r="R41" s="152"/>
      <c r="S41" s="152"/>
      <c r="T41" s="62" t="str">
        <f aca="false">IF(OR($C41="",R41=""),"",IF(R41/IF($R$2="",100,$R$2)&gt;=設定!$I$28,設定!$G$8,IF(R41/IF($R$2="",100,$R$2)&lt;設定!$I$29,設定!$G$10,設定!$G$9)))</f>
        <v/>
      </c>
      <c r="U41" s="62" t="str">
        <f aca="false">IF(OR($C41="",S41=""),"",IF(S41/IF($S$2="",100,$S$2)&gt;=設定!$I$28,設定!$G$8,IF(S41/IF($S$2="",100,$S$2)&lt;設定!$I$29,設定!$G$10,設定!$G$9)))</f>
        <v/>
      </c>
    </row>
    <row r="42" customFormat="false" ht="21" hidden="false" customHeight="true" outlineLevel="0" collapsed="false">
      <c r="A42" s="91" t="str">
        <f aca="false">IF(名簿!$D42="","",名簿!$B42&amp;"")</f>
        <v/>
      </c>
      <c r="B42" s="91" t="str">
        <f aca="false">IF(名簿!$D42="","",名簿!$C42)</f>
        <v/>
      </c>
      <c r="C42" s="59" t="str">
        <f aca="false">IF(名簿!$D42="","",名簿!$D42&amp;IF(名簿!$F42="転出","（転出）",""))</f>
        <v/>
      </c>
      <c r="D42" s="149"/>
      <c r="E42" s="61" t="str">
        <f aca="false">IF(OR($C42="",名簿!$F42="転出"),"",IF($C$2="学級ごと",$A42,IF($C$2="前の単元と同じ",単元05!$E42&amp;"",$D42&amp;"")))</f>
        <v/>
      </c>
      <c r="F42" s="150"/>
      <c r="G42" s="150"/>
      <c r="H42" s="150"/>
      <c r="I42" s="151"/>
      <c r="J42" s="41" t="str">
        <f aca="false">IF($E42="","",$E42&amp;"|"&amp;COUNTIF($E$5:$E42,$E42))</f>
        <v/>
      </c>
      <c r="K42" s="40" t="str">
        <f aca="false">IF($I42="","",LEN($I42))</f>
        <v/>
      </c>
      <c r="L42" s="13"/>
      <c r="M42" s="13"/>
      <c r="N42" s="13"/>
      <c r="O42" s="13"/>
      <c r="P42" s="152"/>
      <c r="Q42" s="149"/>
      <c r="R42" s="152"/>
      <c r="S42" s="152"/>
      <c r="T42" s="62" t="str">
        <f aca="false">IF(OR($C42="",R42=""),"",IF(R42/IF($R$2="",100,$R$2)&gt;=設定!$I$28,設定!$G$8,IF(R42/IF($R$2="",100,$R$2)&lt;設定!$I$29,設定!$G$10,設定!$G$9)))</f>
        <v/>
      </c>
      <c r="U42" s="62" t="str">
        <f aca="false">IF(OR($C42="",S42=""),"",IF(S42/IF($S$2="",100,$S$2)&gt;=設定!$I$28,設定!$G$8,IF(S42/IF($S$2="",100,$S$2)&lt;設定!$I$29,設定!$G$10,設定!$G$9)))</f>
        <v/>
      </c>
    </row>
    <row r="43" customFormat="false" ht="21" hidden="false" customHeight="true" outlineLevel="0" collapsed="false">
      <c r="A43" s="91" t="str">
        <f aca="false">IF(名簿!$D43="","",名簿!$B43&amp;"")</f>
        <v/>
      </c>
      <c r="B43" s="91" t="str">
        <f aca="false">IF(名簿!$D43="","",名簿!$C43)</f>
        <v/>
      </c>
      <c r="C43" s="59" t="str">
        <f aca="false">IF(名簿!$D43="","",名簿!$D43&amp;IF(名簿!$F43="転出","（転出）",""))</f>
        <v/>
      </c>
      <c r="D43" s="149"/>
      <c r="E43" s="61" t="str">
        <f aca="false">IF(OR($C43="",名簿!$F43="転出"),"",IF($C$2="学級ごと",$A43,IF($C$2="前の単元と同じ",単元05!$E43&amp;"",$D43&amp;"")))</f>
        <v/>
      </c>
      <c r="F43" s="150"/>
      <c r="G43" s="150"/>
      <c r="H43" s="150"/>
      <c r="I43" s="151"/>
      <c r="J43" s="41" t="str">
        <f aca="false">IF($E43="","",$E43&amp;"|"&amp;COUNTIF($E$5:$E43,$E43))</f>
        <v/>
      </c>
      <c r="K43" s="40" t="str">
        <f aca="false">IF($I43="","",LEN($I43))</f>
        <v/>
      </c>
      <c r="L43" s="13"/>
      <c r="M43" s="13"/>
      <c r="N43" s="13"/>
      <c r="O43" s="13"/>
      <c r="P43" s="152"/>
      <c r="Q43" s="149"/>
      <c r="R43" s="152"/>
      <c r="S43" s="152"/>
      <c r="T43" s="62" t="str">
        <f aca="false">IF(OR($C43="",R43=""),"",IF(R43/IF($R$2="",100,$R$2)&gt;=設定!$I$28,設定!$G$8,IF(R43/IF($R$2="",100,$R$2)&lt;設定!$I$29,設定!$G$10,設定!$G$9)))</f>
        <v/>
      </c>
      <c r="U43" s="62" t="str">
        <f aca="false">IF(OR($C43="",S43=""),"",IF(S43/IF($S$2="",100,$S$2)&gt;=設定!$I$28,設定!$G$8,IF(S43/IF($S$2="",100,$S$2)&lt;設定!$I$29,設定!$G$10,設定!$G$9)))</f>
        <v/>
      </c>
    </row>
    <row r="44" customFormat="false" ht="21" hidden="false" customHeight="true" outlineLevel="0" collapsed="false">
      <c r="A44" s="91" t="str">
        <f aca="false">IF(名簿!$D44="","",名簿!$B44&amp;"")</f>
        <v/>
      </c>
      <c r="B44" s="91" t="str">
        <f aca="false">IF(名簿!$D44="","",名簿!$C44)</f>
        <v/>
      </c>
      <c r="C44" s="59" t="str">
        <f aca="false">IF(名簿!$D44="","",名簿!$D44&amp;IF(名簿!$F44="転出","（転出）",""))</f>
        <v/>
      </c>
      <c r="D44" s="149"/>
      <c r="E44" s="61" t="str">
        <f aca="false">IF(OR($C44="",名簿!$F44="転出"),"",IF($C$2="学級ごと",$A44,IF($C$2="前の単元と同じ",単元05!$E44&amp;"",$D44&amp;"")))</f>
        <v/>
      </c>
      <c r="F44" s="150"/>
      <c r="G44" s="150"/>
      <c r="H44" s="150"/>
      <c r="I44" s="151"/>
      <c r="J44" s="41" t="str">
        <f aca="false">IF($E44="","",$E44&amp;"|"&amp;COUNTIF($E$5:$E44,$E44))</f>
        <v/>
      </c>
      <c r="K44" s="40" t="str">
        <f aca="false">IF($I44="","",LEN($I44))</f>
        <v/>
      </c>
      <c r="L44" s="13"/>
      <c r="M44" s="13"/>
      <c r="N44" s="13"/>
      <c r="O44" s="13"/>
      <c r="P44" s="152"/>
      <c r="Q44" s="149"/>
      <c r="R44" s="152"/>
      <c r="S44" s="152"/>
      <c r="T44" s="62" t="str">
        <f aca="false">IF(OR($C44="",R44=""),"",IF(R44/IF($R$2="",100,$R$2)&gt;=設定!$I$28,設定!$G$8,IF(R44/IF($R$2="",100,$R$2)&lt;設定!$I$29,設定!$G$10,設定!$G$9)))</f>
        <v/>
      </c>
      <c r="U44" s="62" t="str">
        <f aca="false">IF(OR($C44="",S44=""),"",IF(S44/IF($S$2="",100,$S$2)&gt;=設定!$I$28,設定!$G$8,IF(S44/IF($S$2="",100,$S$2)&lt;設定!$I$29,設定!$G$10,設定!$G$9)))</f>
        <v/>
      </c>
    </row>
    <row r="45" customFormat="false" ht="21" hidden="false" customHeight="true" outlineLevel="0" collapsed="false">
      <c r="A45" s="91" t="str">
        <f aca="false">IF(名簿!$D45="","",名簿!$B45&amp;"")</f>
        <v/>
      </c>
      <c r="B45" s="91" t="str">
        <f aca="false">IF(名簿!$D45="","",名簿!$C45)</f>
        <v/>
      </c>
      <c r="C45" s="59" t="str">
        <f aca="false">IF(名簿!$D45="","",名簿!$D45&amp;IF(名簿!$F45="転出","（転出）",""))</f>
        <v/>
      </c>
      <c r="D45" s="149"/>
      <c r="E45" s="61" t="str">
        <f aca="false">IF(OR($C45="",名簿!$F45="転出"),"",IF($C$2="学級ごと",$A45,IF($C$2="前の単元と同じ",単元05!$E45&amp;"",$D45&amp;"")))</f>
        <v/>
      </c>
      <c r="F45" s="150"/>
      <c r="G45" s="150"/>
      <c r="H45" s="150"/>
      <c r="I45" s="151"/>
      <c r="J45" s="41" t="str">
        <f aca="false">IF($E45="","",$E45&amp;"|"&amp;COUNTIF($E$5:$E45,$E45))</f>
        <v/>
      </c>
      <c r="K45" s="40" t="str">
        <f aca="false">IF($I45="","",LEN($I45))</f>
        <v/>
      </c>
      <c r="L45" s="13"/>
      <c r="M45" s="13"/>
      <c r="N45" s="13"/>
      <c r="O45" s="13"/>
      <c r="P45" s="152"/>
      <c r="Q45" s="149"/>
      <c r="R45" s="152"/>
      <c r="S45" s="152"/>
      <c r="T45" s="62" t="str">
        <f aca="false">IF(OR($C45="",R45=""),"",IF(R45/IF($R$2="",100,$R$2)&gt;=設定!$I$28,設定!$G$8,IF(R45/IF($R$2="",100,$R$2)&lt;設定!$I$29,設定!$G$10,設定!$G$9)))</f>
        <v/>
      </c>
      <c r="U45" s="62" t="str">
        <f aca="false">IF(OR($C45="",S45=""),"",IF(S45/IF($S$2="",100,$S$2)&gt;=設定!$I$28,設定!$G$8,IF(S45/IF($S$2="",100,$S$2)&lt;設定!$I$29,設定!$G$10,設定!$G$9)))</f>
        <v/>
      </c>
    </row>
    <row r="46" customFormat="false" ht="21" hidden="false" customHeight="true" outlineLevel="0" collapsed="false">
      <c r="A46" s="91" t="str">
        <f aca="false">IF(名簿!$D46="","",名簿!$B46&amp;"")</f>
        <v/>
      </c>
      <c r="B46" s="91" t="str">
        <f aca="false">IF(名簿!$D46="","",名簿!$C46)</f>
        <v/>
      </c>
      <c r="C46" s="59" t="str">
        <f aca="false">IF(名簿!$D46="","",名簿!$D46&amp;IF(名簿!$F46="転出","（転出）",""))</f>
        <v/>
      </c>
      <c r="D46" s="149"/>
      <c r="E46" s="61" t="str">
        <f aca="false">IF(OR($C46="",名簿!$F46="転出"),"",IF($C$2="学級ごと",$A46,IF($C$2="前の単元と同じ",単元05!$E46&amp;"",$D46&amp;"")))</f>
        <v/>
      </c>
      <c r="F46" s="150"/>
      <c r="G46" s="150"/>
      <c r="H46" s="150"/>
      <c r="I46" s="151"/>
      <c r="J46" s="41" t="str">
        <f aca="false">IF($E46="","",$E46&amp;"|"&amp;COUNTIF($E$5:$E46,$E46))</f>
        <v/>
      </c>
      <c r="K46" s="40" t="str">
        <f aca="false">IF($I46="","",LEN($I46))</f>
        <v/>
      </c>
      <c r="L46" s="13"/>
      <c r="M46" s="13"/>
      <c r="N46" s="13"/>
      <c r="O46" s="13"/>
      <c r="P46" s="152"/>
      <c r="Q46" s="149"/>
      <c r="R46" s="152"/>
      <c r="S46" s="152"/>
      <c r="T46" s="62" t="str">
        <f aca="false">IF(OR($C46="",R46=""),"",IF(R46/IF($R$2="",100,$R$2)&gt;=設定!$I$28,設定!$G$8,IF(R46/IF($R$2="",100,$R$2)&lt;設定!$I$29,設定!$G$10,設定!$G$9)))</f>
        <v/>
      </c>
      <c r="U46" s="62" t="str">
        <f aca="false">IF(OR($C46="",S46=""),"",IF(S46/IF($S$2="",100,$S$2)&gt;=設定!$I$28,設定!$G$8,IF(S46/IF($S$2="",100,$S$2)&lt;設定!$I$29,設定!$G$10,設定!$G$9)))</f>
        <v/>
      </c>
    </row>
    <row r="47" customFormat="false" ht="21" hidden="false" customHeight="true" outlineLevel="0" collapsed="false">
      <c r="A47" s="91" t="str">
        <f aca="false">IF(名簿!$D47="","",名簿!$B47&amp;"")</f>
        <v/>
      </c>
      <c r="B47" s="91" t="str">
        <f aca="false">IF(名簿!$D47="","",名簿!$C47)</f>
        <v/>
      </c>
      <c r="C47" s="59" t="str">
        <f aca="false">IF(名簿!$D47="","",名簿!$D47&amp;IF(名簿!$F47="転出","（転出）",""))</f>
        <v/>
      </c>
      <c r="D47" s="149"/>
      <c r="E47" s="61" t="str">
        <f aca="false">IF(OR($C47="",名簿!$F47="転出"),"",IF($C$2="学級ごと",$A47,IF($C$2="前の単元と同じ",単元05!$E47&amp;"",$D47&amp;"")))</f>
        <v/>
      </c>
      <c r="F47" s="150"/>
      <c r="G47" s="150"/>
      <c r="H47" s="150"/>
      <c r="I47" s="151"/>
      <c r="J47" s="41" t="str">
        <f aca="false">IF($E47="","",$E47&amp;"|"&amp;COUNTIF($E$5:$E47,$E47))</f>
        <v/>
      </c>
      <c r="K47" s="40" t="str">
        <f aca="false">IF($I47="","",LEN($I47))</f>
        <v/>
      </c>
      <c r="L47" s="13"/>
      <c r="M47" s="13"/>
      <c r="N47" s="13"/>
      <c r="O47" s="13"/>
      <c r="P47" s="152"/>
      <c r="Q47" s="149"/>
      <c r="R47" s="152"/>
      <c r="S47" s="152"/>
      <c r="T47" s="62" t="str">
        <f aca="false">IF(OR($C47="",R47=""),"",IF(R47/IF($R$2="",100,$R$2)&gt;=設定!$I$28,設定!$G$8,IF(R47/IF($R$2="",100,$R$2)&lt;設定!$I$29,設定!$G$10,設定!$G$9)))</f>
        <v/>
      </c>
      <c r="U47" s="62" t="str">
        <f aca="false">IF(OR($C47="",S47=""),"",IF(S47/IF($S$2="",100,$S$2)&gt;=設定!$I$28,設定!$G$8,IF(S47/IF($S$2="",100,$S$2)&lt;設定!$I$29,設定!$G$10,設定!$G$9)))</f>
        <v/>
      </c>
    </row>
    <row r="48" customFormat="false" ht="21" hidden="false" customHeight="true" outlineLevel="0" collapsed="false">
      <c r="A48" s="91" t="str">
        <f aca="false">IF(名簿!$D48="","",名簿!$B48&amp;"")</f>
        <v/>
      </c>
      <c r="B48" s="91" t="str">
        <f aca="false">IF(名簿!$D48="","",名簿!$C48)</f>
        <v/>
      </c>
      <c r="C48" s="59" t="str">
        <f aca="false">IF(名簿!$D48="","",名簿!$D48&amp;IF(名簿!$F48="転出","（転出）",""))</f>
        <v/>
      </c>
      <c r="D48" s="149"/>
      <c r="E48" s="61" t="str">
        <f aca="false">IF(OR($C48="",名簿!$F48="転出"),"",IF($C$2="学級ごと",$A48,IF($C$2="前の単元と同じ",単元05!$E48&amp;"",$D48&amp;"")))</f>
        <v/>
      </c>
      <c r="F48" s="150"/>
      <c r="G48" s="150"/>
      <c r="H48" s="150"/>
      <c r="I48" s="151"/>
      <c r="J48" s="41" t="str">
        <f aca="false">IF($E48="","",$E48&amp;"|"&amp;COUNTIF($E$5:$E48,$E48))</f>
        <v/>
      </c>
      <c r="K48" s="40" t="str">
        <f aca="false">IF($I48="","",LEN($I48))</f>
        <v/>
      </c>
      <c r="L48" s="13"/>
      <c r="M48" s="13"/>
      <c r="N48" s="13"/>
      <c r="O48" s="13"/>
      <c r="P48" s="152"/>
      <c r="Q48" s="149"/>
      <c r="R48" s="152"/>
      <c r="S48" s="152"/>
      <c r="T48" s="62" t="str">
        <f aca="false">IF(OR($C48="",R48=""),"",IF(R48/IF($R$2="",100,$R$2)&gt;=設定!$I$28,設定!$G$8,IF(R48/IF($R$2="",100,$R$2)&lt;設定!$I$29,設定!$G$10,設定!$G$9)))</f>
        <v/>
      </c>
      <c r="U48" s="62" t="str">
        <f aca="false">IF(OR($C48="",S48=""),"",IF(S48/IF($S$2="",100,$S$2)&gt;=設定!$I$28,設定!$G$8,IF(S48/IF($S$2="",100,$S$2)&lt;設定!$I$29,設定!$G$10,設定!$G$9)))</f>
        <v/>
      </c>
    </row>
    <row r="49" customFormat="false" ht="21" hidden="false" customHeight="true" outlineLevel="0" collapsed="false">
      <c r="A49" s="91" t="str">
        <f aca="false">IF(名簿!$D49="","",名簿!$B49&amp;"")</f>
        <v/>
      </c>
      <c r="B49" s="91" t="str">
        <f aca="false">IF(名簿!$D49="","",名簿!$C49)</f>
        <v/>
      </c>
      <c r="C49" s="59" t="str">
        <f aca="false">IF(名簿!$D49="","",名簿!$D49&amp;IF(名簿!$F49="転出","（転出）",""))</f>
        <v/>
      </c>
      <c r="D49" s="149"/>
      <c r="E49" s="61" t="str">
        <f aca="false">IF(OR($C49="",名簿!$F49="転出"),"",IF($C$2="学級ごと",$A49,IF($C$2="前の単元と同じ",単元05!$E49&amp;"",$D49&amp;"")))</f>
        <v/>
      </c>
      <c r="F49" s="150"/>
      <c r="G49" s="150"/>
      <c r="H49" s="150"/>
      <c r="I49" s="151"/>
      <c r="J49" s="41" t="str">
        <f aca="false">IF($E49="","",$E49&amp;"|"&amp;COUNTIF($E$5:$E49,$E49))</f>
        <v/>
      </c>
      <c r="K49" s="40" t="str">
        <f aca="false">IF($I49="","",LEN($I49))</f>
        <v/>
      </c>
      <c r="L49" s="13"/>
      <c r="M49" s="13"/>
      <c r="N49" s="13"/>
      <c r="O49" s="13"/>
      <c r="P49" s="152"/>
      <c r="Q49" s="149"/>
      <c r="R49" s="152"/>
      <c r="S49" s="152"/>
      <c r="T49" s="62" t="str">
        <f aca="false">IF(OR($C49="",R49=""),"",IF(R49/IF($R$2="",100,$R$2)&gt;=設定!$I$28,設定!$G$8,IF(R49/IF($R$2="",100,$R$2)&lt;設定!$I$29,設定!$G$10,設定!$G$9)))</f>
        <v/>
      </c>
      <c r="U49" s="62" t="str">
        <f aca="false">IF(OR($C49="",S49=""),"",IF(S49/IF($S$2="",100,$S$2)&gt;=設定!$I$28,設定!$G$8,IF(S49/IF($S$2="",100,$S$2)&lt;設定!$I$29,設定!$G$10,設定!$G$9)))</f>
        <v/>
      </c>
    </row>
    <row r="50" customFormat="false" ht="21" hidden="false" customHeight="true" outlineLevel="0" collapsed="false">
      <c r="A50" s="91" t="str">
        <f aca="false">IF(名簿!$D50="","",名簿!$B50&amp;"")</f>
        <v/>
      </c>
      <c r="B50" s="91" t="str">
        <f aca="false">IF(名簿!$D50="","",名簿!$C50)</f>
        <v/>
      </c>
      <c r="C50" s="59" t="str">
        <f aca="false">IF(名簿!$D50="","",名簿!$D50&amp;IF(名簿!$F50="転出","（転出）",""))</f>
        <v/>
      </c>
      <c r="D50" s="149"/>
      <c r="E50" s="61" t="str">
        <f aca="false">IF(OR($C50="",名簿!$F50="転出"),"",IF($C$2="学級ごと",$A50,IF($C$2="前の単元と同じ",単元05!$E50&amp;"",$D50&amp;"")))</f>
        <v/>
      </c>
      <c r="F50" s="150"/>
      <c r="G50" s="150"/>
      <c r="H50" s="150"/>
      <c r="I50" s="151"/>
      <c r="J50" s="41" t="str">
        <f aca="false">IF($E50="","",$E50&amp;"|"&amp;COUNTIF($E$5:$E50,$E50))</f>
        <v/>
      </c>
      <c r="K50" s="40" t="str">
        <f aca="false">IF($I50="","",LEN($I50))</f>
        <v/>
      </c>
      <c r="L50" s="13"/>
      <c r="M50" s="13"/>
      <c r="N50" s="13"/>
      <c r="O50" s="13"/>
      <c r="P50" s="152"/>
      <c r="Q50" s="149"/>
      <c r="R50" s="152"/>
      <c r="S50" s="152"/>
      <c r="T50" s="62" t="str">
        <f aca="false">IF(OR($C50="",R50=""),"",IF(R50/IF($R$2="",100,$R$2)&gt;=設定!$I$28,設定!$G$8,IF(R50/IF($R$2="",100,$R$2)&lt;設定!$I$29,設定!$G$10,設定!$G$9)))</f>
        <v/>
      </c>
      <c r="U50" s="62" t="str">
        <f aca="false">IF(OR($C50="",S50=""),"",IF(S50/IF($S$2="",100,$S$2)&gt;=設定!$I$28,設定!$G$8,IF(S50/IF($S$2="",100,$S$2)&lt;設定!$I$29,設定!$G$10,設定!$G$9)))</f>
        <v/>
      </c>
    </row>
    <row r="51" customFormat="false" ht="21" hidden="false" customHeight="true" outlineLevel="0" collapsed="false">
      <c r="A51" s="91" t="str">
        <f aca="false">IF(名簿!$D51="","",名簿!$B51&amp;"")</f>
        <v/>
      </c>
      <c r="B51" s="91" t="str">
        <f aca="false">IF(名簿!$D51="","",名簿!$C51)</f>
        <v/>
      </c>
      <c r="C51" s="59" t="str">
        <f aca="false">IF(名簿!$D51="","",名簿!$D51&amp;IF(名簿!$F51="転出","（転出）",""))</f>
        <v/>
      </c>
      <c r="D51" s="149"/>
      <c r="E51" s="61" t="str">
        <f aca="false">IF(OR($C51="",名簿!$F51="転出"),"",IF($C$2="学級ごと",$A51,IF($C$2="前の単元と同じ",単元05!$E51&amp;"",$D51&amp;"")))</f>
        <v/>
      </c>
      <c r="F51" s="150"/>
      <c r="G51" s="150"/>
      <c r="H51" s="150"/>
      <c r="I51" s="151"/>
      <c r="J51" s="41" t="str">
        <f aca="false">IF($E51="","",$E51&amp;"|"&amp;COUNTIF($E$5:$E51,$E51))</f>
        <v/>
      </c>
      <c r="K51" s="40" t="str">
        <f aca="false">IF($I51="","",LEN($I51))</f>
        <v/>
      </c>
      <c r="L51" s="13"/>
      <c r="M51" s="13"/>
      <c r="N51" s="13"/>
      <c r="O51" s="13"/>
      <c r="P51" s="152"/>
      <c r="Q51" s="149"/>
      <c r="R51" s="152"/>
      <c r="S51" s="152"/>
      <c r="T51" s="62" t="str">
        <f aca="false">IF(OR($C51="",R51=""),"",IF(R51/IF($R$2="",100,$R$2)&gt;=設定!$I$28,設定!$G$8,IF(R51/IF($R$2="",100,$R$2)&lt;設定!$I$29,設定!$G$10,設定!$G$9)))</f>
        <v/>
      </c>
      <c r="U51" s="62" t="str">
        <f aca="false">IF(OR($C51="",S51=""),"",IF(S51/IF($S$2="",100,$S$2)&gt;=設定!$I$28,設定!$G$8,IF(S51/IF($S$2="",100,$S$2)&lt;設定!$I$29,設定!$G$10,設定!$G$9)))</f>
        <v/>
      </c>
    </row>
    <row r="52" customFormat="false" ht="21" hidden="false" customHeight="true" outlineLevel="0" collapsed="false">
      <c r="A52" s="91" t="str">
        <f aca="false">IF(名簿!$D52="","",名簿!$B52&amp;"")</f>
        <v/>
      </c>
      <c r="B52" s="91" t="str">
        <f aca="false">IF(名簿!$D52="","",名簿!$C52)</f>
        <v/>
      </c>
      <c r="C52" s="59" t="str">
        <f aca="false">IF(名簿!$D52="","",名簿!$D52&amp;IF(名簿!$F52="転出","（転出）",""))</f>
        <v/>
      </c>
      <c r="D52" s="149"/>
      <c r="E52" s="61" t="str">
        <f aca="false">IF(OR($C52="",名簿!$F52="転出"),"",IF($C$2="学級ごと",$A52,IF($C$2="前の単元と同じ",単元05!$E52&amp;"",$D52&amp;"")))</f>
        <v/>
      </c>
      <c r="F52" s="150"/>
      <c r="G52" s="150"/>
      <c r="H52" s="150"/>
      <c r="I52" s="151"/>
      <c r="J52" s="41" t="str">
        <f aca="false">IF($E52="","",$E52&amp;"|"&amp;COUNTIF($E$5:$E52,$E52))</f>
        <v/>
      </c>
      <c r="K52" s="40" t="str">
        <f aca="false">IF($I52="","",LEN($I52))</f>
        <v/>
      </c>
      <c r="L52" s="13"/>
      <c r="M52" s="13"/>
      <c r="N52" s="13"/>
      <c r="O52" s="13"/>
      <c r="P52" s="152"/>
      <c r="Q52" s="149"/>
      <c r="R52" s="152"/>
      <c r="S52" s="152"/>
      <c r="T52" s="62" t="str">
        <f aca="false">IF(OR($C52="",R52=""),"",IF(R52/IF($R$2="",100,$R$2)&gt;=設定!$I$28,設定!$G$8,IF(R52/IF($R$2="",100,$R$2)&lt;設定!$I$29,設定!$G$10,設定!$G$9)))</f>
        <v/>
      </c>
      <c r="U52" s="62" t="str">
        <f aca="false">IF(OR($C52="",S52=""),"",IF(S52/IF($S$2="",100,$S$2)&gt;=設定!$I$28,設定!$G$8,IF(S52/IF($S$2="",100,$S$2)&lt;設定!$I$29,設定!$G$10,設定!$G$9)))</f>
        <v/>
      </c>
    </row>
    <row r="53" customFormat="false" ht="21" hidden="false" customHeight="true" outlineLevel="0" collapsed="false">
      <c r="A53" s="91" t="str">
        <f aca="false">IF(名簿!$D53="","",名簿!$B53&amp;"")</f>
        <v/>
      </c>
      <c r="B53" s="91" t="str">
        <f aca="false">IF(名簿!$D53="","",名簿!$C53)</f>
        <v/>
      </c>
      <c r="C53" s="59" t="str">
        <f aca="false">IF(名簿!$D53="","",名簿!$D53&amp;IF(名簿!$F53="転出","（転出）",""))</f>
        <v/>
      </c>
      <c r="D53" s="149"/>
      <c r="E53" s="61" t="str">
        <f aca="false">IF(OR($C53="",名簿!$F53="転出"),"",IF($C$2="学級ごと",$A53,IF($C$2="前の単元と同じ",単元05!$E53&amp;"",$D53&amp;"")))</f>
        <v/>
      </c>
      <c r="F53" s="150"/>
      <c r="G53" s="150"/>
      <c r="H53" s="150"/>
      <c r="I53" s="151"/>
      <c r="J53" s="41" t="str">
        <f aca="false">IF($E53="","",$E53&amp;"|"&amp;COUNTIF($E$5:$E53,$E53))</f>
        <v/>
      </c>
      <c r="K53" s="40" t="str">
        <f aca="false">IF($I53="","",LEN($I53))</f>
        <v/>
      </c>
      <c r="L53" s="13"/>
      <c r="M53" s="13"/>
      <c r="N53" s="13"/>
      <c r="O53" s="13"/>
      <c r="P53" s="152"/>
      <c r="Q53" s="149"/>
      <c r="R53" s="152"/>
      <c r="S53" s="152"/>
      <c r="T53" s="62" t="str">
        <f aca="false">IF(OR($C53="",R53=""),"",IF(R53/IF($R$2="",100,$R$2)&gt;=設定!$I$28,設定!$G$8,IF(R53/IF($R$2="",100,$R$2)&lt;設定!$I$29,設定!$G$10,設定!$G$9)))</f>
        <v/>
      </c>
      <c r="U53" s="62" t="str">
        <f aca="false">IF(OR($C53="",S53=""),"",IF(S53/IF($S$2="",100,$S$2)&gt;=設定!$I$28,設定!$G$8,IF(S53/IF($S$2="",100,$S$2)&lt;設定!$I$29,設定!$G$10,設定!$G$9)))</f>
        <v/>
      </c>
    </row>
    <row r="54" customFormat="false" ht="21" hidden="false" customHeight="true" outlineLevel="0" collapsed="false">
      <c r="A54" s="91" t="str">
        <f aca="false">IF(名簿!$D54="","",名簿!$B54&amp;"")</f>
        <v/>
      </c>
      <c r="B54" s="91" t="str">
        <f aca="false">IF(名簿!$D54="","",名簿!$C54)</f>
        <v/>
      </c>
      <c r="C54" s="59" t="str">
        <f aca="false">IF(名簿!$D54="","",名簿!$D54&amp;IF(名簿!$F54="転出","（転出）",""))</f>
        <v/>
      </c>
      <c r="D54" s="149"/>
      <c r="E54" s="61" t="str">
        <f aca="false">IF(OR($C54="",名簿!$F54="転出"),"",IF($C$2="学級ごと",$A54,IF($C$2="前の単元と同じ",単元05!$E54&amp;"",$D54&amp;"")))</f>
        <v/>
      </c>
      <c r="F54" s="150"/>
      <c r="G54" s="150"/>
      <c r="H54" s="150"/>
      <c r="I54" s="151"/>
      <c r="J54" s="41" t="str">
        <f aca="false">IF($E54="","",$E54&amp;"|"&amp;COUNTIF($E$5:$E54,$E54))</f>
        <v/>
      </c>
      <c r="K54" s="40" t="str">
        <f aca="false">IF($I54="","",LEN($I54))</f>
        <v/>
      </c>
      <c r="L54" s="13"/>
      <c r="M54" s="13"/>
      <c r="N54" s="13"/>
      <c r="O54" s="13"/>
      <c r="P54" s="152"/>
      <c r="Q54" s="149"/>
      <c r="R54" s="152"/>
      <c r="S54" s="152"/>
      <c r="T54" s="62" t="str">
        <f aca="false">IF(OR($C54="",R54=""),"",IF(R54/IF($R$2="",100,$R$2)&gt;=設定!$I$28,設定!$G$8,IF(R54/IF($R$2="",100,$R$2)&lt;設定!$I$29,設定!$G$10,設定!$G$9)))</f>
        <v/>
      </c>
      <c r="U54" s="62" t="str">
        <f aca="false">IF(OR($C54="",S54=""),"",IF(S54/IF($S$2="",100,$S$2)&gt;=設定!$I$28,設定!$G$8,IF(S54/IF($S$2="",100,$S$2)&lt;設定!$I$29,設定!$G$10,設定!$G$9)))</f>
        <v/>
      </c>
    </row>
    <row r="55" customFormat="false" ht="21" hidden="false" customHeight="true" outlineLevel="0" collapsed="false">
      <c r="A55" s="91" t="str">
        <f aca="false">IF(名簿!$D55="","",名簿!$B55&amp;"")</f>
        <v/>
      </c>
      <c r="B55" s="91" t="str">
        <f aca="false">IF(名簿!$D55="","",名簿!$C55)</f>
        <v/>
      </c>
      <c r="C55" s="59" t="str">
        <f aca="false">IF(名簿!$D55="","",名簿!$D55&amp;IF(名簿!$F55="転出","（転出）",""))</f>
        <v/>
      </c>
      <c r="D55" s="149"/>
      <c r="E55" s="61" t="str">
        <f aca="false">IF(OR($C55="",名簿!$F55="転出"),"",IF($C$2="学級ごと",$A55,IF($C$2="前の単元と同じ",単元05!$E55&amp;"",$D55&amp;"")))</f>
        <v/>
      </c>
      <c r="F55" s="150"/>
      <c r="G55" s="150"/>
      <c r="H55" s="150"/>
      <c r="I55" s="151"/>
      <c r="J55" s="41" t="str">
        <f aca="false">IF($E55="","",$E55&amp;"|"&amp;COUNTIF($E$5:$E55,$E55))</f>
        <v/>
      </c>
      <c r="K55" s="40" t="str">
        <f aca="false">IF($I55="","",LEN($I55))</f>
        <v/>
      </c>
      <c r="L55" s="13"/>
      <c r="M55" s="13"/>
      <c r="N55" s="13"/>
      <c r="O55" s="13"/>
      <c r="P55" s="152"/>
      <c r="Q55" s="149"/>
      <c r="R55" s="152"/>
      <c r="S55" s="152"/>
      <c r="T55" s="62" t="str">
        <f aca="false">IF(OR($C55="",R55=""),"",IF(R55/IF($R$2="",100,$R$2)&gt;=設定!$I$28,設定!$G$8,IF(R55/IF($R$2="",100,$R$2)&lt;設定!$I$29,設定!$G$10,設定!$G$9)))</f>
        <v/>
      </c>
      <c r="U55" s="62" t="str">
        <f aca="false">IF(OR($C55="",S55=""),"",IF(S55/IF($S$2="",100,$S$2)&gt;=設定!$I$28,設定!$G$8,IF(S55/IF($S$2="",100,$S$2)&lt;設定!$I$29,設定!$G$10,設定!$G$9)))</f>
        <v/>
      </c>
    </row>
    <row r="56" customFormat="false" ht="21" hidden="false" customHeight="true" outlineLevel="0" collapsed="false">
      <c r="A56" s="91" t="str">
        <f aca="false">IF(名簿!$D56="","",名簿!$B56&amp;"")</f>
        <v/>
      </c>
      <c r="B56" s="91" t="str">
        <f aca="false">IF(名簿!$D56="","",名簿!$C56)</f>
        <v/>
      </c>
      <c r="C56" s="59" t="str">
        <f aca="false">IF(名簿!$D56="","",名簿!$D56&amp;IF(名簿!$F56="転出","（転出）",""))</f>
        <v/>
      </c>
      <c r="D56" s="149"/>
      <c r="E56" s="61" t="str">
        <f aca="false">IF(OR($C56="",名簿!$F56="転出"),"",IF($C$2="学級ごと",$A56,IF($C$2="前の単元と同じ",単元05!$E56&amp;"",$D56&amp;"")))</f>
        <v/>
      </c>
      <c r="F56" s="150"/>
      <c r="G56" s="150"/>
      <c r="H56" s="150"/>
      <c r="I56" s="151"/>
      <c r="J56" s="41" t="str">
        <f aca="false">IF($E56="","",$E56&amp;"|"&amp;COUNTIF($E$5:$E56,$E56))</f>
        <v/>
      </c>
      <c r="K56" s="40" t="str">
        <f aca="false">IF($I56="","",LEN($I56))</f>
        <v/>
      </c>
      <c r="L56" s="13"/>
      <c r="M56" s="13"/>
      <c r="N56" s="13"/>
      <c r="O56" s="13"/>
      <c r="P56" s="152"/>
      <c r="Q56" s="149"/>
      <c r="R56" s="152"/>
      <c r="S56" s="152"/>
      <c r="T56" s="62" t="str">
        <f aca="false">IF(OR($C56="",R56=""),"",IF(R56/IF($R$2="",100,$R$2)&gt;=設定!$I$28,設定!$G$8,IF(R56/IF($R$2="",100,$R$2)&lt;設定!$I$29,設定!$G$10,設定!$G$9)))</f>
        <v/>
      </c>
      <c r="U56" s="62" t="str">
        <f aca="false">IF(OR($C56="",S56=""),"",IF(S56/IF($S$2="",100,$S$2)&gt;=設定!$I$28,設定!$G$8,IF(S56/IF($S$2="",100,$S$2)&lt;設定!$I$29,設定!$G$10,設定!$G$9)))</f>
        <v/>
      </c>
    </row>
    <row r="57" customFormat="false" ht="21" hidden="false" customHeight="true" outlineLevel="0" collapsed="false">
      <c r="A57" s="91" t="str">
        <f aca="false">IF(名簿!$D57="","",名簿!$B57&amp;"")</f>
        <v/>
      </c>
      <c r="B57" s="91" t="str">
        <f aca="false">IF(名簿!$D57="","",名簿!$C57)</f>
        <v/>
      </c>
      <c r="C57" s="59" t="str">
        <f aca="false">IF(名簿!$D57="","",名簿!$D57&amp;IF(名簿!$F57="転出","（転出）",""))</f>
        <v/>
      </c>
      <c r="D57" s="149"/>
      <c r="E57" s="61" t="str">
        <f aca="false">IF(OR($C57="",名簿!$F57="転出"),"",IF($C$2="学級ごと",$A57,IF($C$2="前の単元と同じ",単元05!$E57&amp;"",$D57&amp;"")))</f>
        <v/>
      </c>
      <c r="F57" s="150"/>
      <c r="G57" s="150"/>
      <c r="H57" s="150"/>
      <c r="I57" s="151"/>
      <c r="J57" s="41" t="str">
        <f aca="false">IF($E57="","",$E57&amp;"|"&amp;COUNTIF($E$5:$E57,$E57))</f>
        <v/>
      </c>
      <c r="K57" s="40" t="str">
        <f aca="false">IF($I57="","",LEN($I57))</f>
        <v/>
      </c>
      <c r="L57" s="13"/>
      <c r="M57" s="13"/>
      <c r="N57" s="13"/>
      <c r="O57" s="13"/>
      <c r="P57" s="152"/>
      <c r="Q57" s="149"/>
      <c r="R57" s="152"/>
      <c r="S57" s="152"/>
      <c r="T57" s="62" t="str">
        <f aca="false">IF(OR($C57="",R57=""),"",IF(R57/IF($R$2="",100,$R$2)&gt;=設定!$I$28,設定!$G$8,IF(R57/IF($R$2="",100,$R$2)&lt;設定!$I$29,設定!$G$10,設定!$G$9)))</f>
        <v/>
      </c>
      <c r="U57" s="62" t="str">
        <f aca="false">IF(OR($C57="",S57=""),"",IF(S57/IF($S$2="",100,$S$2)&gt;=設定!$I$28,設定!$G$8,IF(S57/IF($S$2="",100,$S$2)&lt;設定!$I$29,設定!$G$10,設定!$G$9)))</f>
        <v/>
      </c>
    </row>
    <row r="58" customFormat="false" ht="21" hidden="false" customHeight="true" outlineLevel="0" collapsed="false">
      <c r="A58" s="91" t="str">
        <f aca="false">IF(名簿!$D58="","",名簿!$B58&amp;"")</f>
        <v/>
      </c>
      <c r="B58" s="91" t="str">
        <f aca="false">IF(名簿!$D58="","",名簿!$C58)</f>
        <v/>
      </c>
      <c r="C58" s="59" t="str">
        <f aca="false">IF(名簿!$D58="","",名簿!$D58&amp;IF(名簿!$F58="転出","（転出）",""))</f>
        <v/>
      </c>
      <c r="D58" s="149"/>
      <c r="E58" s="61" t="str">
        <f aca="false">IF(OR($C58="",名簿!$F58="転出"),"",IF($C$2="学級ごと",$A58,IF($C$2="前の単元と同じ",単元05!$E58&amp;"",$D58&amp;"")))</f>
        <v/>
      </c>
      <c r="F58" s="150"/>
      <c r="G58" s="150"/>
      <c r="H58" s="150"/>
      <c r="I58" s="151"/>
      <c r="J58" s="41" t="str">
        <f aca="false">IF($E58="","",$E58&amp;"|"&amp;COUNTIF($E$5:$E58,$E58))</f>
        <v/>
      </c>
      <c r="K58" s="40" t="str">
        <f aca="false">IF($I58="","",LEN($I58))</f>
        <v/>
      </c>
      <c r="L58" s="13"/>
      <c r="M58" s="13"/>
      <c r="N58" s="13"/>
      <c r="O58" s="13"/>
      <c r="P58" s="152"/>
      <c r="Q58" s="149"/>
      <c r="R58" s="152"/>
      <c r="S58" s="152"/>
      <c r="T58" s="62" t="str">
        <f aca="false">IF(OR($C58="",R58=""),"",IF(R58/IF($R$2="",100,$R$2)&gt;=設定!$I$28,設定!$G$8,IF(R58/IF($R$2="",100,$R$2)&lt;設定!$I$29,設定!$G$10,設定!$G$9)))</f>
        <v/>
      </c>
      <c r="U58" s="62" t="str">
        <f aca="false">IF(OR($C58="",S58=""),"",IF(S58/IF($S$2="",100,$S$2)&gt;=設定!$I$28,設定!$G$8,IF(S58/IF($S$2="",100,$S$2)&lt;設定!$I$29,設定!$G$10,設定!$G$9)))</f>
        <v/>
      </c>
    </row>
    <row r="59" customFormat="false" ht="21" hidden="false" customHeight="true" outlineLevel="0" collapsed="false">
      <c r="A59" s="91" t="str">
        <f aca="false">IF(名簿!$D59="","",名簿!$B59&amp;"")</f>
        <v/>
      </c>
      <c r="B59" s="91" t="str">
        <f aca="false">IF(名簿!$D59="","",名簿!$C59)</f>
        <v/>
      </c>
      <c r="C59" s="59" t="str">
        <f aca="false">IF(名簿!$D59="","",名簿!$D59&amp;IF(名簿!$F59="転出","（転出）",""))</f>
        <v/>
      </c>
      <c r="D59" s="149"/>
      <c r="E59" s="61" t="str">
        <f aca="false">IF(OR($C59="",名簿!$F59="転出"),"",IF($C$2="学級ごと",$A59,IF($C$2="前の単元と同じ",単元05!$E59&amp;"",$D59&amp;"")))</f>
        <v/>
      </c>
      <c r="F59" s="150"/>
      <c r="G59" s="150"/>
      <c r="H59" s="150"/>
      <c r="I59" s="151"/>
      <c r="J59" s="41" t="str">
        <f aca="false">IF($E59="","",$E59&amp;"|"&amp;COUNTIF($E$5:$E59,$E59))</f>
        <v/>
      </c>
      <c r="K59" s="40" t="str">
        <f aca="false">IF($I59="","",LEN($I59))</f>
        <v/>
      </c>
      <c r="L59" s="13"/>
      <c r="M59" s="13"/>
      <c r="N59" s="13"/>
      <c r="O59" s="13"/>
      <c r="P59" s="152"/>
      <c r="Q59" s="149"/>
      <c r="R59" s="152"/>
      <c r="S59" s="152"/>
      <c r="T59" s="62" t="str">
        <f aca="false">IF(OR($C59="",R59=""),"",IF(R59/IF($R$2="",100,$R$2)&gt;=設定!$I$28,設定!$G$8,IF(R59/IF($R$2="",100,$R$2)&lt;設定!$I$29,設定!$G$10,設定!$G$9)))</f>
        <v/>
      </c>
      <c r="U59" s="62" t="str">
        <f aca="false">IF(OR($C59="",S59=""),"",IF(S59/IF($S$2="",100,$S$2)&gt;=設定!$I$28,設定!$G$8,IF(S59/IF($S$2="",100,$S$2)&lt;設定!$I$29,設定!$G$10,設定!$G$9)))</f>
        <v/>
      </c>
    </row>
    <row r="60" customFormat="false" ht="21" hidden="false" customHeight="true" outlineLevel="0" collapsed="false">
      <c r="A60" s="91" t="str">
        <f aca="false">IF(名簿!$D60="","",名簿!$B60&amp;"")</f>
        <v/>
      </c>
      <c r="B60" s="91" t="str">
        <f aca="false">IF(名簿!$D60="","",名簿!$C60)</f>
        <v/>
      </c>
      <c r="C60" s="59" t="str">
        <f aca="false">IF(名簿!$D60="","",名簿!$D60&amp;IF(名簿!$F60="転出","（転出）",""))</f>
        <v/>
      </c>
      <c r="D60" s="149"/>
      <c r="E60" s="61" t="str">
        <f aca="false">IF(OR($C60="",名簿!$F60="転出"),"",IF($C$2="学級ごと",$A60,IF($C$2="前の単元と同じ",単元05!$E60&amp;"",$D60&amp;"")))</f>
        <v/>
      </c>
      <c r="F60" s="150"/>
      <c r="G60" s="150"/>
      <c r="H60" s="150"/>
      <c r="I60" s="151"/>
      <c r="J60" s="41" t="str">
        <f aca="false">IF($E60="","",$E60&amp;"|"&amp;COUNTIF($E$5:$E60,$E60))</f>
        <v/>
      </c>
      <c r="K60" s="40" t="str">
        <f aca="false">IF($I60="","",LEN($I60))</f>
        <v/>
      </c>
      <c r="L60" s="13"/>
      <c r="M60" s="13"/>
      <c r="N60" s="13"/>
      <c r="O60" s="13"/>
      <c r="P60" s="152"/>
      <c r="Q60" s="149"/>
      <c r="R60" s="152"/>
      <c r="S60" s="152"/>
      <c r="T60" s="62" t="str">
        <f aca="false">IF(OR($C60="",R60=""),"",IF(R60/IF($R$2="",100,$R$2)&gt;=設定!$I$28,設定!$G$8,IF(R60/IF($R$2="",100,$R$2)&lt;設定!$I$29,設定!$G$10,設定!$G$9)))</f>
        <v/>
      </c>
      <c r="U60" s="62" t="str">
        <f aca="false">IF(OR($C60="",S60=""),"",IF(S60/IF($S$2="",100,$S$2)&gt;=設定!$I$28,設定!$G$8,IF(S60/IF($S$2="",100,$S$2)&lt;設定!$I$29,設定!$G$10,設定!$G$9)))</f>
        <v/>
      </c>
    </row>
    <row r="61" customFormat="false" ht="21" hidden="false" customHeight="true" outlineLevel="0" collapsed="false">
      <c r="A61" s="91" t="str">
        <f aca="false">IF(名簿!$D61="","",名簿!$B61&amp;"")</f>
        <v/>
      </c>
      <c r="B61" s="91" t="str">
        <f aca="false">IF(名簿!$D61="","",名簿!$C61)</f>
        <v/>
      </c>
      <c r="C61" s="59" t="str">
        <f aca="false">IF(名簿!$D61="","",名簿!$D61&amp;IF(名簿!$F61="転出","（転出）",""))</f>
        <v/>
      </c>
      <c r="D61" s="149"/>
      <c r="E61" s="61" t="str">
        <f aca="false">IF(OR($C61="",名簿!$F61="転出"),"",IF($C$2="学級ごと",$A61,IF($C$2="前の単元と同じ",単元05!$E61&amp;"",$D61&amp;"")))</f>
        <v/>
      </c>
      <c r="F61" s="150"/>
      <c r="G61" s="150"/>
      <c r="H61" s="150"/>
      <c r="I61" s="151"/>
      <c r="J61" s="41" t="str">
        <f aca="false">IF($E61="","",$E61&amp;"|"&amp;COUNTIF($E$5:$E61,$E61))</f>
        <v/>
      </c>
      <c r="K61" s="40" t="str">
        <f aca="false">IF($I61="","",LEN($I61))</f>
        <v/>
      </c>
      <c r="L61" s="13"/>
      <c r="M61" s="13"/>
      <c r="N61" s="13"/>
      <c r="O61" s="13"/>
      <c r="P61" s="152"/>
      <c r="Q61" s="149"/>
      <c r="R61" s="152"/>
      <c r="S61" s="152"/>
      <c r="T61" s="62" t="str">
        <f aca="false">IF(OR($C61="",R61=""),"",IF(R61/IF($R$2="",100,$R$2)&gt;=設定!$I$28,設定!$G$8,IF(R61/IF($R$2="",100,$R$2)&lt;設定!$I$29,設定!$G$10,設定!$G$9)))</f>
        <v/>
      </c>
      <c r="U61" s="62" t="str">
        <f aca="false">IF(OR($C61="",S61=""),"",IF(S61/IF($S$2="",100,$S$2)&gt;=設定!$I$28,設定!$G$8,IF(S61/IF($S$2="",100,$S$2)&lt;設定!$I$29,設定!$G$10,設定!$G$9)))</f>
        <v/>
      </c>
    </row>
    <row r="62" customFormat="false" ht="21" hidden="false" customHeight="true" outlineLevel="0" collapsed="false">
      <c r="A62" s="91" t="str">
        <f aca="false">IF(名簿!$D62="","",名簿!$B62&amp;"")</f>
        <v/>
      </c>
      <c r="B62" s="91" t="str">
        <f aca="false">IF(名簿!$D62="","",名簿!$C62)</f>
        <v/>
      </c>
      <c r="C62" s="59" t="str">
        <f aca="false">IF(名簿!$D62="","",名簿!$D62&amp;IF(名簿!$F62="転出","（転出）",""))</f>
        <v/>
      </c>
      <c r="D62" s="149"/>
      <c r="E62" s="61" t="str">
        <f aca="false">IF(OR($C62="",名簿!$F62="転出"),"",IF($C$2="学級ごと",$A62,IF($C$2="前の単元と同じ",単元05!$E62&amp;"",$D62&amp;"")))</f>
        <v/>
      </c>
      <c r="F62" s="150"/>
      <c r="G62" s="150"/>
      <c r="H62" s="150"/>
      <c r="I62" s="151"/>
      <c r="J62" s="41" t="str">
        <f aca="false">IF($E62="","",$E62&amp;"|"&amp;COUNTIF($E$5:$E62,$E62))</f>
        <v/>
      </c>
      <c r="K62" s="40" t="str">
        <f aca="false">IF($I62="","",LEN($I62))</f>
        <v/>
      </c>
      <c r="L62" s="13"/>
      <c r="M62" s="13"/>
      <c r="N62" s="13"/>
      <c r="O62" s="13"/>
      <c r="P62" s="152"/>
      <c r="Q62" s="149"/>
      <c r="R62" s="152"/>
      <c r="S62" s="152"/>
      <c r="T62" s="62" t="str">
        <f aca="false">IF(OR($C62="",R62=""),"",IF(R62/IF($R$2="",100,$R$2)&gt;=設定!$I$28,設定!$G$8,IF(R62/IF($R$2="",100,$R$2)&lt;設定!$I$29,設定!$G$10,設定!$G$9)))</f>
        <v/>
      </c>
      <c r="U62" s="62" t="str">
        <f aca="false">IF(OR($C62="",S62=""),"",IF(S62/IF($S$2="",100,$S$2)&gt;=設定!$I$28,設定!$G$8,IF(S62/IF($S$2="",100,$S$2)&lt;設定!$I$29,設定!$G$10,設定!$G$9)))</f>
        <v/>
      </c>
    </row>
    <row r="63" customFormat="false" ht="21" hidden="false" customHeight="true" outlineLevel="0" collapsed="false">
      <c r="A63" s="91" t="str">
        <f aca="false">IF(名簿!$D63="","",名簿!$B63&amp;"")</f>
        <v/>
      </c>
      <c r="B63" s="91" t="str">
        <f aca="false">IF(名簿!$D63="","",名簿!$C63)</f>
        <v/>
      </c>
      <c r="C63" s="59" t="str">
        <f aca="false">IF(名簿!$D63="","",名簿!$D63&amp;IF(名簿!$F63="転出","（転出）",""))</f>
        <v/>
      </c>
      <c r="D63" s="149"/>
      <c r="E63" s="61" t="str">
        <f aca="false">IF(OR($C63="",名簿!$F63="転出"),"",IF($C$2="学級ごと",$A63,IF($C$2="前の単元と同じ",単元05!$E63&amp;"",$D63&amp;"")))</f>
        <v/>
      </c>
      <c r="F63" s="150"/>
      <c r="G63" s="150"/>
      <c r="H63" s="150"/>
      <c r="I63" s="151"/>
      <c r="J63" s="41" t="str">
        <f aca="false">IF($E63="","",$E63&amp;"|"&amp;COUNTIF($E$5:$E63,$E63))</f>
        <v/>
      </c>
      <c r="K63" s="40" t="str">
        <f aca="false">IF($I63="","",LEN($I63))</f>
        <v/>
      </c>
      <c r="L63" s="13"/>
      <c r="M63" s="13"/>
      <c r="N63" s="13"/>
      <c r="O63" s="13"/>
      <c r="P63" s="152"/>
      <c r="Q63" s="149"/>
      <c r="R63" s="152"/>
      <c r="S63" s="152"/>
      <c r="T63" s="62" t="str">
        <f aca="false">IF(OR($C63="",R63=""),"",IF(R63/IF($R$2="",100,$R$2)&gt;=設定!$I$28,設定!$G$8,IF(R63/IF($R$2="",100,$R$2)&lt;設定!$I$29,設定!$G$10,設定!$G$9)))</f>
        <v/>
      </c>
      <c r="U63" s="62" t="str">
        <f aca="false">IF(OR($C63="",S63=""),"",IF(S63/IF($S$2="",100,$S$2)&gt;=設定!$I$28,設定!$G$8,IF(S63/IF($S$2="",100,$S$2)&lt;設定!$I$29,設定!$G$10,設定!$G$9)))</f>
        <v/>
      </c>
    </row>
    <row r="64" customFormat="false" ht="21" hidden="false" customHeight="true" outlineLevel="0" collapsed="false">
      <c r="A64" s="91" t="str">
        <f aca="false">IF(名簿!$D64="","",名簿!$B64&amp;"")</f>
        <v/>
      </c>
      <c r="B64" s="91" t="str">
        <f aca="false">IF(名簿!$D64="","",名簿!$C64)</f>
        <v/>
      </c>
      <c r="C64" s="59" t="str">
        <f aca="false">IF(名簿!$D64="","",名簿!$D64&amp;IF(名簿!$F64="転出","（転出）",""))</f>
        <v/>
      </c>
      <c r="D64" s="149"/>
      <c r="E64" s="61" t="str">
        <f aca="false">IF(OR($C64="",名簿!$F64="転出"),"",IF($C$2="学級ごと",$A64,IF($C$2="前の単元と同じ",単元05!$E64&amp;"",$D64&amp;"")))</f>
        <v/>
      </c>
      <c r="F64" s="150"/>
      <c r="G64" s="150"/>
      <c r="H64" s="150"/>
      <c r="I64" s="151"/>
      <c r="J64" s="41" t="str">
        <f aca="false">IF($E64="","",$E64&amp;"|"&amp;COUNTIF($E$5:$E64,$E64))</f>
        <v/>
      </c>
      <c r="K64" s="40" t="str">
        <f aca="false">IF($I64="","",LEN($I64))</f>
        <v/>
      </c>
      <c r="L64" s="13"/>
      <c r="M64" s="13"/>
      <c r="N64" s="13"/>
      <c r="O64" s="13"/>
      <c r="P64" s="152"/>
      <c r="Q64" s="149"/>
      <c r="R64" s="152"/>
      <c r="S64" s="152"/>
      <c r="T64" s="62" t="str">
        <f aca="false">IF(OR($C64="",R64=""),"",IF(R64/IF($R$2="",100,$R$2)&gt;=設定!$I$28,設定!$G$8,IF(R64/IF($R$2="",100,$R$2)&lt;設定!$I$29,設定!$G$10,設定!$G$9)))</f>
        <v/>
      </c>
      <c r="U64" s="62" t="str">
        <f aca="false">IF(OR($C64="",S64=""),"",IF(S64/IF($S$2="",100,$S$2)&gt;=設定!$I$28,設定!$G$8,IF(S64/IF($S$2="",100,$S$2)&lt;設定!$I$29,設定!$G$10,設定!$G$9)))</f>
        <v/>
      </c>
    </row>
    <row r="65" customFormat="false" ht="21" hidden="false" customHeight="true" outlineLevel="0" collapsed="false">
      <c r="A65" s="91" t="str">
        <f aca="false">IF(名簿!$D65="","",名簿!$B65&amp;"")</f>
        <v/>
      </c>
      <c r="B65" s="91" t="str">
        <f aca="false">IF(名簿!$D65="","",名簿!$C65)</f>
        <v/>
      </c>
      <c r="C65" s="59" t="str">
        <f aca="false">IF(名簿!$D65="","",名簿!$D65&amp;IF(名簿!$F65="転出","（転出）",""))</f>
        <v/>
      </c>
      <c r="D65" s="149"/>
      <c r="E65" s="61" t="str">
        <f aca="false">IF(OR($C65="",名簿!$F65="転出"),"",IF($C$2="学級ごと",$A65,IF($C$2="前の単元と同じ",単元05!$E65&amp;"",$D65&amp;"")))</f>
        <v/>
      </c>
      <c r="F65" s="150"/>
      <c r="G65" s="150"/>
      <c r="H65" s="150"/>
      <c r="I65" s="151"/>
      <c r="J65" s="41" t="str">
        <f aca="false">IF($E65="","",$E65&amp;"|"&amp;COUNTIF($E$5:$E65,$E65))</f>
        <v/>
      </c>
      <c r="K65" s="40" t="str">
        <f aca="false">IF($I65="","",LEN($I65))</f>
        <v/>
      </c>
      <c r="L65" s="13"/>
      <c r="M65" s="13"/>
      <c r="N65" s="13"/>
      <c r="O65" s="13"/>
      <c r="P65" s="152"/>
      <c r="Q65" s="149"/>
      <c r="R65" s="152"/>
      <c r="S65" s="152"/>
      <c r="T65" s="62" t="str">
        <f aca="false">IF(OR($C65="",R65=""),"",IF(R65/IF($R$2="",100,$R$2)&gt;=設定!$I$28,設定!$G$8,IF(R65/IF($R$2="",100,$R$2)&lt;設定!$I$29,設定!$G$10,設定!$G$9)))</f>
        <v/>
      </c>
      <c r="U65" s="62" t="str">
        <f aca="false">IF(OR($C65="",S65=""),"",IF(S65/IF($S$2="",100,$S$2)&gt;=設定!$I$28,設定!$G$8,IF(S65/IF($S$2="",100,$S$2)&lt;設定!$I$29,設定!$G$10,設定!$G$9)))</f>
        <v/>
      </c>
    </row>
    <row r="66" customFormat="false" ht="21" hidden="false" customHeight="true" outlineLevel="0" collapsed="false">
      <c r="A66" s="91" t="str">
        <f aca="false">IF(名簿!$D66="","",名簿!$B66&amp;"")</f>
        <v/>
      </c>
      <c r="B66" s="91" t="str">
        <f aca="false">IF(名簿!$D66="","",名簿!$C66)</f>
        <v/>
      </c>
      <c r="C66" s="59" t="str">
        <f aca="false">IF(名簿!$D66="","",名簿!$D66&amp;IF(名簿!$F66="転出","（転出）",""))</f>
        <v/>
      </c>
      <c r="D66" s="149"/>
      <c r="E66" s="61" t="str">
        <f aca="false">IF(OR($C66="",名簿!$F66="転出"),"",IF($C$2="学級ごと",$A66,IF($C$2="前の単元と同じ",単元05!$E66&amp;"",$D66&amp;"")))</f>
        <v/>
      </c>
      <c r="F66" s="150"/>
      <c r="G66" s="150"/>
      <c r="H66" s="150"/>
      <c r="I66" s="151"/>
      <c r="J66" s="41" t="str">
        <f aca="false">IF($E66="","",$E66&amp;"|"&amp;COUNTIF($E$5:$E66,$E66))</f>
        <v/>
      </c>
      <c r="K66" s="40" t="str">
        <f aca="false">IF($I66="","",LEN($I66))</f>
        <v/>
      </c>
      <c r="L66" s="13"/>
      <c r="M66" s="13"/>
      <c r="N66" s="13"/>
      <c r="O66" s="13"/>
      <c r="P66" s="152"/>
      <c r="Q66" s="149"/>
      <c r="R66" s="152"/>
      <c r="S66" s="152"/>
      <c r="T66" s="62" t="str">
        <f aca="false">IF(OR($C66="",R66=""),"",IF(R66/IF($R$2="",100,$R$2)&gt;=設定!$I$28,設定!$G$8,IF(R66/IF($R$2="",100,$R$2)&lt;設定!$I$29,設定!$G$10,設定!$G$9)))</f>
        <v/>
      </c>
      <c r="U66" s="62" t="str">
        <f aca="false">IF(OR($C66="",S66=""),"",IF(S66/IF($S$2="",100,$S$2)&gt;=設定!$I$28,設定!$G$8,IF(S66/IF($S$2="",100,$S$2)&lt;設定!$I$29,設定!$G$10,設定!$G$9)))</f>
        <v/>
      </c>
    </row>
    <row r="67" customFormat="false" ht="21" hidden="false" customHeight="true" outlineLevel="0" collapsed="false">
      <c r="A67" s="91" t="str">
        <f aca="false">IF(名簿!$D67="","",名簿!$B67&amp;"")</f>
        <v/>
      </c>
      <c r="B67" s="91" t="str">
        <f aca="false">IF(名簿!$D67="","",名簿!$C67)</f>
        <v/>
      </c>
      <c r="C67" s="59" t="str">
        <f aca="false">IF(名簿!$D67="","",名簿!$D67&amp;IF(名簿!$F67="転出","（転出）",""))</f>
        <v/>
      </c>
      <c r="D67" s="149"/>
      <c r="E67" s="61" t="str">
        <f aca="false">IF(OR($C67="",名簿!$F67="転出"),"",IF($C$2="学級ごと",$A67,IF($C$2="前の単元と同じ",単元05!$E67&amp;"",$D67&amp;"")))</f>
        <v/>
      </c>
      <c r="F67" s="150"/>
      <c r="G67" s="150"/>
      <c r="H67" s="150"/>
      <c r="I67" s="151"/>
      <c r="J67" s="41" t="str">
        <f aca="false">IF($E67="","",$E67&amp;"|"&amp;COUNTIF($E$5:$E67,$E67))</f>
        <v/>
      </c>
      <c r="K67" s="40" t="str">
        <f aca="false">IF($I67="","",LEN($I67))</f>
        <v/>
      </c>
      <c r="L67" s="13"/>
      <c r="M67" s="13"/>
      <c r="N67" s="13"/>
      <c r="O67" s="13"/>
      <c r="P67" s="152"/>
      <c r="Q67" s="149"/>
      <c r="R67" s="152"/>
      <c r="S67" s="152"/>
      <c r="T67" s="62" t="str">
        <f aca="false">IF(OR($C67="",R67=""),"",IF(R67/IF($R$2="",100,$R$2)&gt;=設定!$I$28,設定!$G$8,IF(R67/IF($R$2="",100,$R$2)&lt;設定!$I$29,設定!$G$10,設定!$G$9)))</f>
        <v/>
      </c>
      <c r="U67" s="62" t="str">
        <f aca="false">IF(OR($C67="",S67=""),"",IF(S67/IF($S$2="",100,$S$2)&gt;=設定!$I$28,設定!$G$8,IF(S67/IF($S$2="",100,$S$2)&lt;設定!$I$29,設定!$G$10,設定!$G$9)))</f>
        <v/>
      </c>
    </row>
    <row r="68" customFormat="false" ht="21" hidden="false" customHeight="true" outlineLevel="0" collapsed="false">
      <c r="A68" s="91" t="str">
        <f aca="false">IF(名簿!$D68="","",名簿!$B68&amp;"")</f>
        <v/>
      </c>
      <c r="B68" s="91" t="str">
        <f aca="false">IF(名簿!$D68="","",名簿!$C68)</f>
        <v/>
      </c>
      <c r="C68" s="59" t="str">
        <f aca="false">IF(名簿!$D68="","",名簿!$D68&amp;IF(名簿!$F68="転出","（転出）",""))</f>
        <v/>
      </c>
      <c r="D68" s="149"/>
      <c r="E68" s="61" t="str">
        <f aca="false">IF(OR($C68="",名簿!$F68="転出"),"",IF($C$2="学級ごと",$A68,IF($C$2="前の単元と同じ",単元05!$E68&amp;"",$D68&amp;"")))</f>
        <v/>
      </c>
      <c r="F68" s="150"/>
      <c r="G68" s="150"/>
      <c r="H68" s="150"/>
      <c r="I68" s="151"/>
      <c r="J68" s="41" t="str">
        <f aca="false">IF($E68="","",$E68&amp;"|"&amp;COUNTIF($E$5:$E68,$E68))</f>
        <v/>
      </c>
      <c r="K68" s="40" t="str">
        <f aca="false">IF($I68="","",LEN($I68))</f>
        <v/>
      </c>
      <c r="L68" s="13"/>
      <c r="M68" s="13"/>
      <c r="N68" s="13"/>
      <c r="O68" s="13"/>
      <c r="P68" s="152"/>
      <c r="Q68" s="149"/>
      <c r="R68" s="152"/>
      <c r="S68" s="152"/>
      <c r="T68" s="62" t="str">
        <f aca="false">IF(OR($C68="",R68=""),"",IF(R68/IF($R$2="",100,$R$2)&gt;=設定!$I$28,設定!$G$8,IF(R68/IF($R$2="",100,$R$2)&lt;設定!$I$29,設定!$G$10,設定!$G$9)))</f>
        <v/>
      </c>
      <c r="U68" s="62" t="str">
        <f aca="false">IF(OR($C68="",S68=""),"",IF(S68/IF($S$2="",100,$S$2)&gt;=設定!$I$28,設定!$G$8,IF(S68/IF($S$2="",100,$S$2)&lt;設定!$I$29,設定!$G$10,設定!$G$9)))</f>
        <v/>
      </c>
    </row>
    <row r="69" customFormat="false" ht="21" hidden="false" customHeight="true" outlineLevel="0" collapsed="false">
      <c r="A69" s="91" t="str">
        <f aca="false">IF(名簿!$D69="","",名簿!$B69&amp;"")</f>
        <v/>
      </c>
      <c r="B69" s="91" t="str">
        <f aca="false">IF(名簿!$D69="","",名簿!$C69)</f>
        <v/>
      </c>
      <c r="C69" s="59" t="str">
        <f aca="false">IF(名簿!$D69="","",名簿!$D69&amp;IF(名簿!$F69="転出","（転出）",""))</f>
        <v/>
      </c>
      <c r="D69" s="149"/>
      <c r="E69" s="61" t="str">
        <f aca="false">IF(OR($C69="",名簿!$F69="転出"),"",IF($C$2="学級ごと",$A69,IF($C$2="前の単元と同じ",単元05!$E69&amp;"",$D69&amp;"")))</f>
        <v/>
      </c>
      <c r="F69" s="150"/>
      <c r="G69" s="150"/>
      <c r="H69" s="150"/>
      <c r="I69" s="151"/>
      <c r="J69" s="41" t="str">
        <f aca="false">IF($E69="","",$E69&amp;"|"&amp;COUNTIF($E$5:$E69,$E69))</f>
        <v/>
      </c>
      <c r="K69" s="40" t="str">
        <f aca="false">IF($I69="","",LEN($I69))</f>
        <v/>
      </c>
      <c r="L69" s="13"/>
      <c r="M69" s="13"/>
      <c r="N69" s="13"/>
      <c r="O69" s="13"/>
      <c r="P69" s="152"/>
      <c r="Q69" s="149"/>
      <c r="R69" s="152"/>
      <c r="S69" s="152"/>
      <c r="T69" s="62" t="str">
        <f aca="false">IF(OR($C69="",R69=""),"",IF(R69/IF($R$2="",100,$R$2)&gt;=設定!$I$28,設定!$G$8,IF(R69/IF($R$2="",100,$R$2)&lt;設定!$I$29,設定!$G$10,設定!$G$9)))</f>
        <v/>
      </c>
      <c r="U69" s="62" t="str">
        <f aca="false">IF(OR($C69="",S69=""),"",IF(S69/IF($S$2="",100,$S$2)&gt;=設定!$I$28,設定!$G$8,IF(S69/IF($S$2="",100,$S$2)&lt;設定!$I$29,設定!$G$10,設定!$G$9)))</f>
        <v/>
      </c>
    </row>
    <row r="70" customFormat="false" ht="21" hidden="false" customHeight="true" outlineLevel="0" collapsed="false">
      <c r="A70" s="91" t="str">
        <f aca="false">IF(名簿!$D70="","",名簿!$B70&amp;"")</f>
        <v/>
      </c>
      <c r="B70" s="91" t="str">
        <f aca="false">IF(名簿!$D70="","",名簿!$C70)</f>
        <v/>
      </c>
      <c r="C70" s="59" t="str">
        <f aca="false">IF(名簿!$D70="","",名簿!$D70&amp;IF(名簿!$F70="転出","（転出）",""))</f>
        <v/>
      </c>
      <c r="D70" s="149"/>
      <c r="E70" s="61" t="str">
        <f aca="false">IF(OR($C70="",名簿!$F70="転出"),"",IF($C$2="学級ごと",$A70,IF($C$2="前の単元と同じ",単元05!$E70&amp;"",$D70&amp;"")))</f>
        <v/>
      </c>
      <c r="F70" s="150"/>
      <c r="G70" s="150"/>
      <c r="H70" s="150"/>
      <c r="I70" s="151"/>
      <c r="J70" s="41" t="str">
        <f aca="false">IF($E70="","",$E70&amp;"|"&amp;COUNTIF($E$5:$E70,$E70))</f>
        <v/>
      </c>
      <c r="K70" s="40" t="str">
        <f aca="false">IF($I70="","",LEN($I70))</f>
        <v/>
      </c>
      <c r="L70" s="13"/>
      <c r="M70" s="13"/>
      <c r="N70" s="13"/>
      <c r="O70" s="13"/>
      <c r="P70" s="152"/>
      <c r="Q70" s="149"/>
      <c r="R70" s="152"/>
      <c r="S70" s="152"/>
      <c r="T70" s="62" t="str">
        <f aca="false">IF(OR($C70="",R70=""),"",IF(R70/IF($R$2="",100,$R$2)&gt;=設定!$I$28,設定!$G$8,IF(R70/IF($R$2="",100,$R$2)&lt;設定!$I$29,設定!$G$10,設定!$G$9)))</f>
        <v/>
      </c>
      <c r="U70" s="62" t="str">
        <f aca="false">IF(OR($C70="",S70=""),"",IF(S70/IF($S$2="",100,$S$2)&gt;=設定!$I$28,設定!$G$8,IF(S70/IF($S$2="",100,$S$2)&lt;設定!$I$29,設定!$G$10,設定!$G$9)))</f>
        <v/>
      </c>
    </row>
    <row r="71" customFormat="false" ht="21" hidden="false" customHeight="true" outlineLevel="0" collapsed="false">
      <c r="A71" s="91" t="str">
        <f aca="false">IF(名簿!$D71="","",名簿!$B71&amp;"")</f>
        <v/>
      </c>
      <c r="B71" s="91" t="str">
        <f aca="false">IF(名簿!$D71="","",名簿!$C71)</f>
        <v/>
      </c>
      <c r="C71" s="59" t="str">
        <f aca="false">IF(名簿!$D71="","",名簿!$D71&amp;IF(名簿!$F71="転出","（転出）",""))</f>
        <v/>
      </c>
      <c r="D71" s="149"/>
      <c r="E71" s="61" t="str">
        <f aca="false">IF(OR($C71="",名簿!$F71="転出"),"",IF($C$2="学級ごと",$A71,IF($C$2="前の単元と同じ",単元05!$E71&amp;"",$D71&amp;"")))</f>
        <v/>
      </c>
      <c r="F71" s="150"/>
      <c r="G71" s="150"/>
      <c r="H71" s="150"/>
      <c r="I71" s="151"/>
      <c r="J71" s="41" t="str">
        <f aca="false">IF($E71="","",$E71&amp;"|"&amp;COUNTIF($E$5:$E71,$E71))</f>
        <v/>
      </c>
      <c r="K71" s="40" t="str">
        <f aca="false">IF($I71="","",LEN($I71))</f>
        <v/>
      </c>
      <c r="L71" s="13"/>
      <c r="M71" s="13"/>
      <c r="N71" s="13"/>
      <c r="O71" s="13"/>
      <c r="P71" s="152"/>
      <c r="Q71" s="149"/>
      <c r="R71" s="152"/>
      <c r="S71" s="152"/>
      <c r="T71" s="62" t="str">
        <f aca="false">IF(OR($C71="",R71=""),"",IF(R71/IF($R$2="",100,$R$2)&gt;=設定!$I$28,設定!$G$8,IF(R71/IF($R$2="",100,$R$2)&lt;設定!$I$29,設定!$G$10,設定!$G$9)))</f>
        <v/>
      </c>
      <c r="U71" s="62" t="str">
        <f aca="false">IF(OR($C71="",S71=""),"",IF(S71/IF($S$2="",100,$S$2)&gt;=設定!$I$28,設定!$G$8,IF(S71/IF($S$2="",100,$S$2)&lt;設定!$I$29,設定!$G$10,設定!$G$9)))</f>
        <v/>
      </c>
    </row>
    <row r="72" customFormat="false" ht="21" hidden="false" customHeight="true" outlineLevel="0" collapsed="false">
      <c r="A72" s="91" t="str">
        <f aca="false">IF(名簿!$D72="","",名簿!$B72&amp;"")</f>
        <v/>
      </c>
      <c r="B72" s="91" t="str">
        <f aca="false">IF(名簿!$D72="","",名簿!$C72)</f>
        <v/>
      </c>
      <c r="C72" s="59" t="str">
        <f aca="false">IF(名簿!$D72="","",名簿!$D72&amp;IF(名簿!$F72="転出","（転出）",""))</f>
        <v/>
      </c>
      <c r="D72" s="149"/>
      <c r="E72" s="61" t="str">
        <f aca="false">IF(OR($C72="",名簿!$F72="転出"),"",IF($C$2="学級ごと",$A72,IF($C$2="前の単元と同じ",単元05!$E72&amp;"",$D72&amp;"")))</f>
        <v/>
      </c>
      <c r="F72" s="150"/>
      <c r="G72" s="150"/>
      <c r="H72" s="150"/>
      <c r="I72" s="151"/>
      <c r="J72" s="41" t="str">
        <f aca="false">IF($E72="","",$E72&amp;"|"&amp;COUNTIF($E$5:$E72,$E72))</f>
        <v/>
      </c>
      <c r="K72" s="40" t="str">
        <f aca="false">IF($I72="","",LEN($I72))</f>
        <v/>
      </c>
      <c r="L72" s="13"/>
      <c r="M72" s="13"/>
      <c r="N72" s="13"/>
      <c r="O72" s="13"/>
      <c r="P72" s="152"/>
      <c r="Q72" s="149"/>
      <c r="R72" s="152"/>
      <c r="S72" s="152"/>
      <c r="T72" s="62" t="str">
        <f aca="false">IF(OR($C72="",R72=""),"",IF(R72/IF($R$2="",100,$R$2)&gt;=設定!$I$28,設定!$G$8,IF(R72/IF($R$2="",100,$R$2)&lt;設定!$I$29,設定!$G$10,設定!$G$9)))</f>
        <v/>
      </c>
      <c r="U72" s="62" t="str">
        <f aca="false">IF(OR($C72="",S72=""),"",IF(S72/IF($S$2="",100,$S$2)&gt;=設定!$I$28,設定!$G$8,IF(S72/IF($S$2="",100,$S$2)&lt;設定!$I$29,設定!$G$10,設定!$G$9)))</f>
        <v/>
      </c>
    </row>
    <row r="73" customFormat="false" ht="21" hidden="false" customHeight="true" outlineLevel="0" collapsed="false">
      <c r="A73" s="91" t="str">
        <f aca="false">IF(名簿!$D73="","",名簿!$B73&amp;"")</f>
        <v/>
      </c>
      <c r="B73" s="91" t="str">
        <f aca="false">IF(名簿!$D73="","",名簿!$C73)</f>
        <v/>
      </c>
      <c r="C73" s="59" t="str">
        <f aca="false">IF(名簿!$D73="","",名簿!$D73&amp;IF(名簿!$F73="転出","（転出）",""))</f>
        <v/>
      </c>
      <c r="D73" s="149"/>
      <c r="E73" s="61" t="str">
        <f aca="false">IF(OR($C73="",名簿!$F73="転出"),"",IF($C$2="学級ごと",$A73,IF($C$2="前の単元と同じ",単元05!$E73&amp;"",$D73&amp;"")))</f>
        <v/>
      </c>
      <c r="F73" s="150"/>
      <c r="G73" s="150"/>
      <c r="H73" s="150"/>
      <c r="I73" s="151"/>
      <c r="J73" s="41" t="str">
        <f aca="false">IF($E73="","",$E73&amp;"|"&amp;COUNTIF($E$5:$E73,$E73))</f>
        <v/>
      </c>
      <c r="K73" s="40" t="str">
        <f aca="false">IF($I73="","",LEN($I73))</f>
        <v/>
      </c>
      <c r="L73" s="13"/>
      <c r="M73" s="13"/>
      <c r="N73" s="13"/>
      <c r="O73" s="13"/>
      <c r="P73" s="152"/>
      <c r="Q73" s="149"/>
      <c r="R73" s="152"/>
      <c r="S73" s="152"/>
      <c r="T73" s="62" t="str">
        <f aca="false">IF(OR($C73="",R73=""),"",IF(R73/IF($R$2="",100,$R$2)&gt;=設定!$I$28,設定!$G$8,IF(R73/IF($R$2="",100,$R$2)&lt;設定!$I$29,設定!$G$10,設定!$G$9)))</f>
        <v/>
      </c>
      <c r="U73" s="62" t="str">
        <f aca="false">IF(OR($C73="",S73=""),"",IF(S73/IF($S$2="",100,$S$2)&gt;=設定!$I$28,設定!$G$8,IF(S73/IF($S$2="",100,$S$2)&lt;設定!$I$29,設定!$G$10,設定!$G$9)))</f>
        <v/>
      </c>
    </row>
    <row r="74" customFormat="false" ht="21" hidden="false" customHeight="true" outlineLevel="0" collapsed="false">
      <c r="A74" s="91" t="str">
        <f aca="false">IF(名簿!$D74="","",名簿!$B74&amp;"")</f>
        <v/>
      </c>
      <c r="B74" s="91" t="str">
        <f aca="false">IF(名簿!$D74="","",名簿!$C74)</f>
        <v/>
      </c>
      <c r="C74" s="59" t="str">
        <f aca="false">IF(名簿!$D74="","",名簿!$D74&amp;IF(名簿!$F74="転出","（転出）",""))</f>
        <v/>
      </c>
      <c r="D74" s="149"/>
      <c r="E74" s="61" t="str">
        <f aca="false">IF(OR($C74="",名簿!$F74="転出"),"",IF($C$2="学級ごと",$A74,IF($C$2="前の単元と同じ",単元05!$E74&amp;"",$D74&amp;"")))</f>
        <v/>
      </c>
      <c r="F74" s="150"/>
      <c r="G74" s="150"/>
      <c r="H74" s="150"/>
      <c r="I74" s="151"/>
      <c r="J74" s="41" t="str">
        <f aca="false">IF($E74="","",$E74&amp;"|"&amp;COUNTIF($E$5:$E74,$E74))</f>
        <v/>
      </c>
      <c r="K74" s="40" t="str">
        <f aca="false">IF($I74="","",LEN($I74))</f>
        <v/>
      </c>
      <c r="L74" s="13"/>
      <c r="M74" s="13"/>
      <c r="N74" s="13"/>
      <c r="O74" s="13"/>
      <c r="P74" s="152"/>
      <c r="Q74" s="149"/>
      <c r="R74" s="152"/>
      <c r="S74" s="152"/>
      <c r="T74" s="62" t="str">
        <f aca="false">IF(OR($C74="",R74=""),"",IF(R74/IF($R$2="",100,$R$2)&gt;=設定!$I$28,設定!$G$8,IF(R74/IF($R$2="",100,$R$2)&lt;設定!$I$29,設定!$G$10,設定!$G$9)))</f>
        <v/>
      </c>
      <c r="U74" s="62" t="str">
        <f aca="false">IF(OR($C74="",S74=""),"",IF(S74/IF($S$2="",100,$S$2)&gt;=設定!$I$28,設定!$G$8,IF(S74/IF($S$2="",100,$S$2)&lt;設定!$I$29,設定!$G$10,設定!$G$9)))</f>
        <v/>
      </c>
    </row>
    <row r="75" customFormat="false" ht="21" hidden="false" customHeight="true" outlineLevel="0" collapsed="false">
      <c r="A75" s="91" t="str">
        <f aca="false">IF(名簿!$D75="","",名簿!$B75&amp;"")</f>
        <v/>
      </c>
      <c r="B75" s="91" t="str">
        <f aca="false">IF(名簿!$D75="","",名簿!$C75)</f>
        <v/>
      </c>
      <c r="C75" s="59" t="str">
        <f aca="false">IF(名簿!$D75="","",名簿!$D75&amp;IF(名簿!$F75="転出","（転出）",""))</f>
        <v/>
      </c>
      <c r="D75" s="149"/>
      <c r="E75" s="61" t="str">
        <f aca="false">IF(OR($C75="",名簿!$F75="転出"),"",IF($C$2="学級ごと",$A75,IF($C$2="前の単元と同じ",単元05!$E75&amp;"",$D75&amp;"")))</f>
        <v/>
      </c>
      <c r="F75" s="150"/>
      <c r="G75" s="150"/>
      <c r="H75" s="150"/>
      <c r="I75" s="151"/>
      <c r="J75" s="41" t="str">
        <f aca="false">IF($E75="","",$E75&amp;"|"&amp;COUNTIF($E$5:$E75,$E75))</f>
        <v/>
      </c>
      <c r="K75" s="40" t="str">
        <f aca="false">IF($I75="","",LEN($I75))</f>
        <v/>
      </c>
      <c r="L75" s="13"/>
      <c r="M75" s="13"/>
      <c r="N75" s="13"/>
      <c r="O75" s="13"/>
      <c r="P75" s="152"/>
      <c r="Q75" s="149"/>
      <c r="R75" s="152"/>
      <c r="S75" s="152"/>
      <c r="T75" s="62" t="str">
        <f aca="false">IF(OR($C75="",R75=""),"",IF(R75/IF($R$2="",100,$R$2)&gt;=設定!$I$28,設定!$G$8,IF(R75/IF($R$2="",100,$R$2)&lt;設定!$I$29,設定!$G$10,設定!$G$9)))</f>
        <v/>
      </c>
      <c r="U75" s="62" t="str">
        <f aca="false">IF(OR($C75="",S75=""),"",IF(S75/IF($S$2="",100,$S$2)&gt;=設定!$I$28,設定!$G$8,IF(S75/IF($S$2="",100,$S$2)&lt;設定!$I$29,設定!$G$10,設定!$G$9)))</f>
        <v/>
      </c>
    </row>
    <row r="76" customFormat="false" ht="21" hidden="false" customHeight="true" outlineLevel="0" collapsed="false">
      <c r="A76" s="91" t="str">
        <f aca="false">IF(名簿!$D76="","",名簿!$B76&amp;"")</f>
        <v/>
      </c>
      <c r="B76" s="91" t="str">
        <f aca="false">IF(名簿!$D76="","",名簿!$C76)</f>
        <v/>
      </c>
      <c r="C76" s="59" t="str">
        <f aca="false">IF(名簿!$D76="","",名簿!$D76&amp;IF(名簿!$F76="転出","（転出）",""))</f>
        <v/>
      </c>
      <c r="D76" s="149"/>
      <c r="E76" s="61" t="str">
        <f aca="false">IF(OR($C76="",名簿!$F76="転出"),"",IF($C$2="学級ごと",$A76,IF($C$2="前の単元と同じ",単元05!$E76&amp;"",$D76&amp;"")))</f>
        <v/>
      </c>
      <c r="F76" s="150"/>
      <c r="G76" s="150"/>
      <c r="H76" s="150"/>
      <c r="I76" s="151"/>
      <c r="J76" s="41" t="str">
        <f aca="false">IF($E76="","",$E76&amp;"|"&amp;COUNTIF($E$5:$E76,$E76))</f>
        <v/>
      </c>
      <c r="K76" s="40" t="str">
        <f aca="false">IF($I76="","",LEN($I76))</f>
        <v/>
      </c>
      <c r="L76" s="13"/>
      <c r="M76" s="13"/>
      <c r="N76" s="13"/>
      <c r="O76" s="13"/>
      <c r="P76" s="152"/>
      <c r="Q76" s="149"/>
      <c r="R76" s="152"/>
      <c r="S76" s="152"/>
      <c r="T76" s="62" t="str">
        <f aca="false">IF(OR($C76="",R76=""),"",IF(R76/IF($R$2="",100,$R$2)&gt;=設定!$I$28,設定!$G$8,IF(R76/IF($R$2="",100,$R$2)&lt;設定!$I$29,設定!$G$10,設定!$G$9)))</f>
        <v/>
      </c>
      <c r="U76" s="62" t="str">
        <f aca="false">IF(OR($C76="",S76=""),"",IF(S76/IF($S$2="",100,$S$2)&gt;=設定!$I$28,設定!$G$8,IF(S76/IF($S$2="",100,$S$2)&lt;設定!$I$29,設定!$G$10,設定!$G$9)))</f>
        <v/>
      </c>
    </row>
    <row r="77" customFormat="false" ht="21" hidden="false" customHeight="true" outlineLevel="0" collapsed="false">
      <c r="A77" s="91" t="str">
        <f aca="false">IF(名簿!$D77="","",名簿!$B77&amp;"")</f>
        <v/>
      </c>
      <c r="B77" s="91" t="str">
        <f aca="false">IF(名簿!$D77="","",名簿!$C77)</f>
        <v/>
      </c>
      <c r="C77" s="59" t="str">
        <f aca="false">IF(名簿!$D77="","",名簿!$D77&amp;IF(名簿!$F77="転出","（転出）",""))</f>
        <v/>
      </c>
      <c r="D77" s="149"/>
      <c r="E77" s="61" t="str">
        <f aca="false">IF(OR($C77="",名簿!$F77="転出"),"",IF($C$2="学級ごと",$A77,IF($C$2="前の単元と同じ",単元05!$E77&amp;"",$D77&amp;"")))</f>
        <v/>
      </c>
      <c r="F77" s="150"/>
      <c r="G77" s="150"/>
      <c r="H77" s="150"/>
      <c r="I77" s="151"/>
      <c r="J77" s="41" t="str">
        <f aca="false">IF($E77="","",$E77&amp;"|"&amp;COUNTIF($E$5:$E77,$E77))</f>
        <v/>
      </c>
      <c r="K77" s="40" t="str">
        <f aca="false">IF($I77="","",LEN($I77))</f>
        <v/>
      </c>
      <c r="L77" s="13"/>
      <c r="M77" s="13"/>
      <c r="N77" s="13"/>
      <c r="O77" s="13"/>
      <c r="P77" s="152"/>
      <c r="Q77" s="149"/>
      <c r="R77" s="152"/>
      <c r="S77" s="152"/>
      <c r="T77" s="62" t="str">
        <f aca="false">IF(OR($C77="",R77=""),"",IF(R77/IF($R$2="",100,$R$2)&gt;=設定!$I$28,設定!$G$8,IF(R77/IF($R$2="",100,$R$2)&lt;設定!$I$29,設定!$G$10,設定!$G$9)))</f>
        <v/>
      </c>
      <c r="U77" s="62" t="str">
        <f aca="false">IF(OR($C77="",S77=""),"",IF(S77/IF($S$2="",100,$S$2)&gt;=設定!$I$28,設定!$G$8,IF(S77/IF($S$2="",100,$S$2)&lt;設定!$I$29,設定!$G$10,設定!$G$9)))</f>
        <v/>
      </c>
    </row>
    <row r="78" customFormat="false" ht="21" hidden="false" customHeight="true" outlineLevel="0" collapsed="false">
      <c r="A78" s="91" t="str">
        <f aca="false">IF(名簿!$D78="","",名簿!$B78&amp;"")</f>
        <v/>
      </c>
      <c r="B78" s="91" t="str">
        <f aca="false">IF(名簿!$D78="","",名簿!$C78)</f>
        <v/>
      </c>
      <c r="C78" s="59" t="str">
        <f aca="false">IF(名簿!$D78="","",名簿!$D78&amp;IF(名簿!$F78="転出","（転出）",""))</f>
        <v/>
      </c>
      <c r="D78" s="149"/>
      <c r="E78" s="61" t="str">
        <f aca="false">IF(OR($C78="",名簿!$F78="転出"),"",IF($C$2="学級ごと",$A78,IF($C$2="前の単元と同じ",単元05!$E78&amp;"",$D78&amp;"")))</f>
        <v/>
      </c>
      <c r="F78" s="150"/>
      <c r="G78" s="150"/>
      <c r="H78" s="150"/>
      <c r="I78" s="151"/>
      <c r="J78" s="41" t="str">
        <f aca="false">IF($E78="","",$E78&amp;"|"&amp;COUNTIF($E$5:$E78,$E78))</f>
        <v/>
      </c>
      <c r="K78" s="40" t="str">
        <f aca="false">IF($I78="","",LEN($I78))</f>
        <v/>
      </c>
      <c r="L78" s="13"/>
      <c r="M78" s="13"/>
      <c r="N78" s="13"/>
      <c r="O78" s="13"/>
      <c r="P78" s="152"/>
      <c r="Q78" s="149"/>
      <c r="R78" s="152"/>
      <c r="S78" s="152"/>
      <c r="T78" s="62" t="str">
        <f aca="false">IF(OR($C78="",R78=""),"",IF(R78/IF($R$2="",100,$R$2)&gt;=設定!$I$28,設定!$G$8,IF(R78/IF($R$2="",100,$R$2)&lt;設定!$I$29,設定!$G$10,設定!$G$9)))</f>
        <v/>
      </c>
      <c r="U78" s="62" t="str">
        <f aca="false">IF(OR($C78="",S78=""),"",IF(S78/IF($S$2="",100,$S$2)&gt;=設定!$I$28,設定!$G$8,IF(S78/IF($S$2="",100,$S$2)&lt;設定!$I$29,設定!$G$10,設定!$G$9)))</f>
        <v/>
      </c>
    </row>
    <row r="79" customFormat="false" ht="21" hidden="false" customHeight="true" outlineLevel="0" collapsed="false">
      <c r="A79" s="91" t="str">
        <f aca="false">IF(名簿!$D79="","",名簿!$B79&amp;"")</f>
        <v/>
      </c>
      <c r="B79" s="91" t="str">
        <f aca="false">IF(名簿!$D79="","",名簿!$C79)</f>
        <v/>
      </c>
      <c r="C79" s="59" t="str">
        <f aca="false">IF(名簿!$D79="","",名簿!$D79&amp;IF(名簿!$F79="転出","（転出）",""))</f>
        <v/>
      </c>
      <c r="D79" s="149"/>
      <c r="E79" s="61" t="str">
        <f aca="false">IF(OR($C79="",名簿!$F79="転出"),"",IF($C$2="学級ごと",$A79,IF($C$2="前の単元と同じ",単元05!$E79&amp;"",$D79&amp;"")))</f>
        <v/>
      </c>
      <c r="F79" s="150"/>
      <c r="G79" s="150"/>
      <c r="H79" s="150"/>
      <c r="I79" s="151"/>
      <c r="J79" s="41" t="str">
        <f aca="false">IF($E79="","",$E79&amp;"|"&amp;COUNTIF($E$5:$E79,$E79))</f>
        <v/>
      </c>
      <c r="K79" s="40" t="str">
        <f aca="false">IF($I79="","",LEN($I79))</f>
        <v/>
      </c>
      <c r="L79" s="13"/>
      <c r="M79" s="13"/>
      <c r="N79" s="13"/>
      <c r="O79" s="13"/>
      <c r="P79" s="152"/>
      <c r="Q79" s="149"/>
      <c r="R79" s="152"/>
      <c r="S79" s="152"/>
      <c r="T79" s="62" t="str">
        <f aca="false">IF(OR($C79="",R79=""),"",IF(R79/IF($R$2="",100,$R$2)&gt;=設定!$I$28,設定!$G$8,IF(R79/IF($R$2="",100,$R$2)&lt;設定!$I$29,設定!$G$10,設定!$G$9)))</f>
        <v/>
      </c>
      <c r="U79" s="62" t="str">
        <f aca="false">IF(OR($C79="",S79=""),"",IF(S79/IF($S$2="",100,$S$2)&gt;=設定!$I$28,設定!$G$8,IF(S79/IF($S$2="",100,$S$2)&lt;設定!$I$29,設定!$G$10,設定!$G$9)))</f>
        <v/>
      </c>
    </row>
    <row r="80" customFormat="false" ht="21" hidden="false" customHeight="true" outlineLevel="0" collapsed="false">
      <c r="A80" s="91" t="str">
        <f aca="false">IF(名簿!$D80="","",名簿!$B80&amp;"")</f>
        <v/>
      </c>
      <c r="B80" s="91" t="str">
        <f aca="false">IF(名簿!$D80="","",名簿!$C80)</f>
        <v/>
      </c>
      <c r="C80" s="59" t="str">
        <f aca="false">IF(名簿!$D80="","",名簿!$D80&amp;IF(名簿!$F80="転出","（転出）",""))</f>
        <v/>
      </c>
      <c r="D80" s="149"/>
      <c r="E80" s="61" t="str">
        <f aca="false">IF(OR($C80="",名簿!$F80="転出"),"",IF($C$2="学級ごと",$A80,IF($C$2="前の単元と同じ",単元05!$E80&amp;"",$D80&amp;"")))</f>
        <v/>
      </c>
      <c r="F80" s="150"/>
      <c r="G80" s="150"/>
      <c r="H80" s="150"/>
      <c r="I80" s="151"/>
      <c r="J80" s="41" t="str">
        <f aca="false">IF($E80="","",$E80&amp;"|"&amp;COUNTIF($E$5:$E80,$E80))</f>
        <v/>
      </c>
      <c r="K80" s="40" t="str">
        <f aca="false">IF($I80="","",LEN($I80))</f>
        <v/>
      </c>
      <c r="L80" s="13"/>
      <c r="M80" s="13"/>
      <c r="N80" s="13"/>
      <c r="O80" s="13"/>
      <c r="P80" s="152"/>
      <c r="Q80" s="149"/>
      <c r="R80" s="152"/>
      <c r="S80" s="152"/>
      <c r="T80" s="62" t="str">
        <f aca="false">IF(OR($C80="",R80=""),"",IF(R80/IF($R$2="",100,$R$2)&gt;=設定!$I$28,設定!$G$8,IF(R80/IF($R$2="",100,$R$2)&lt;設定!$I$29,設定!$G$10,設定!$G$9)))</f>
        <v/>
      </c>
      <c r="U80" s="62" t="str">
        <f aca="false">IF(OR($C80="",S80=""),"",IF(S80/IF($S$2="",100,$S$2)&gt;=設定!$I$28,設定!$G$8,IF(S80/IF($S$2="",100,$S$2)&lt;設定!$I$29,設定!$G$10,設定!$G$9)))</f>
        <v/>
      </c>
    </row>
    <row r="81" customFormat="false" ht="21" hidden="false" customHeight="true" outlineLevel="0" collapsed="false">
      <c r="A81" s="91" t="str">
        <f aca="false">IF(名簿!$D81="","",名簿!$B81&amp;"")</f>
        <v/>
      </c>
      <c r="B81" s="91" t="str">
        <f aca="false">IF(名簿!$D81="","",名簿!$C81)</f>
        <v/>
      </c>
      <c r="C81" s="59" t="str">
        <f aca="false">IF(名簿!$D81="","",名簿!$D81&amp;IF(名簿!$F81="転出","（転出）",""))</f>
        <v/>
      </c>
      <c r="D81" s="149"/>
      <c r="E81" s="61" t="str">
        <f aca="false">IF(OR($C81="",名簿!$F81="転出"),"",IF($C$2="学級ごと",$A81,IF($C$2="前の単元と同じ",単元05!$E81&amp;"",$D81&amp;"")))</f>
        <v/>
      </c>
      <c r="F81" s="150"/>
      <c r="G81" s="150"/>
      <c r="H81" s="150"/>
      <c r="I81" s="151"/>
      <c r="J81" s="41" t="str">
        <f aca="false">IF($E81="","",$E81&amp;"|"&amp;COUNTIF($E$5:$E81,$E81))</f>
        <v/>
      </c>
      <c r="K81" s="40" t="str">
        <f aca="false">IF($I81="","",LEN($I81))</f>
        <v/>
      </c>
      <c r="L81" s="13"/>
      <c r="M81" s="13"/>
      <c r="N81" s="13"/>
      <c r="O81" s="13"/>
      <c r="P81" s="152"/>
      <c r="Q81" s="149"/>
      <c r="R81" s="152"/>
      <c r="S81" s="152"/>
      <c r="T81" s="62" t="str">
        <f aca="false">IF(OR($C81="",R81=""),"",IF(R81/IF($R$2="",100,$R$2)&gt;=設定!$I$28,設定!$G$8,IF(R81/IF($R$2="",100,$R$2)&lt;設定!$I$29,設定!$G$10,設定!$G$9)))</f>
        <v/>
      </c>
      <c r="U81" s="62" t="str">
        <f aca="false">IF(OR($C81="",S81=""),"",IF(S81/IF($S$2="",100,$S$2)&gt;=設定!$I$28,設定!$G$8,IF(S81/IF($S$2="",100,$S$2)&lt;設定!$I$29,設定!$G$10,設定!$G$9)))</f>
        <v/>
      </c>
    </row>
    <row r="82" customFormat="false" ht="21" hidden="false" customHeight="true" outlineLevel="0" collapsed="false">
      <c r="A82" s="91" t="str">
        <f aca="false">IF(名簿!$D82="","",名簿!$B82&amp;"")</f>
        <v/>
      </c>
      <c r="B82" s="91" t="str">
        <f aca="false">IF(名簿!$D82="","",名簿!$C82)</f>
        <v/>
      </c>
      <c r="C82" s="59" t="str">
        <f aca="false">IF(名簿!$D82="","",名簿!$D82&amp;IF(名簿!$F82="転出","（転出）",""))</f>
        <v/>
      </c>
      <c r="D82" s="149"/>
      <c r="E82" s="61" t="str">
        <f aca="false">IF(OR($C82="",名簿!$F82="転出"),"",IF($C$2="学級ごと",$A82,IF($C$2="前の単元と同じ",単元05!$E82&amp;"",$D82&amp;"")))</f>
        <v/>
      </c>
      <c r="F82" s="150"/>
      <c r="G82" s="150"/>
      <c r="H82" s="150"/>
      <c r="I82" s="151"/>
      <c r="J82" s="41" t="str">
        <f aca="false">IF($E82="","",$E82&amp;"|"&amp;COUNTIF($E$5:$E82,$E82))</f>
        <v/>
      </c>
      <c r="K82" s="40" t="str">
        <f aca="false">IF($I82="","",LEN($I82))</f>
        <v/>
      </c>
      <c r="L82" s="13"/>
      <c r="M82" s="13"/>
      <c r="N82" s="13"/>
      <c r="O82" s="13"/>
      <c r="P82" s="152"/>
      <c r="Q82" s="149"/>
      <c r="R82" s="152"/>
      <c r="S82" s="152"/>
      <c r="T82" s="62" t="str">
        <f aca="false">IF(OR($C82="",R82=""),"",IF(R82/IF($R$2="",100,$R$2)&gt;=設定!$I$28,設定!$G$8,IF(R82/IF($R$2="",100,$R$2)&lt;設定!$I$29,設定!$G$10,設定!$G$9)))</f>
        <v/>
      </c>
      <c r="U82" s="62" t="str">
        <f aca="false">IF(OR($C82="",S82=""),"",IF(S82/IF($S$2="",100,$S$2)&gt;=設定!$I$28,設定!$G$8,IF(S82/IF($S$2="",100,$S$2)&lt;設定!$I$29,設定!$G$10,設定!$G$9)))</f>
        <v/>
      </c>
    </row>
    <row r="83" customFormat="false" ht="21" hidden="false" customHeight="true" outlineLevel="0" collapsed="false">
      <c r="A83" s="91" t="str">
        <f aca="false">IF(名簿!$D83="","",名簿!$B83&amp;"")</f>
        <v/>
      </c>
      <c r="B83" s="91" t="str">
        <f aca="false">IF(名簿!$D83="","",名簿!$C83)</f>
        <v/>
      </c>
      <c r="C83" s="59" t="str">
        <f aca="false">IF(名簿!$D83="","",名簿!$D83&amp;IF(名簿!$F83="転出","（転出）",""))</f>
        <v/>
      </c>
      <c r="D83" s="149"/>
      <c r="E83" s="61" t="str">
        <f aca="false">IF(OR($C83="",名簿!$F83="転出"),"",IF($C$2="学級ごと",$A83,IF($C$2="前の単元と同じ",単元05!$E83&amp;"",$D83&amp;"")))</f>
        <v/>
      </c>
      <c r="F83" s="150"/>
      <c r="G83" s="150"/>
      <c r="H83" s="150"/>
      <c r="I83" s="151"/>
      <c r="J83" s="41" t="str">
        <f aca="false">IF($E83="","",$E83&amp;"|"&amp;COUNTIF($E$5:$E83,$E83))</f>
        <v/>
      </c>
      <c r="K83" s="40" t="str">
        <f aca="false">IF($I83="","",LEN($I83))</f>
        <v/>
      </c>
      <c r="L83" s="13"/>
      <c r="M83" s="13"/>
      <c r="N83" s="13"/>
      <c r="O83" s="13"/>
      <c r="P83" s="152"/>
      <c r="Q83" s="149"/>
      <c r="R83" s="152"/>
      <c r="S83" s="152"/>
      <c r="T83" s="62" t="str">
        <f aca="false">IF(OR($C83="",R83=""),"",IF(R83/IF($R$2="",100,$R$2)&gt;=設定!$I$28,設定!$G$8,IF(R83/IF($R$2="",100,$R$2)&lt;設定!$I$29,設定!$G$10,設定!$G$9)))</f>
        <v/>
      </c>
      <c r="U83" s="62" t="str">
        <f aca="false">IF(OR($C83="",S83=""),"",IF(S83/IF($S$2="",100,$S$2)&gt;=設定!$I$28,設定!$G$8,IF(S83/IF($S$2="",100,$S$2)&lt;設定!$I$29,設定!$G$10,設定!$G$9)))</f>
        <v/>
      </c>
    </row>
    <row r="84" customFormat="false" ht="21" hidden="false" customHeight="true" outlineLevel="0" collapsed="false">
      <c r="A84" s="91" t="str">
        <f aca="false">IF(名簿!$D84="","",名簿!$B84&amp;"")</f>
        <v/>
      </c>
      <c r="B84" s="91" t="str">
        <f aca="false">IF(名簿!$D84="","",名簿!$C84)</f>
        <v/>
      </c>
      <c r="C84" s="59" t="str">
        <f aca="false">IF(名簿!$D84="","",名簿!$D84&amp;IF(名簿!$F84="転出","（転出）",""))</f>
        <v/>
      </c>
      <c r="D84" s="149"/>
      <c r="E84" s="61" t="str">
        <f aca="false">IF(OR($C84="",名簿!$F84="転出"),"",IF($C$2="学級ごと",$A84,IF($C$2="前の単元と同じ",単元05!$E84&amp;"",$D84&amp;"")))</f>
        <v/>
      </c>
      <c r="F84" s="150"/>
      <c r="G84" s="150"/>
      <c r="H84" s="150"/>
      <c r="I84" s="151"/>
      <c r="J84" s="41" t="str">
        <f aca="false">IF($E84="","",$E84&amp;"|"&amp;COUNTIF($E$5:$E84,$E84))</f>
        <v/>
      </c>
      <c r="K84" s="40" t="str">
        <f aca="false">IF($I84="","",LEN($I84))</f>
        <v/>
      </c>
      <c r="L84" s="13"/>
      <c r="M84" s="13"/>
      <c r="N84" s="13"/>
      <c r="O84" s="13"/>
      <c r="P84" s="152"/>
      <c r="Q84" s="149"/>
      <c r="R84" s="152"/>
      <c r="S84" s="152"/>
      <c r="T84" s="62" t="str">
        <f aca="false">IF(OR($C84="",R84=""),"",IF(R84/IF($R$2="",100,$R$2)&gt;=設定!$I$28,設定!$G$8,IF(R84/IF($R$2="",100,$R$2)&lt;設定!$I$29,設定!$G$10,設定!$G$9)))</f>
        <v/>
      </c>
      <c r="U84" s="62" t="str">
        <f aca="false">IF(OR($C84="",S84=""),"",IF(S84/IF($S$2="",100,$S$2)&gt;=設定!$I$28,設定!$G$8,IF(S84/IF($S$2="",100,$S$2)&lt;設定!$I$29,設定!$G$10,設定!$G$9)))</f>
        <v/>
      </c>
    </row>
    <row r="85" customFormat="false" ht="21" hidden="false" customHeight="true" outlineLevel="0" collapsed="false">
      <c r="A85" s="91" t="str">
        <f aca="false">IF(名簿!$D85="","",名簿!$B85&amp;"")</f>
        <v/>
      </c>
      <c r="B85" s="91" t="str">
        <f aca="false">IF(名簿!$D85="","",名簿!$C85)</f>
        <v/>
      </c>
      <c r="C85" s="59" t="str">
        <f aca="false">IF(名簿!$D85="","",名簿!$D85&amp;IF(名簿!$F85="転出","（転出）",""))</f>
        <v/>
      </c>
      <c r="D85" s="149"/>
      <c r="E85" s="61" t="str">
        <f aca="false">IF(OR($C85="",名簿!$F85="転出"),"",IF($C$2="学級ごと",$A85,IF($C$2="前の単元と同じ",単元05!$E85&amp;"",$D85&amp;"")))</f>
        <v/>
      </c>
      <c r="F85" s="150"/>
      <c r="G85" s="150"/>
      <c r="H85" s="150"/>
      <c r="I85" s="151"/>
      <c r="J85" s="41" t="str">
        <f aca="false">IF($E85="","",$E85&amp;"|"&amp;COUNTIF($E$5:$E85,$E85))</f>
        <v/>
      </c>
      <c r="K85" s="40" t="str">
        <f aca="false">IF($I85="","",LEN($I85))</f>
        <v/>
      </c>
      <c r="L85" s="13"/>
      <c r="M85" s="13"/>
      <c r="N85" s="13"/>
      <c r="O85" s="13"/>
      <c r="P85" s="152"/>
      <c r="Q85" s="149"/>
      <c r="R85" s="152"/>
      <c r="S85" s="152"/>
      <c r="T85" s="62" t="str">
        <f aca="false">IF(OR($C85="",R85=""),"",IF(R85/IF($R$2="",100,$R$2)&gt;=設定!$I$28,設定!$G$8,IF(R85/IF($R$2="",100,$R$2)&lt;設定!$I$29,設定!$G$10,設定!$G$9)))</f>
        <v/>
      </c>
      <c r="U85" s="62" t="str">
        <f aca="false">IF(OR($C85="",S85=""),"",IF(S85/IF($S$2="",100,$S$2)&gt;=設定!$I$28,設定!$G$8,IF(S85/IF($S$2="",100,$S$2)&lt;設定!$I$29,設定!$G$10,設定!$G$9)))</f>
        <v/>
      </c>
    </row>
    <row r="86" customFormat="false" ht="21" hidden="false" customHeight="true" outlineLevel="0" collapsed="false">
      <c r="A86" s="91" t="str">
        <f aca="false">IF(名簿!$D86="","",名簿!$B86&amp;"")</f>
        <v/>
      </c>
      <c r="B86" s="91" t="str">
        <f aca="false">IF(名簿!$D86="","",名簿!$C86)</f>
        <v/>
      </c>
      <c r="C86" s="59" t="str">
        <f aca="false">IF(名簿!$D86="","",名簿!$D86&amp;IF(名簿!$F86="転出","（転出）",""))</f>
        <v/>
      </c>
      <c r="D86" s="149"/>
      <c r="E86" s="61" t="str">
        <f aca="false">IF(OR($C86="",名簿!$F86="転出"),"",IF($C$2="学級ごと",$A86,IF($C$2="前の単元と同じ",単元05!$E86&amp;"",$D86&amp;"")))</f>
        <v/>
      </c>
      <c r="F86" s="150"/>
      <c r="G86" s="150"/>
      <c r="H86" s="150"/>
      <c r="I86" s="151"/>
      <c r="J86" s="41" t="str">
        <f aca="false">IF($E86="","",$E86&amp;"|"&amp;COUNTIF($E$5:$E86,$E86))</f>
        <v/>
      </c>
      <c r="K86" s="40" t="str">
        <f aca="false">IF($I86="","",LEN($I86))</f>
        <v/>
      </c>
      <c r="L86" s="13"/>
      <c r="M86" s="13"/>
      <c r="N86" s="13"/>
      <c r="O86" s="13"/>
      <c r="P86" s="152"/>
      <c r="Q86" s="149"/>
      <c r="R86" s="152"/>
      <c r="S86" s="152"/>
      <c r="T86" s="62" t="str">
        <f aca="false">IF(OR($C86="",R86=""),"",IF(R86/IF($R$2="",100,$R$2)&gt;=設定!$I$28,設定!$G$8,IF(R86/IF($R$2="",100,$R$2)&lt;設定!$I$29,設定!$G$10,設定!$G$9)))</f>
        <v/>
      </c>
      <c r="U86" s="62" t="str">
        <f aca="false">IF(OR($C86="",S86=""),"",IF(S86/IF($S$2="",100,$S$2)&gt;=設定!$I$28,設定!$G$8,IF(S86/IF($S$2="",100,$S$2)&lt;設定!$I$29,設定!$G$10,設定!$G$9)))</f>
        <v/>
      </c>
    </row>
    <row r="87" customFormat="false" ht="21" hidden="false" customHeight="true" outlineLevel="0" collapsed="false">
      <c r="A87" s="91" t="str">
        <f aca="false">IF(名簿!$D87="","",名簿!$B87&amp;"")</f>
        <v/>
      </c>
      <c r="B87" s="91" t="str">
        <f aca="false">IF(名簿!$D87="","",名簿!$C87)</f>
        <v/>
      </c>
      <c r="C87" s="59" t="str">
        <f aca="false">IF(名簿!$D87="","",名簿!$D87&amp;IF(名簿!$F87="転出","（転出）",""))</f>
        <v/>
      </c>
      <c r="D87" s="149"/>
      <c r="E87" s="61" t="str">
        <f aca="false">IF(OR($C87="",名簿!$F87="転出"),"",IF($C$2="学級ごと",$A87,IF($C$2="前の単元と同じ",単元05!$E87&amp;"",$D87&amp;"")))</f>
        <v/>
      </c>
      <c r="F87" s="150"/>
      <c r="G87" s="150"/>
      <c r="H87" s="150"/>
      <c r="I87" s="151"/>
      <c r="J87" s="41" t="str">
        <f aca="false">IF($E87="","",$E87&amp;"|"&amp;COUNTIF($E$5:$E87,$E87))</f>
        <v/>
      </c>
      <c r="K87" s="40" t="str">
        <f aca="false">IF($I87="","",LEN($I87))</f>
        <v/>
      </c>
      <c r="L87" s="13"/>
      <c r="M87" s="13"/>
      <c r="N87" s="13"/>
      <c r="O87" s="13"/>
      <c r="P87" s="152"/>
      <c r="Q87" s="149"/>
      <c r="R87" s="152"/>
      <c r="S87" s="152"/>
      <c r="T87" s="62" t="str">
        <f aca="false">IF(OR($C87="",R87=""),"",IF(R87/IF($R$2="",100,$R$2)&gt;=設定!$I$28,設定!$G$8,IF(R87/IF($R$2="",100,$R$2)&lt;設定!$I$29,設定!$G$10,設定!$G$9)))</f>
        <v/>
      </c>
      <c r="U87" s="62" t="str">
        <f aca="false">IF(OR($C87="",S87=""),"",IF(S87/IF($S$2="",100,$S$2)&gt;=設定!$I$28,設定!$G$8,IF(S87/IF($S$2="",100,$S$2)&lt;設定!$I$29,設定!$G$10,設定!$G$9)))</f>
        <v/>
      </c>
    </row>
    <row r="88" customFormat="false" ht="21" hidden="false" customHeight="true" outlineLevel="0" collapsed="false">
      <c r="A88" s="91" t="str">
        <f aca="false">IF(名簿!$D88="","",名簿!$B88&amp;"")</f>
        <v/>
      </c>
      <c r="B88" s="91" t="str">
        <f aca="false">IF(名簿!$D88="","",名簿!$C88)</f>
        <v/>
      </c>
      <c r="C88" s="59" t="str">
        <f aca="false">IF(名簿!$D88="","",名簿!$D88&amp;IF(名簿!$F88="転出","（転出）",""))</f>
        <v/>
      </c>
      <c r="D88" s="149"/>
      <c r="E88" s="61" t="str">
        <f aca="false">IF(OR($C88="",名簿!$F88="転出"),"",IF($C$2="学級ごと",$A88,IF($C$2="前の単元と同じ",単元05!$E88&amp;"",$D88&amp;"")))</f>
        <v/>
      </c>
      <c r="F88" s="150"/>
      <c r="G88" s="150"/>
      <c r="H88" s="150"/>
      <c r="I88" s="151"/>
      <c r="J88" s="41" t="str">
        <f aca="false">IF($E88="","",$E88&amp;"|"&amp;COUNTIF($E$5:$E88,$E88))</f>
        <v/>
      </c>
      <c r="K88" s="40" t="str">
        <f aca="false">IF($I88="","",LEN($I88))</f>
        <v/>
      </c>
      <c r="L88" s="13"/>
      <c r="M88" s="13"/>
      <c r="N88" s="13"/>
      <c r="O88" s="13"/>
      <c r="P88" s="152"/>
      <c r="Q88" s="149"/>
      <c r="R88" s="152"/>
      <c r="S88" s="152"/>
      <c r="T88" s="62" t="str">
        <f aca="false">IF(OR($C88="",R88=""),"",IF(R88/IF($R$2="",100,$R$2)&gt;=設定!$I$28,設定!$G$8,IF(R88/IF($R$2="",100,$R$2)&lt;設定!$I$29,設定!$G$10,設定!$G$9)))</f>
        <v/>
      </c>
      <c r="U88" s="62" t="str">
        <f aca="false">IF(OR($C88="",S88=""),"",IF(S88/IF($S$2="",100,$S$2)&gt;=設定!$I$28,設定!$G$8,IF(S88/IF($S$2="",100,$S$2)&lt;設定!$I$29,設定!$G$10,設定!$G$9)))</f>
        <v/>
      </c>
    </row>
    <row r="89" customFormat="false" ht="21" hidden="false" customHeight="true" outlineLevel="0" collapsed="false">
      <c r="A89" s="91" t="str">
        <f aca="false">IF(名簿!$D89="","",名簿!$B89&amp;"")</f>
        <v/>
      </c>
      <c r="B89" s="91" t="str">
        <f aca="false">IF(名簿!$D89="","",名簿!$C89)</f>
        <v/>
      </c>
      <c r="C89" s="59" t="str">
        <f aca="false">IF(名簿!$D89="","",名簿!$D89&amp;IF(名簿!$F89="転出","（転出）",""))</f>
        <v/>
      </c>
      <c r="D89" s="149"/>
      <c r="E89" s="61" t="str">
        <f aca="false">IF(OR($C89="",名簿!$F89="転出"),"",IF($C$2="学級ごと",$A89,IF($C$2="前の単元と同じ",単元05!$E89&amp;"",$D89&amp;"")))</f>
        <v/>
      </c>
      <c r="F89" s="150"/>
      <c r="G89" s="150"/>
      <c r="H89" s="150"/>
      <c r="I89" s="151"/>
      <c r="J89" s="41" t="str">
        <f aca="false">IF($E89="","",$E89&amp;"|"&amp;COUNTIF($E$5:$E89,$E89))</f>
        <v/>
      </c>
      <c r="K89" s="40" t="str">
        <f aca="false">IF($I89="","",LEN($I89))</f>
        <v/>
      </c>
      <c r="L89" s="13"/>
      <c r="M89" s="13"/>
      <c r="N89" s="13"/>
      <c r="O89" s="13"/>
      <c r="P89" s="152"/>
      <c r="Q89" s="149"/>
      <c r="R89" s="152"/>
      <c r="S89" s="152"/>
      <c r="T89" s="62" t="str">
        <f aca="false">IF(OR($C89="",R89=""),"",IF(R89/IF($R$2="",100,$R$2)&gt;=設定!$I$28,設定!$G$8,IF(R89/IF($R$2="",100,$R$2)&lt;設定!$I$29,設定!$G$10,設定!$G$9)))</f>
        <v/>
      </c>
      <c r="U89" s="62" t="str">
        <f aca="false">IF(OR($C89="",S89=""),"",IF(S89/IF($S$2="",100,$S$2)&gt;=設定!$I$28,設定!$G$8,IF(S89/IF($S$2="",100,$S$2)&lt;設定!$I$29,設定!$G$10,設定!$G$9)))</f>
        <v/>
      </c>
    </row>
    <row r="90" customFormat="false" ht="21" hidden="false" customHeight="true" outlineLevel="0" collapsed="false">
      <c r="A90" s="91" t="str">
        <f aca="false">IF(名簿!$D90="","",名簿!$B90&amp;"")</f>
        <v/>
      </c>
      <c r="B90" s="91" t="str">
        <f aca="false">IF(名簿!$D90="","",名簿!$C90)</f>
        <v/>
      </c>
      <c r="C90" s="59" t="str">
        <f aca="false">IF(名簿!$D90="","",名簿!$D90&amp;IF(名簿!$F90="転出","（転出）",""))</f>
        <v/>
      </c>
      <c r="D90" s="149"/>
      <c r="E90" s="61" t="str">
        <f aca="false">IF(OR($C90="",名簿!$F90="転出"),"",IF($C$2="学級ごと",$A90,IF($C$2="前の単元と同じ",単元05!$E90&amp;"",$D90&amp;"")))</f>
        <v/>
      </c>
      <c r="F90" s="150"/>
      <c r="G90" s="150"/>
      <c r="H90" s="150"/>
      <c r="I90" s="151"/>
      <c r="J90" s="41" t="str">
        <f aca="false">IF($E90="","",$E90&amp;"|"&amp;COUNTIF($E$5:$E90,$E90))</f>
        <v/>
      </c>
      <c r="K90" s="40" t="str">
        <f aca="false">IF($I90="","",LEN($I90))</f>
        <v/>
      </c>
      <c r="L90" s="13"/>
      <c r="M90" s="13"/>
      <c r="N90" s="13"/>
      <c r="O90" s="13"/>
      <c r="P90" s="152"/>
      <c r="Q90" s="149"/>
      <c r="R90" s="152"/>
      <c r="S90" s="152"/>
      <c r="T90" s="62" t="str">
        <f aca="false">IF(OR($C90="",R90=""),"",IF(R90/IF($R$2="",100,$R$2)&gt;=設定!$I$28,設定!$G$8,IF(R90/IF($R$2="",100,$R$2)&lt;設定!$I$29,設定!$G$10,設定!$G$9)))</f>
        <v/>
      </c>
      <c r="U90" s="62" t="str">
        <f aca="false">IF(OR($C90="",S90=""),"",IF(S90/IF($S$2="",100,$S$2)&gt;=設定!$I$28,設定!$G$8,IF(S90/IF($S$2="",100,$S$2)&lt;設定!$I$29,設定!$G$10,設定!$G$9)))</f>
        <v/>
      </c>
    </row>
    <row r="91" customFormat="false" ht="21" hidden="false" customHeight="true" outlineLevel="0" collapsed="false">
      <c r="A91" s="91" t="str">
        <f aca="false">IF(名簿!$D91="","",名簿!$B91&amp;"")</f>
        <v/>
      </c>
      <c r="B91" s="91" t="str">
        <f aca="false">IF(名簿!$D91="","",名簿!$C91)</f>
        <v/>
      </c>
      <c r="C91" s="59" t="str">
        <f aca="false">IF(名簿!$D91="","",名簿!$D91&amp;IF(名簿!$F91="転出","（転出）",""))</f>
        <v/>
      </c>
      <c r="D91" s="149"/>
      <c r="E91" s="61" t="str">
        <f aca="false">IF(OR($C91="",名簿!$F91="転出"),"",IF($C$2="学級ごと",$A91,IF($C$2="前の単元と同じ",単元05!$E91&amp;"",$D91&amp;"")))</f>
        <v/>
      </c>
      <c r="F91" s="150"/>
      <c r="G91" s="150"/>
      <c r="H91" s="150"/>
      <c r="I91" s="151"/>
      <c r="J91" s="41" t="str">
        <f aca="false">IF($E91="","",$E91&amp;"|"&amp;COUNTIF($E$5:$E91,$E91))</f>
        <v/>
      </c>
      <c r="K91" s="40" t="str">
        <f aca="false">IF($I91="","",LEN($I91))</f>
        <v/>
      </c>
      <c r="L91" s="13"/>
      <c r="M91" s="13"/>
      <c r="N91" s="13"/>
      <c r="O91" s="13"/>
      <c r="P91" s="152"/>
      <c r="Q91" s="149"/>
      <c r="R91" s="152"/>
      <c r="S91" s="152"/>
      <c r="T91" s="62" t="str">
        <f aca="false">IF(OR($C91="",R91=""),"",IF(R91/IF($R$2="",100,$R$2)&gt;=設定!$I$28,設定!$G$8,IF(R91/IF($R$2="",100,$R$2)&lt;設定!$I$29,設定!$G$10,設定!$G$9)))</f>
        <v/>
      </c>
      <c r="U91" s="62" t="str">
        <f aca="false">IF(OR($C91="",S91=""),"",IF(S91/IF($S$2="",100,$S$2)&gt;=設定!$I$28,設定!$G$8,IF(S91/IF($S$2="",100,$S$2)&lt;設定!$I$29,設定!$G$10,設定!$G$9)))</f>
        <v/>
      </c>
    </row>
    <row r="92" customFormat="false" ht="21" hidden="false" customHeight="true" outlineLevel="0" collapsed="false">
      <c r="A92" s="91" t="str">
        <f aca="false">IF(名簿!$D92="","",名簿!$B92&amp;"")</f>
        <v/>
      </c>
      <c r="B92" s="91" t="str">
        <f aca="false">IF(名簿!$D92="","",名簿!$C92)</f>
        <v/>
      </c>
      <c r="C92" s="59" t="str">
        <f aca="false">IF(名簿!$D92="","",名簿!$D92&amp;IF(名簿!$F92="転出","（転出）",""))</f>
        <v/>
      </c>
      <c r="D92" s="149"/>
      <c r="E92" s="61" t="str">
        <f aca="false">IF(OR($C92="",名簿!$F92="転出"),"",IF($C$2="学級ごと",$A92,IF($C$2="前の単元と同じ",単元05!$E92&amp;"",$D92&amp;"")))</f>
        <v/>
      </c>
      <c r="F92" s="150"/>
      <c r="G92" s="150"/>
      <c r="H92" s="150"/>
      <c r="I92" s="151"/>
      <c r="J92" s="41" t="str">
        <f aca="false">IF($E92="","",$E92&amp;"|"&amp;COUNTIF($E$5:$E92,$E92))</f>
        <v/>
      </c>
      <c r="K92" s="40" t="str">
        <f aca="false">IF($I92="","",LEN($I92))</f>
        <v/>
      </c>
      <c r="L92" s="13"/>
      <c r="M92" s="13"/>
      <c r="N92" s="13"/>
      <c r="O92" s="13"/>
      <c r="P92" s="152"/>
      <c r="Q92" s="149"/>
      <c r="R92" s="152"/>
      <c r="S92" s="152"/>
      <c r="T92" s="62" t="str">
        <f aca="false">IF(OR($C92="",R92=""),"",IF(R92/IF($R$2="",100,$R$2)&gt;=設定!$I$28,設定!$G$8,IF(R92/IF($R$2="",100,$R$2)&lt;設定!$I$29,設定!$G$10,設定!$G$9)))</f>
        <v/>
      </c>
      <c r="U92" s="62" t="str">
        <f aca="false">IF(OR($C92="",S92=""),"",IF(S92/IF($S$2="",100,$S$2)&gt;=設定!$I$28,設定!$G$8,IF(S92/IF($S$2="",100,$S$2)&lt;設定!$I$29,設定!$G$10,設定!$G$9)))</f>
        <v/>
      </c>
    </row>
    <row r="93" customFormat="false" ht="21" hidden="false" customHeight="true" outlineLevel="0" collapsed="false">
      <c r="A93" s="91" t="str">
        <f aca="false">IF(名簿!$D93="","",名簿!$B93&amp;"")</f>
        <v/>
      </c>
      <c r="B93" s="91" t="str">
        <f aca="false">IF(名簿!$D93="","",名簿!$C93)</f>
        <v/>
      </c>
      <c r="C93" s="59" t="str">
        <f aca="false">IF(名簿!$D93="","",名簿!$D93&amp;IF(名簿!$F93="転出","（転出）",""))</f>
        <v/>
      </c>
      <c r="D93" s="149"/>
      <c r="E93" s="61" t="str">
        <f aca="false">IF(OR($C93="",名簿!$F93="転出"),"",IF($C$2="学級ごと",$A93,IF($C$2="前の単元と同じ",単元05!$E93&amp;"",$D93&amp;"")))</f>
        <v/>
      </c>
      <c r="F93" s="150"/>
      <c r="G93" s="150"/>
      <c r="H93" s="150"/>
      <c r="I93" s="151"/>
      <c r="J93" s="41" t="str">
        <f aca="false">IF($E93="","",$E93&amp;"|"&amp;COUNTIF($E$5:$E93,$E93))</f>
        <v/>
      </c>
      <c r="K93" s="40" t="str">
        <f aca="false">IF($I93="","",LEN($I93))</f>
        <v/>
      </c>
      <c r="L93" s="13"/>
      <c r="M93" s="13"/>
      <c r="N93" s="13"/>
      <c r="O93" s="13"/>
      <c r="P93" s="152"/>
      <c r="Q93" s="149"/>
      <c r="R93" s="152"/>
      <c r="S93" s="152"/>
      <c r="T93" s="62" t="str">
        <f aca="false">IF(OR($C93="",R93=""),"",IF(R93/IF($R$2="",100,$R$2)&gt;=設定!$I$28,設定!$G$8,IF(R93/IF($R$2="",100,$R$2)&lt;設定!$I$29,設定!$G$10,設定!$G$9)))</f>
        <v/>
      </c>
      <c r="U93" s="62" t="str">
        <f aca="false">IF(OR($C93="",S93=""),"",IF(S93/IF($S$2="",100,$S$2)&gt;=設定!$I$28,設定!$G$8,IF(S93/IF($S$2="",100,$S$2)&lt;設定!$I$29,設定!$G$10,設定!$G$9)))</f>
        <v/>
      </c>
    </row>
    <row r="94" customFormat="false" ht="21" hidden="false" customHeight="true" outlineLevel="0" collapsed="false">
      <c r="A94" s="91" t="str">
        <f aca="false">IF(名簿!$D94="","",名簿!$B94&amp;"")</f>
        <v/>
      </c>
      <c r="B94" s="91" t="str">
        <f aca="false">IF(名簿!$D94="","",名簿!$C94)</f>
        <v/>
      </c>
      <c r="C94" s="59" t="str">
        <f aca="false">IF(名簿!$D94="","",名簿!$D94&amp;IF(名簿!$F94="転出","（転出）",""))</f>
        <v/>
      </c>
      <c r="D94" s="149"/>
      <c r="E94" s="61" t="str">
        <f aca="false">IF(OR($C94="",名簿!$F94="転出"),"",IF($C$2="学級ごと",$A94,IF($C$2="前の単元と同じ",単元05!$E94&amp;"",$D94&amp;"")))</f>
        <v/>
      </c>
      <c r="F94" s="150"/>
      <c r="G94" s="150"/>
      <c r="H94" s="150"/>
      <c r="I94" s="151"/>
      <c r="J94" s="41" t="str">
        <f aca="false">IF($E94="","",$E94&amp;"|"&amp;COUNTIF($E$5:$E94,$E94))</f>
        <v/>
      </c>
      <c r="K94" s="40" t="str">
        <f aca="false">IF($I94="","",LEN($I94))</f>
        <v/>
      </c>
      <c r="L94" s="13"/>
      <c r="M94" s="13"/>
      <c r="N94" s="13"/>
      <c r="O94" s="13"/>
      <c r="P94" s="152"/>
      <c r="Q94" s="149"/>
      <c r="R94" s="152"/>
      <c r="S94" s="152"/>
      <c r="T94" s="62" t="str">
        <f aca="false">IF(OR($C94="",R94=""),"",IF(R94/IF($R$2="",100,$R$2)&gt;=設定!$I$28,設定!$G$8,IF(R94/IF($R$2="",100,$R$2)&lt;設定!$I$29,設定!$G$10,設定!$G$9)))</f>
        <v/>
      </c>
      <c r="U94" s="62" t="str">
        <f aca="false">IF(OR($C94="",S94=""),"",IF(S94/IF($S$2="",100,$S$2)&gt;=設定!$I$28,設定!$G$8,IF(S94/IF($S$2="",100,$S$2)&lt;設定!$I$29,設定!$G$10,設定!$G$9)))</f>
        <v/>
      </c>
    </row>
    <row r="95" customFormat="false" ht="21" hidden="false" customHeight="true" outlineLevel="0" collapsed="false">
      <c r="A95" s="91" t="str">
        <f aca="false">IF(名簿!$D95="","",名簿!$B95&amp;"")</f>
        <v/>
      </c>
      <c r="B95" s="91" t="str">
        <f aca="false">IF(名簿!$D95="","",名簿!$C95)</f>
        <v/>
      </c>
      <c r="C95" s="59" t="str">
        <f aca="false">IF(名簿!$D95="","",名簿!$D95&amp;IF(名簿!$F95="転出","（転出）",""))</f>
        <v/>
      </c>
      <c r="D95" s="149"/>
      <c r="E95" s="61" t="str">
        <f aca="false">IF(OR($C95="",名簿!$F95="転出"),"",IF($C$2="学級ごと",$A95,IF($C$2="前の単元と同じ",単元05!$E95&amp;"",$D95&amp;"")))</f>
        <v/>
      </c>
      <c r="F95" s="150"/>
      <c r="G95" s="150"/>
      <c r="H95" s="150"/>
      <c r="I95" s="151"/>
      <c r="J95" s="41" t="str">
        <f aca="false">IF($E95="","",$E95&amp;"|"&amp;COUNTIF($E$5:$E95,$E95))</f>
        <v/>
      </c>
      <c r="K95" s="40" t="str">
        <f aca="false">IF($I95="","",LEN($I95))</f>
        <v/>
      </c>
      <c r="L95" s="13"/>
      <c r="M95" s="13"/>
      <c r="N95" s="13"/>
      <c r="O95" s="13"/>
      <c r="P95" s="152"/>
      <c r="Q95" s="149"/>
      <c r="R95" s="152"/>
      <c r="S95" s="152"/>
      <c r="T95" s="62" t="str">
        <f aca="false">IF(OR($C95="",R95=""),"",IF(R95/IF($R$2="",100,$R$2)&gt;=設定!$I$28,設定!$G$8,IF(R95/IF($R$2="",100,$R$2)&lt;設定!$I$29,設定!$G$10,設定!$G$9)))</f>
        <v/>
      </c>
      <c r="U95" s="62" t="str">
        <f aca="false">IF(OR($C95="",S95=""),"",IF(S95/IF($S$2="",100,$S$2)&gt;=設定!$I$28,設定!$G$8,IF(S95/IF($S$2="",100,$S$2)&lt;設定!$I$29,設定!$G$10,設定!$G$9)))</f>
        <v/>
      </c>
    </row>
    <row r="96" customFormat="false" ht="21" hidden="false" customHeight="true" outlineLevel="0" collapsed="false">
      <c r="A96" s="91" t="str">
        <f aca="false">IF(名簿!$D96="","",名簿!$B96&amp;"")</f>
        <v/>
      </c>
      <c r="B96" s="91" t="str">
        <f aca="false">IF(名簿!$D96="","",名簿!$C96)</f>
        <v/>
      </c>
      <c r="C96" s="59" t="str">
        <f aca="false">IF(名簿!$D96="","",名簿!$D96&amp;IF(名簿!$F96="転出","（転出）",""))</f>
        <v/>
      </c>
      <c r="D96" s="149"/>
      <c r="E96" s="61" t="str">
        <f aca="false">IF(OR($C96="",名簿!$F96="転出"),"",IF($C$2="学級ごと",$A96,IF($C$2="前の単元と同じ",単元05!$E96&amp;"",$D96&amp;"")))</f>
        <v/>
      </c>
      <c r="F96" s="150"/>
      <c r="G96" s="150"/>
      <c r="H96" s="150"/>
      <c r="I96" s="151"/>
      <c r="J96" s="41" t="str">
        <f aca="false">IF($E96="","",$E96&amp;"|"&amp;COUNTIF($E$5:$E96,$E96))</f>
        <v/>
      </c>
      <c r="K96" s="40" t="str">
        <f aca="false">IF($I96="","",LEN($I96))</f>
        <v/>
      </c>
      <c r="L96" s="13"/>
      <c r="M96" s="13"/>
      <c r="N96" s="13"/>
      <c r="O96" s="13"/>
      <c r="P96" s="152"/>
      <c r="Q96" s="149"/>
      <c r="R96" s="152"/>
      <c r="S96" s="152"/>
      <c r="T96" s="62" t="str">
        <f aca="false">IF(OR($C96="",R96=""),"",IF(R96/IF($R$2="",100,$R$2)&gt;=設定!$I$28,設定!$G$8,IF(R96/IF($R$2="",100,$R$2)&lt;設定!$I$29,設定!$G$10,設定!$G$9)))</f>
        <v/>
      </c>
      <c r="U96" s="62" t="str">
        <f aca="false">IF(OR($C96="",S96=""),"",IF(S96/IF($S$2="",100,$S$2)&gt;=設定!$I$28,設定!$G$8,IF(S96/IF($S$2="",100,$S$2)&lt;設定!$I$29,設定!$G$10,設定!$G$9)))</f>
        <v/>
      </c>
    </row>
    <row r="97" customFormat="false" ht="21" hidden="false" customHeight="true" outlineLevel="0" collapsed="false">
      <c r="A97" s="91" t="str">
        <f aca="false">IF(名簿!$D97="","",名簿!$B97&amp;"")</f>
        <v/>
      </c>
      <c r="B97" s="91" t="str">
        <f aca="false">IF(名簿!$D97="","",名簿!$C97)</f>
        <v/>
      </c>
      <c r="C97" s="59" t="str">
        <f aca="false">IF(名簿!$D97="","",名簿!$D97&amp;IF(名簿!$F97="転出","（転出）",""))</f>
        <v/>
      </c>
      <c r="D97" s="149"/>
      <c r="E97" s="61" t="str">
        <f aca="false">IF(OR($C97="",名簿!$F97="転出"),"",IF($C$2="学級ごと",$A97,IF($C$2="前の単元と同じ",単元05!$E97&amp;"",$D97&amp;"")))</f>
        <v/>
      </c>
      <c r="F97" s="150"/>
      <c r="G97" s="150"/>
      <c r="H97" s="150"/>
      <c r="I97" s="151"/>
      <c r="J97" s="41" t="str">
        <f aca="false">IF($E97="","",$E97&amp;"|"&amp;COUNTIF($E$5:$E97,$E97))</f>
        <v/>
      </c>
      <c r="K97" s="40" t="str">
        <f aca="false">IF($I97="","",LEN($I97))</f>
        <v/>
      </c>
      <c r="L97" s="13"/>
      <c r="M97" s="13"/>
      <c r="N97" s="13"/>
      <c r="O97" s="13"/>
      <c r="P97" s="152"/>
      <c r="Q97" s="149"/>
      <c r="R97" s="152"/>
      <c r="S97" s="152"/>
      <c r="T97" s="62" t="str">
        <f aca="false">IF(OR($C97="",R97=""),"",IF(R97/IF($R$2="",100,$R$2)&gt;=設定!$I$28,設定!$G$8,IF(R97/IF($R$2="",100,$R$2)&lt;設定!$I$29,設定!$G$10,設定!$G$9)))</f>
        <v/>
      </c>
      <c r="U97" s="62" t="str">
        <f aca="false">IF(OR($C97="",S97=""),"",IF(S97/IF($S$2="",100,$S$2)&gt;=設定!$I$28,設定!$G$8,IF(S97/IF($S$2="",100,$S$2)&lt;設定!$I$29,設定!$G$10,設定!$G$9)))</f>
        <v/>
      </c>
    </row>
    <row r="98" customFormat="false" ht="21" hidden="false" customHeight="true" outlineLevel="0" collapsed="false">
      <c r="A98" s="91" t="str">
        <f aca="false">IF(名簿!$D98="","",名簿!$B98&amp;"")</f>
        <v/>
      </c>
      <c r="B98" s="91" t="str">
        <f aca="false">IF(名簿!$D98="","",名簿!$C98)</f>
        <v/>
      </c>
      <c r="C98" s="59" t="str">
        <f aca="false">IF(名簿!$D98="","",名簿!$D98&amp;IF(名簿!$F98="転出","（転出）",""))</f>
        <v/>
      </c>
      <c r="D98" s="149"/>
      <c r="E98" s="61" t="str">
        <f aca="false">IF(OR($C98="",名簿!$F98="転出"),"",IF($C$2="学級ごと",$A98,IF($C$2="前の単元と同じ",単元05!$E98&amp;"",$D98&amp;"")))</f>
        <v/>
      </c>
      <c r="F98" s="150"/>
      <c r="G98" s="150"/>
      <c r="H98" s="150"/>
      <c r="I98" s="151"/>
      <c r="J98" s="41" t="str">
        <f aca="false">IF($E98="","",$E98&amp;"|"&amp;COUNTIF($E$5:$E98,$E98))</f>
        <v/>
      </c>
      <c r="K98" s="40" t="str">
        <f aca="false">IF($I98="","",LEN($I98))</f>
        <v/>
      </c>
      <c r="L98" s="13"/>
      <c r="M98" s="13"/>
      <c r="N98" s="13"/>
      <c r="O98" s="13"/>
      <c r="P98" s="152"/>
      <c r="Q98" s="149"/>
      <c r="R98" s="152"/>
      <c r="S98" s="152"/>
      <c r="T98" s="62" t="str">
        <f aca="false">IF(OR($C98="",R98=""),"",IF(R98/IF($R$2="",100,$R$2)&gt;=設定!$I$28,設定!$G$8,IF(R98/IF($R$2="",100,$R$2)&lt;設定!$I$29,設定!$G$10,設定!$G$9)))</f>
        <v/>
      </c>
      <c r="U98" s="62" t="str">
        <f aca="false">IF(OR($C98="",S98=""),"",IF(S98/IF($S$2="",100,$S$2)&gt;=設定!$I$28,設定!$G$8,IF(S98/IF($S$2="",100,$S$2)&lt;設定!$I$29,設定!$G$10,設定!$G$9)))</f>
        <v/>
      </c>
    </row>
    <row r="99" customFormat="false" ht="21" hidden="false" customHeight="true" outlineLevel="0" collapsed="false">
      <c r="A99" s="91" t="str">
        <f aca="false">IF(名簿!$D99="","",名簿!$B99&amp;"")</f>
        <v/>
      </c>
      <c r="B99" s="91" t="str">
        <f aca="false">IF(名簿!$D99="","",名簿!$C99)</f>
        <v/>
      </c>
      <c r="C99" s="59" t="str">
        <f aca="false">IF(名簿!$D99="","",名簿!$D99&amp;IF(名簿!$F99="転出","（転出）",""))</f>
        <v/>
      </c>
      <c r="D99" s="149"/>
      <c r="E99" s="61" t="str">
        <f aca="false">IF(OR($C99="",名簿!$F99="転出"),"",IF($C$2="学級ごと",$A99,IF($C$2="前の単元と同じ",単元05!$E99&amp;"",$D99&amp;"")))</f>
        <v/>
      </c>
      <c r="F99" s="150"/>
      <c r="G99" s="150"/>
      <c r="H99" s="150"/>
      <c r="I99" s="151"/>
      <c r="J99" s="41" t="str">
        <f aca="false">IF($E99="","",$E99&amp;"|"&amp;COUNTIF($E$5:$E99,$E99))</f>
        <v/>
      </c>
      <c r="K99" s="40" t="str">
        <f aca="false">IF($I99="","",LEN($I99))</f>
        <v/>
      </c>
      <c r="L99" s="13"/>
      <c r="M99" s="13"/>
      <c r="N99" s="13"/>
      <c r="O99" s="13"/>
      <c r="P99" s="152"/>
      <c r="Q99" s="149"/>
      <c r="R99" s="152"/>
      <c r="S99" s="152"/>
      <c r="T99" s="62" t="str">
        <f aca="false">IF(OR($C99="",R99=""),"",IF(R99/IF($R$2="",100,$R$2)&gt;=設定!$I$28,設定!$G$8,IF(R99/IF($R$2="",100,$R$2)&lt;設定!$I$29,設定!$G$10,設定!$G$9)))</f>
        <v/>
      </c>
      <c r="U99" s="62" t="str">
        <f aca="false">IF(OR($C99="",S99=""),"",IF(S99/IF($S$2="",100,$S$2)&gt;=設定!$I$28,設定!$G$8,IF(S99/IF($S$2="",100,$S$2)&lt;設定!$I$29,設定!$G$10,設定!$G$9)))</f>
        <v/>
      </c>
    </row>
    <row r="100" customFormat="false" ht="21" hidden="false" customHeight="true" outlineLevel="0" collapsed="false">
      <c r="A100" s="91" t="str">
        <f aca="false">IF(名簿!$D100="","",名簿!$B100&amp;"")</f>
        <v/>
      </c>
      <c r="B100" s="91" t="str">
        <f aca="false">IF(名簿!$D100="","",名簿!$C100)</f>
        <v/>
      </c>
      <c r="C100" s="59" t="str">
        <f aca="false">IF(名簿!$D100="","",名簿!$D100&amp;IF(名簿!$F100="転出","（転出）",""))</f>
        <v/>
      </c>
      <c r="D100" s="149"/>
      <c r="E100" s="61" t="str">
        <f aca="false">IF(OR($C100="",名簿!$F100="転出"),"",IF($C$2="学級ごと",$A100,IF($C$2="前の単元と同じ",単元05!$E100&amp;"",$D100&amp;"")))</f>
        <v/>
      </c>
      <c r="F100" s="150"/>
      <c r="G100" s="150"/>
      <c r="H100" s="150"/>
      <c r="I100" s="151"/>
      <c r="J100" s="41" t="str">
        <f aca="false">IF($E100="","",$E100&amp;"|"&amp;COUNTIF($E$5:$E100,$E100))</f>
        <v/>
      </c>
      <c r="K100" s="40" t="str">
        <f aca="false">IF($I100="","",LEN($I100))</f>
        <v/>
      </c>
      <c r="L100" s="13"/>
      <c r="M100" s="13"/>
      <c r="N100" s="13"/>
      <c r="O100" s="13"/>
      <c r="P100" s="152"/>
      <c r="Q100" s="149"/>
      <c r="R100" s="152"/>
      <c r="S100" s="152"/>
      <c r="T100" s="62" t="str">
        <f aca="false">IF(OR($C100="",R100=""),"",IF(R100/IF($R$2="",100,$R$2)&gt;=設定!$I$28,設定!$G$8,IF(R100/IF($R$2="",100,$R$2)&lt;設定!$I$29,設定!$G$10,設定!$G$9)))</f>
        <v/>
      </c>
      <c r="U100" s="62" t="str">
        <f aca="false">IF(OR($C100="",S100=""),"",IF(S100/IF($S$2="",100,$S$2)&gt;=設定!$I$28,設定!$G$8,IF(S100/IF($S$2="",100,$S$2)&lt;設定!$I$29,設定!$G$10,設定!$G$9)))</f>
        <v/>
      </c>
    </row>
    <row r="101" customFormat="false" ht="21" hidden="false" customHeight="true" outlineLevel="0" collapsed="false">
      <c r="A101" s="91" t="str">
        <f aca="false">IF(名簿!$D101="","",名簿!$B101&amp;"")</f>
        <v/>
      </c>
      <c r="B101" s="91" t="str">
        <f aca="false">IF(名簿!$D101="","",名簿!$C101)</f>
        <v/>
      </c>
      <c r="C101" s="59" t="str">
        <f aca="false">IF(名簿!$D101="","",名簿!$D101&amp;IF(名簿!$F101="転出","（転出）",""))</f>
        <v/>
      </c>
      <c r="D101" s="149"/>
      <c r="E101" s="61" t="str">
        <f aca="false">IF(OR($C101="",名簿!$F101="転出"),"",IF($C$2="学級ごと",$A101,IF($C$2="前の単元と同じ",単元05!$E101&amp;"",$D101&amp;"")))</f>
        <v/>
      </c>
      <c r="F101" s="150"/>
      <c r="G101" s="150"/>
      <c r="H101" s="150"/>
      <c r="I101" s="151"/>
      <c r="J101" s="41" t="str">
        <f aca="false">IF($E101="","",$E101&amp;"|"&amp;COUNTIF($E$5:$E101,$E101))</f>
        <v/>
      </c>
      <c r="K101" s="40" t="str">
        <f aca="false">IF($I101="","",LEN($I101))</f>
        <v/>
      </c>
      <c r="L101" s="13"/>
      <c r="M101" s="13"/>
      <c r="N101" s="13"/>
      <c r="O101" s="13"/>
      <c r="P101" s="152"/>
      <c r="Q101" s="149"/>
      <c r="R101" s="152"/>
      <c r="S101" s="152"/>
      <c r="T101" s="62" t="str">
        <f aca="false">IF(OR($C101="",R101=""),"",IF(R101/IF($R$2="",100,$R$2)&gt;=設定!$I$28,設定!$G$8,IF(R101/IF($R$2="",100,$R$2)&lt;設定!$I$29,設定!$G$10,設定!$G$9)))</f>
        <v/>
      </c>
      <c r="U101" s="62" t="str">
        <f aca="false">IF(OR($C101="",S101=""),"",IF(S101/IF($S$2="",100,$S$2)&gt;=設定!$I$28,設定!$G$8,IF(S101/IF($S$2="",100,$S$2)&lt;設定!$I$29,設定!$G$10,設定!$G$9)))</f>
        <v/>
      </c>
    </row>
    <row r="102" customFormat="false" ht="21" hidden="false" customHeight="true" outlineLevel="0" collapsed="false">
      <c r="A102" s="91" t="str">
        <f aca="false">IF(名簿!$D102="","",名簿!$B102&amp;"")</f>
        <v/>
      </c>
      <c r="B102" s="91" t="str">
        <f aca="false">IF(名簿!$D102="","",名簿!$C102)</f>
        <v/>
      </c>
      <c r="C102" s="59" t="str">
        <f aca="false">IF(名簿!$D102="","",名簿!$D102&amp;IF(名簿!$F102="転出","（転出）",""))</f>
        <v/>
      </c>
      <c r="D102" s="149"/>
      <c r="E102" s="61" t="str">
        <f aca="false">IF(OR($C102="",名簿!$F102="転出"),"",IF($C$2="学級ごと",$A102,IF($C$2="前の単元と同じ",単元05!$E102&amp;"",$D102&amp;"")))</f>
        <v/>
      </c>
      <c r="F102" s="150"/>
      <c r="G102" s="150"/>
      <c r="H102" s="150"/>
      <c r="I102" s="151"/>
      <c r="J102" s="41" t="str">
        <f aca="false">IF($E102="","",$E102&amp;"|"&amp;COUNTIF($E$5:$E102,$E102))</f>
        <v/>
      </c>
      <c r="K102" s="40" t="str">
        <f aca="false">IF($I102="","",LEN($I102))</f>
        <v/>
      </c>
      <c r="L102" s="13"/>
      <c r="M102" s="13"/>
      <c r="N102" s="13"/>
      <c r="O102" s="13"/>
      <c r="P102" s="152"/>
      <c r="Q102" s="149"/>
      <c r="R102" s="152"/>
      <c r="S102" s="152"/>
      <c r="T102" s="62" t="str">
        <f aca="false">IF(OR($C102="",R102=""),"",IF(R102/IF($R$2="",100,$R$2)&gt;=設定!$I$28,設定!$G$8,IF(R102/IF($R$2="",100,$R$2)&lt;設定!$I$29,設定!$G$10,設定!$G$9)))</f>
        <v/>
      </c>
      <c r="U102" s="62" t="str">
        <f aca="false">IF(OR($C102="",S102=""),"",IF(S102/IF($S$2="",100,$S$2)&gt;=設定!$I$28,設定!$G$8,IF(S102/IF($S$2="",100,$S$2)&lt;設定!$I$29,設定!$G$10,設定!$G$9)))</f>
        <v/>
      </c>
    </row>
    <row r="103" customFormat="false" ht="21" hidden="false" customHeight="true" outlineLevel="0" collapsed="false">
      <c r="A103" s="91" t="str">
        <f aca="false">IF(名簿!$D103="","",名簿!$B103&amp;"")</f>
        <v/>
      </c>
      <c r="B103" s="91" t="str">
        <f aca="false">IF(名簿!$D103="","",名簿!$C103)</f>
        <v/>
      </c>
      <c r="C103" s="59" t="str">
        <f aca="false">IF(名簿!$D103="","",名簿!$D103&amp;IF(名簿!$F103="転出","（転出）",""))</f>
        <v/>
      </c>
      <c r="D103" s="149"/>
      <c r="E103" s="61" t="str">
        <f aca="false">IF(OR($C103="",名簿!$F103="転出"),"",IF($C$2="学級ごと",$A103,IF($C$2="前の単元と同じ",単元05!$E103&amp;"",$D103&amp;"")))</f>
        <v/>
      </c>
      <c r="F103" s="150"/>
      <c r="G103" s="150"/>
      <c r="H103" s="150"/>
      <c r="I103" s="151"/>
      <c r="J103" s="41" t="str">
        <f aca="false">IF($E103="","",$E103&amp;"|"&amp;COUNTIF($E$5:$E103,$E103))</f>
        <v/>
      </c>
      <c r="K103" s="40" t="str">
        <f aca="false">IF($I103="","",LEN($I103))</f>
        <v/>
      </c>
      <c r="L103" s="13"/>
      <c r="M103" s="13"/>
      <c r="N103" s="13"/>
      <c r="O103" s="13"/>
      <c r="P103" s="152"/>
      <c r="Q103" s="149"/>
      <c r="R103" s="152"/>
      <c r="S103" s="152"/>
      <c r="T103" s="62" t="str">
        <f aca="false">IF(OR($C103="",R103=""),"",IF(R103/IF($R$2="",100,$R$2)&gt;=設定!$I$28,設定!$G$8,IF(R103/IF($R$2="",100,$R$2)&lt;設定!$I$29,設定!$G$10,設定!$G$9)))</f>
        <v/>
      </c>
      <c r="U103" s="62" t="str">
        <f aca="false">IF(OR($C103="",S103=""),"",IF(S103/IF($S$2="",100,$S$2)&gt;=設定!$I$28,設定!$G$8,IF(S103/IF($S$2="",100,$S$2)&lt;設定!$I$29,設定!$G$10,設定!$G$9)))</f>
        <v/>
      </c>
    </row>
    <row r="104" customFormat="false" ht="21" hidden="false" customHeight="true" outlineLevel="0" collapsed="false">
      <c r="A104" s="91" t="str">
        <f aca="false">IF(名簿!$D104="","",名簿!$B104&amp;"")</f>
        <v/>
      </c>
      <c r="B104" s="91" t="str">
        <f aca="false">IF(名簿!$D104="","",名簿!$C104)</f>
        <v/>
      </c>
      <c r="C104" s="59" t="str">
        <f aca="false">IF(名簿!$D104="","",名簿!$D104&amp;IF(名簿!$F104="転出","（転出）",""))</f>
        <v/>
      </c>
      <c r="D104" s="149"/>
      <c r="E104" s="61" t="str">
        <f aca="false">IF(OR($C104="",名簿!$F104="転出"),"",IF($C$2="学級ごと",$A104,IF($C$2="前の単元と同じ",単元05!$E104&amp;"",$D104&amp;"")))</f>
        <v/>
      </c>
      <c r="F104" s="150"/>
      <c r="G104" s="150"/>
      <c r="H104" s="150"/>
      <c r="I104" s="151"/>
      <c r="J104" s="41" t="str">
        <f aca="false">IF($E104="","",$E104&amp;"|"&amp;COUNTIF($E$5:$E104,$E104))</f>
        <v/>
      </c>
      <c r="K104" s="40" t="str">
        <f aca="false">IF($I104="","",LEN($I104))</f>
        <v/>
      </c>
      <c r="L104" s="13"/>
      <c r="M104" s="13"/>
      <c r="N104" s="13"/>
      <c r="O104" s="13"/>
      <c r="P104" s="152"/>
      <c r="Q104" s="149"/>
      <c r="R104" s="152"/>
      <c r="S104" s="152"/>
      <c r="T104" s="62" t="str">
        <f aca="false">IF(OR($C104="",R104=""),"",IF(R104/IF($R$2="",100,$R$2)&gt;=設定!$I$28,設定!$G$8,IF(R104/IF($R$2="",100,$R$2)&lt;設定!$I$29,設定!$G$10,設定!$G$9)))</f>
        <v/>
      </c>
      <c r="U104" s="62" t="str">
        <f aca="false">IF(OR($C104="",S104=""),"",IF(S104/IF($S$2="",100,$S$2)&gt;=設定!$I$28,設定!$G$8,IF(S104/IF($S$2="",100,$S$2)&lt;設定!$I$29,設定!$G$10,設定!$G$9)))</f>
        <v/>
      </c>
    </row>
    <row r="105" customFormat="false" ht="21" hidden="false" customHeight="true" outlineLevel="0" collapsed="false">
      <c r="A105" s="91" t="str">
        <f aca="false">IF(名簿!$D105="","",名簿!$B105&amp;"")</f>
        <v/>
      </c>
      <c r="B105" s="91" t="str">
        <f aca="false">IF(名簿!$D105="","",名簿!$C105)</f>
        <v/>
      </c>
      <c r="C105" s="59" t="str">
        <f aca="false">IF(名簿!$D105="","",名簿!$D105&amp;IF(名簿!$F105="転出","（転出）",""))</f>
        <v/>
      </c>
      <c r="D105" s="149"/>
      <c r="E105" s="61" t="str">
        <f aca="false">IF(OR($C105="",名簿!$F105="転出"),"",IF($C$2="学級ごと",$A105,IF($C$2="前の単元と同じ",単元05!$E105&amp;"",$D105&amp;"")))</f>
        <v/>
      </c>
      <c r="F105" s="150"/>
      <c r="G105" s="150"/>
      <c r="H105" s="150"/>
      <c r="I105" s="151"/>
      <c r="J105" s="41" t="str">
        <f aca="false">IF($E105="","",$E105&amp;"|"&amp;COUNTIF($E$5:$E105,$E105))</f>
        <v/>
      </c>
      <c r="K105" s="40" t="str">
        <f aca="false">IF($I105="","",LEN($I105))</f>
        <v/>
      </c>
      <c r="L105" s="13"/>
      <c r="M105" s="13"/>
      <c r="N105" s="13"/>
      <c r="O105" s="13"/>
      <c r="P105" s="152"/>
      <c r="Q105" s="149"/>
      <c r="R105" s="152"/>
      <c r="S105" s="152"/>
      <c r="T105" s="62" t="str">
        <f aca="false">IF(OR($C105="",R105=""),"",IF(R105/IF($R$2="",100,$R$2)&gt;=設定!$I$28,設定!$G$8,IF(R105/IF($R$2="",100,$R$2)&lt;設定!$I$29,設定!$G$10,設定!$G$9)))</f>
        <v/>
      </c>
      <c r="U105" s="62" t="str">
        <f aca="false">IF(OR($C105="",S105=""),"",IF(S105/IF($S$2="",100,$S$2)&gt;=設定!$I$28,設定!$G$8,IF(S105/IF($S$2="",100,$S$2)&lt;設定!$I$29,設定!$G$10,設定!$G$9)))</f>
        <v/>
      </c>
    </row>
    <row r="106" customFormat="false" ht="21" hidden="false" customHeight="true" outlineLevel="0" collapsed="false">
      <c r="A106" s="91" t="str">
        <f aca="false">IF(名簿!$D106="","",名簿!$B106&amp;"")</f>
        <v/>
      </c>
      <c r="B106" s="91" t="str">
        <f aca="false">IF(名簿!$D106="","",名簿!$C106)</f>
        <v/>
      </c>
      <c r="C106" s="59" t="str">
        <f aca="false">IF(名簿!$D106="","",名簿!$D106&amp;IF(名簿!$F106="転出","（転出）",""))</f>
        <v/>
      </c>
      <c r="D106" s="149"/>
      <c r="E106" s="61" t="str">
        <f aca="false">IF(OR($C106="",名簿!$F106="転出"),"",IF($C$2="学級ごと",$A106,IF($C$2="前の単元と同じ",単元05!$E106&amp;"",$D106&amp;"")))</f>
        <v/>
      </c>
      <c r="F106" s="150"/>
      <c r="G106" s="150"/>
      <c r="H106" s="150"/>
      <c r="I106" s="151"/>
      <c r="J106" s="41" t="str">
        <f aca="false">IF($E106="","",$E106&amp;"|"&amp;COUNTIF($E$5:$E106,$E106))</f>
        <v/>
      </c>
      <c r="K106" s="40" t="str">
        <f aca="false">IF($I106="","",LEN($I106))</f>
        <v/>
      </c>
      <c r="L106" s="13"/>
      <c r="M106" s="13"/>
      <c r="N106" s="13"/>
      <c r="O106" s="13"/>
      <c r="P106" s="152"/>
      <c r="Q106" s="149"/>
      <c r="R106" s="152"/>
      <c r="S106" s="152"/>
      <c r="T106" s="62" t="str">
        <f aca="false">IF(OR($C106="",R106=""),"",IF(R106/IF($R$2="",100,$R$2)&gt;=設定!$I$28,設定!$G$8,IF(R106/IF($R$2="",100,$R$2)&lt;設定!$I$29,設定!$G$10,設定!$G$9)))</f>
        <v/>
      </c>
      <c r="U106" s="62" t="str">
        <f aca="false">IF(OR($C106="",S106=""),"",IF(S106/IF($S$2="",100,$S$2)&gt;=設定!$I$28,設定!$G$8,IF(S106/IF($S$2="",100,$S$2)&lt;設定!$I$29,設定!$G$10,設定!$G$9)))</f>
        <v/>
      </c>
    </row>
    <row r="107" customFormat="false" ht="21" hidden="false" customHeight="true" outlineLevel="0" collapsed="false">
      <c r="A107" s="91" t="str">
        <f aca="false">IF(名簿!$D107="","",名簿!$B107&amp;"")</f>
        <v/>
      </c>
      <c r="B107" s="91" t="str">
        <f aca="false">IF(名簿!$D107="","",名簿!$C107)</f>
        <v/>
      </c>
      <c r="C107" s="59" t="str">
        <f aca="false">IF(名簿!$D107="","",名簿!$D107&amp;IF(名簿!$F107="転出","（転出）",""))</f>
        <v/>
      </c>
      <c r="D107" s="149"/>
      <c r="E107" s="61" t="str">
        <f aca="false">IF(OR($C107="",名簿!$F107="転出"),"",IF($C$2="学級ごと",$A107,IF($C$2="前の単元と同じ",単元05!$E107&amp;"",$D107&amp;"")))</f>
        <v/>
      </c>
      <c r="F107" s="150"/>
      <c r="G107" s="150"/>
      <c r="H107" s="150"/>
      <c r="I107" s="151"/>
      <c r="J107" s="41" t="str">
        <f aca="false">IF($E107="","",$E107&amp;"|"&amp;COUNTIF($E$5:$E107,$E107))</f>
        <v/>
      </c>
      <c r="K107" s="40" t="str">
        <f aca="false">IF($I107="","",LEN($I107))</f>
        <v/>
      </c>
      <c r="L107" s="13"/>
      <c r="M107" s="13"/>
      <c r="N107" s="13"/>
      <c r="O107" s="13"/>
      <c r="P107" s="152"/>
      <c r="Q107" s="149"/>
      <c r="R107" s="152"/>
      <c r="S107" s="152"/>
      <c r="T107" s="62" t="str">
        <f aca="false">IF(OR($C107="",R107=""),"",IF(R107/IF($R$2="",100,$R$2)&gt;=設定!$I$28,設定!$G$8,IF(R107/IF($R$2="",100,$R$2)&lt;設定!$I$29,設定!$G$10,設定!$G$9)))</f>
        <v/>
      </c>
      <c r="U107" s="62" t="str">
        <f aca="false">IF(OR($C107="",S107=""),"",IF(S107/IF($S$2="",100,$S$2)&gt;=設定!$I$28,設定!$G$8,IF(S107/IF($S$2="",100,$S$2)&lt;設定!$I$29,設定!$G$10,設定!$G$9)))</f>
        <v/>
      </c>
    </row>
    <row r="108" customFormat="false" ht="21" hidden="false" customHeight="true" outlineLevel="0" collapsed="false">
      <c r="A108" s="91" t="str">
        <f aca="false">IF(名簿!$D108="","",名簿!$B108&amp;"")</f>
        <v/>
      </c>
      <c r="B108" s="91" t="str">
        <f aca="false">IF(名簿!$D108="","",名簿!$C108)</f>
        <v/>
      </c>
      <c r="C108" s="59" t="str">
        <f aca="false">IF(名簿!$D108="","",名簿!$D108&amp;IF(名簿!$F108="転出","（転出）",""))</f>
        <v/>
      </c>
      <c r="D108" s="149"/>
      <c r="E108" s="61" t="str">
        <f aca="false">IF(OR($C108="",名簿!$F108="転出"),"",IF($C$2="学級ごと",$A108,IF($C$2="前の単元と同じ",単元05!$E108&amp;"",$D108&amp;"")))</f>
        <v/>
      </c>
      <c r="F108" s="150"/>
      <c r="G108" s="150"/>
      <c r="H108" s="150"/>
      <c r="I108" s="151"/>
      <c r="J108" s="41" t="str">
        <f aca="false">IF($E108="","",$E108&amp;"|"&amp;COUNTIF($E$5:$E108,$E108))</f>
        <v/>
      </c>
      <c r="K108" s="40" t="str">
        <f aca="false">IF($I108="","",LEN($I108))</f>
        <v/>
      </c>
      <c r="L108" s="13"/>
      <c r="M108" s="13"/>
      <c r="N108" s="13"/>
      <c r="O108" s="13"/>
      <c r="P108" s="152"/>
      <c r="Q108" s="149"/>
      <c r="R108" s="152"/>
      <c r="S108" s="152"/>
      <c r="T108" s="62" t="str">
        <f aca="false">IF(OR($C108="",R108=""),"",IF(R108/IF($R$2="",100,$R$2)&gt;=設定!$I$28,設定!$G$8,IF(R108/IF($R$2="",100,$R$2)&lt;設定!$I$29,設定!$G$10,設定!$G$9)))</f>
        <v/>
      </c>
      <c r="U108" s="62" t="str">
        <f aca="false">IF(OR($C108="",S108=""),"",IF(S108/IF($S$2="",100,$S$2)&gt;=設定!$I$28,設定!$G$8,IF(S108/IF($S$2="",100,$S$2)&lt;設定!$I$29,設定!$G$10,設定!$G$9)))</f>
        <v/>
      </c>
    </row>
    <row r="109" customFormat="false" ht="21" hidden="false" customHeight="true" outlineLevel="0" collapsed="false">
      <c r="A109" s="91" t="str">
        <f aca="false">IF(名簿!$D109="","",名簿!$B109&amp;"")</f>
        <v/>
      </c>
      <c r="B109" s="91" t="str">
        <f aca="false">IF(名簿!$D109="","",名簿!$C109)</f>
        <v/>
      </c>
      <c r="C109" s="59" t="str">
        <f aca="false">IF(名簿!$D109="","",名簿!$D109&amp;IF(名簿!$F109="転出","（転出）",""))</f>
        <v/>
      </c>
      <c r="D109" s="149"/>
      <c r="E109" s="61" t="str">
        <f aca="false">IF(OR($C109="",名簿!$F109="転出"),"",IF($C$2="学級ごと",$A109,IF($C$2="前の単元と同じ",単元05!$E109&amp;"",$D109&amp;"")))</f>
        <v/>
      </c>
      <c r="F109" s="150"/>
      <c r="G109" s="150"/>
      <c r="H109" s="150"/>
      <c r="I109" s="151"/>
      <c r="J109" s="41" t="str">
        <f aca="false">IF($E109="","",$E109&amp;"|"&amp;COUNTIF($E$5:$E109,$E109))</f>
        <v/>
      </c>
      <c r="K109" s="40" t="str">
        <f aca="false">IF($I109="","",LEN($I109))</f>
        <v/>
      </c>
      <c r="L109" s="13"/>
      <c r="M109" s="13"/>
      <c r="N109" s="13"/>
      <c r="O109" s="13"/>
      <c r="P109" s="152"/>
      <c r="Q109" s="149"/>
      <c r="R109" s="152"/>
      <c r="S109" s="152"/>
      <c r="T109" s="62" t="str">
        <f aca="false">IF(OR($C109="",R109=""),"",IF(R109/IF($R$2="",100,$R$2)&gt;=設定!$I$28,設定!$G$8,IF(R109/IF($R$2="",100,$R$2)&lt;設定!$I$29,設定!$G$10,設定!$G$9)))</f>
        <v/>
      </c>
      <c r="U109" s="62" t="str">
        <f aca="false">IF(OR($C109="",S109=""),"",IF(S109/IF($S$2="",100,$S$2)&gt;=設定!$I$28,設定!$G$8,IF(S109/IF($S$2="",100,$S$2)&lt;設定!$I$29,設定!$G$10,設定!$G$9)))</f>
        <v/>
      </c>
    </row>
    <row r="110" customFormat="false" ht="21" hidden="false" customHeight="true" outlineLevel="0" collapsed="false">
      <c r="A110" s="91" t="str">
        <f aca="false">IF(名簿!$D110="","",名簿!$B110&amp;"")</f>
        <v/>
      </c>
      <c r="B110" s="91" t="str">
        <f aca="false">IF(名簿!$D110="","",名簿!$C110)</f>
        <v/>
      </c>
      <c r="C110" s="59" t="str">
        <f aca="false">IF(名簿!$D110="","",名簿!$D110&amp;IF(名簿!$F110="転出","（転出）",""))</f>
        <v/>
      </c>
      <c r="D110" s="149"/>
      <c r="E110" s="61" t="str">
        <f aca="false">IF(OR($C110="",名簿!$F110="転出"),"",IF($C$2="学級ごと",$A110,IF($C$2="前の単元と同じ",単元05!$E110&amp;"",$D110&amp;"")))</f>
        <v/>
      </c>
      <c r="F110" s="150"/>
      <c r="G110" s="150"/>
      <c r="H110" s="150"/>
      <c r="I110" s="151"/>
      <c r="J110" s="41" t="str">
        <f aca="false">IF($E110="","",$E110&amp;"|"&amp;COUNTIF($E$5:$E110,$E110))</f>
        <v/>
      </c>
      <c r="K110" s="40" t="str">
        <f aca="false">IF($I110="","",LEN($I110))</f>
        <v/>
      </c>
      <c r="L110" s="13"/>
      <c r="M110" s="13"/>
      <c r="N110" s="13"/>
      <c r="O110" s="13"/>
      <c r="P110" s="152"/>
      <c r="Q110" s="149"/>
      <c r="R110" s="152"/>
      <c r="S110" s="152"/>
      <c r="T110" s="62" t="str">
        <f aca="false">IF(OR($C110="",R110=""),"",IF(R110/IF($R$2="",100,$R$2)&gt;=設定!$I$28,設定!$G$8,IF(R110/IF($R$2="",100,$R$2)&lt;設定!$I$29,設定!$G$10,設定!$G$9)))</f>
        <v/>
      </c>
      <c r="U110" s="62" t="str">
        <f aca="false">IF(OR($C110="",S110=""),"",IF(S110/IF($S$2="",100,$S$2)&gt;=設定!$I$28,設定!$G$8,IF(S110/IF($S$2="",100,$S$2)&lt;設定!$I$29,設定!$G$10,設定!$G$9)))</f>
        <v/>
      </c>
    </row>
    <row r="111" customFormat="false" ht="21" hidden="false" customHeight="true" outlineLevel="0" collapsed="false">
      <c r="A111" s="91" t="str">
        <f aca="false">IF(名簿!$D111="","",名簿!$B111&amp;"")</f>
        <v/>
      </c>
      <c r="B111" s="91" t="str">
        <f aca="false">IF(名簿!$D111="","",名簿!$C111)</f>
        <v/>
      </c>
      <c r="C111" s="59" t="str">
        <f aca="false">IF(名簿!$D111="","",名簿!$D111&amp;IF(名簿!$F111="転出","（転出）",""))</f>
        <v/>
      </c>
      <c r="D111" s="149"/>
      <c r="E111" s="61" t="str">
        <f aca="false">IF(OR($C111="",名簿!$F111="転出"),"",IF($C$2="学級ごと",$A111,IF($C$2="前の単元と同じ",単元05!$E111&amp;"",$D111&amp;"")))</f>
        <v/>
      </c>
      <c r="F111" s="150"/>
      <c r="G111" s="150"/>
      <c r="H111" s="150"/>
      <c r="I111" s="151"/>
      <c r="J111" s="41" t="str">
        <f aca="false">IF($E111="","",$E111&amp;"|"&amp;COUNTIF($E$5:$E111,$E111))</f>
        <v/>
      </c>
      <c r="K111" s="40" t="str">
        <f aca="false">IF($I111="","",LEN($I111))</f>
        <v/>
      </c>
      <c r="L111" s="13"/>
      <c r="M111" s="13"/>
      <c r="N111" s="13"/>
      <c r="O111" s="13"/>
      <c r="P111" s="152"/>
      <c r="Q111" s="149"/>
      <c r="R111" s="152"/>
      <c r="S111" s="152"/>
      <c r="T111" s="62" t="str">
        <f aca="false">IF(OR($C111="",R111=""),"",IF(R111/IF($R$2="",100,$R$2)&gt;=設定!$I$28,設定!$G$8,IF(R111/IF($R$2="",100,$R$2)&lt;設定!$I$29,設定!$G$10,設定!$G$9)))</f>
        <v/>
      </c>
      <c r="U111" s="62" t="str">
        <f aca="false">IF(OR($C111="",S111=""),"",IF(S111/IF($S$2="",100,$S$2)&gt;=設定!$I$28,設定!$G$8,IF(S111/IF($S$2="",100,$S$2)&lt;設定!$I$29,設定!$G$10,設定!$G$9)))</f>
        <v/>
      </c>
    </row>
    <row r="112" customFormat="false" ht="21" hidden="false" customHeight="true" outlineLevel="0" collapsed="false">
      <c r="A112" s="91" t="str">
        <f aca="false">IF(名簿!$D112="","",名簿!$B112&amp;"")</f>
        <v/>
      </c>
      <c r="B112" s="91" t="str">
        <f aca="false">IF(名簿!$D112="","",名簿!$C112)</f>
        <v/>
      </c>
      <c r="C112" s="59" t="str">
        <f aca="false">IF(名簿!$D112="","",名簿!$D112&amp;IF(名簿!$F112="転出","（転出）",""))</f>
        <v/>
      </c>
      <c r="D112" s="149"/>
      <c r="E112" s="61" t="str">
        <f aca="false">IF(OR($C112="",名簿!$F112="転出"),"",IF($C$2="学級ごと",$A112,IF($C$2="前の単元と同じ",単元05!$E112&amp;"",$D112&amp;"")))</f>
        <v/>
      </c>
      <c r="F112" s="150"/>
      <c r="G112" s="150"/>
      <c r="H112" s="150"/>
      <c r="I112" s="151"/>
      <c r="J112" s="41" t="str">
        <f aca="false">IF($E112="","",$E112&amp;"|"&amp;COUNTIF($E$5:$E112,$E112))</f>
        <v/>
      </c>
      <c r="K112" s="40" t="str">
        <f aca="false">IF($I112="","",LEN($I112))</f>
        <v/>
      </c>
      <c r="L112" s="13"/>
      <c r="M112" s="13"/>
      <c r="N112" s="13"/>
      <c r="O112" s="13"/>
      <c r="P112" s="152"/>
      <c r="Q112" s="149"/>
      <c r="R112" s="152"/>
      <c r="S112" s="152"/>
      <c r="T112" s="62" t="str">
        <f aca="false">IF(OR($C112="",R112=""),"",IF(R112/IF($R$2="",100,$R$2)&gt;=設定!$I$28,設定!$G$8,IF(R112/IF($R$2="",100,$R$2)&lt;設定!$I$29,設定!$G$10,設定!$G$9)))</f>
        <v/>
      </c>
      <c r="U112" s="62" t="str">
        <f aca="false">IF(OR($C112="",S112=""),"",IF(S112/IF($S$2="",100,$S$2)&gt;=設定!$I$28,設定!$G$8,IF(S112/IF($S$2="",100,$S$2)&lt;設定!$I$29,設定!$G$10,設定!$G$9)))</f>
        <v/>
      </c>
    </row>
    <row r="113" customFormat="false" ht="21" hidden="false" customHeight="true" outlineLevel="0" collapsed="false">
      <c r="A113" s="91" t="str">
        <f aca="false">IF(名簿!$D113="","",名簿!$B113&amp;"")</f>
        <v/>
      </c>
      <c r="B113" s="91" t="str">
        <f aca="false">IF(名簿!$D113="","",名簿!$C113)</f>
        <v/>
      </c>
      <c r="C113" s="59" t="str">
        <f aca="false">IF(名簿!$D113="","",名簿!$D113&amp;IF(名簿!$F113="転出","（転出）",""))</f>
        <v/>
      </c>
      <c r="D113" s="149"/>
      <c r="E113" s="61" t="str">
        <f aca="false">IF(OR($C113="",名簿!$F113="転出"),"",IF($C$2="学級ごと",$A113,IF($C$2="前の単元と同じ",単元05!$E113&amp;"",$D113&amp;"")))</f>
        <v/>
      </c>
      <c r="F113" s="150"/>
      <c r="G113" s="150"/>
      <c r="H113" s="150"/>
      <c r="I113" s="151"/>
      <c r="J113" s="41" t="str">
        <f aca="false">IF($E113="","",$E113&amp;"|"&amp;COUNTIF($E$5:$E113,$E113))</f>
        <v/>
      </c>
      <c r="K113" s="40" t="str">
        <f aca="false">IF($I113="","",LEN($I113))</f>
        <v/>
      </c>
      <c r="L113" s="13"/>
      <c r="M113" s="13"/>
      <c r="N113" s="13"/>
      <c r="O113" s="13"/>
      <c r="P113" s="152"/>
      <c r="Q113" s="149"/>
      <c r="R113" s="152"/>
      <c r="S113" s="152"/>
      <c r="T113" s="62" t="str">
        <f aca="false">IF(OR($C113="",R113=""),"",IF(R113/IF($R$2="",100,$R$2)&gt;=設定!$I$28,設定!$G$8,IF(R113/IF($R$2="",100,$R$2)&lt;設定!$I$29,設定!$G$10,設定!$G$9)))</f>
        <v/>
      </c>
      <c r="U113" s="62" t="str">
        <f aca="false">IF(OR($C113="",S113=""),"",IF(S113/IF($S$2="",100,$S$2)&gt;=設定!$I$28,設定!$G$8,IF(S113/IF($S$2="",100,$S$2)&lt;設定!$I$29,設定!$G$10,設定!$G$9)))</f>
        <v/>
      </c>
    </row>
    <row r="114" customFormat="false" ht="21" hidden="false" customHeight="true" outlineLevel="0" collapsed="false">
      <c r="A114" s="91" t="str">
        <f aca="false">IF(名簿!$D114="","",名簿!$B114&amp;"")</f>
        <v/>
      </c>
      <c r="B114" s="91" t="str">
        <f aca="false">IF(名簿!$D114="","",名簿!$C114)</f>
        <v/>
      </c>
      <c r="C114" s="59" t="str">
        <f aca="false">IF(名簿!$D114="","",名簿!$D114&amp;IF(名簿!$F114="転出","（転出）",""))</f>
        <v/>
      </c>
      <c r="D114" s="149"/>
      <c r="E114" s="61" t="str">
        <f aca="false">IF(OR($C114="",名簿!$F114="転出"),"",IF($C$2="学級ごと",$A114,IF($C$2="前の単元と同じ",単元05!$E114&amp;"",$D114&amp;"")))</f>
        <v/>
      </c>
      <c r="F114" s="150"/>
      <c r="G114" s="150"/>
      <c r="H114" s="150"/>
      <c r="I114" s="151"/>
      <c r="J114" s="41" t="str">
        <f aca="false">IF($E114="","",$E114&amp;"|"&amp;COUNTIF($E$5:$E114,$E114))</f>
        <v/>
      </c>
      <c r="K114" s="40" t="str">
        <f aca="false">IF($I114="","",LEN($I114))</f>
        <v/>
      </c>
      <c r="L114" s="13"/>
      <c r="M114" s="13"/>
      <c r="N114" s="13"/>
      <c r="O114" s="13"/>
      <c r="P114" s="152"/>
      <c r="Q114" s="149"/>
      <c r="R114" s="152"/>
      <c r="S114" s="152"/>
      <c r="T114" s="62" t="str">
        <f aca="false">IF(OR($C114="",R114=""),"",IF(R114/IF($R$2="",100,$R$2)&gt;=設定!$I$28,設定!$G$8,IF(R114/IF($R$2="",100,$R$2)&lt;設定!$I$29,設定!$G$10,設定!$G$9)))</f>
        <v/>
      </c>
      <c r="U114" s="62" t="str">
        <f aca="false">IF(OR($C114="",S114=""),"",IF(S114/IF($S$2="",100,$S$2)&gt;=設定!$I$28,設定!$G$8,IF(S114/IF($S$2="",100,$S$2)&lt;設定!$I$29,設定!$G$10,設定!$G$9)))</f>
        <v/>
      </c>
    </row>
    <row r="115" customFormat="false" ht="21" hidden="false" customHeight="true" outlineLevel="0" collapsed="false">
      <c r="A115" s="91" t="str">
        <f aca="false">IF(名簿!$D115="","",名簿!$B115&amp;"")</f>
        <v/>
      </c>
      <c r="B115" s="91" t="str">
        <f aca="false">IF(名簿!$D115="","",名簿!$C115)</f>
        <v/>
      </c>
      <c r="C115" s="59" t="str">
        <f aca="false">IF(名簿!$D115="","",名簿!$D115&amp;IF(名簿!$F115="転出","（転出）",""))</f>
        <v/>
      </c>
      <c r="D115" s="149"/>
      <c r="E115" s="61" t="str">
        <f aca="false">IF(OR($C115="",名簿!$F115="転出"),"",IF($C$2="学級ごと",$A115,IF($C$2="前の単元と同じ",単元05!$E115&amp;"",$D115&amp;"")))</f>
        <v/>
      </c>
      <c r="F115" s="150"/>
      <c r="G115" s="150"/>
      <c r="H115" s="150"/>
      <c r="I115" s="151"/>
      <c r="J115" s="41" t="str">
        <f aca="false">IF($E115="","",$E115&amp;"|"&amp;COUNTIF($E$5:$E115,$E115))</f>
        <v/>
      </c>
      <c r="K115" s="40" t="str">
        <f aca="false">IF($I115="","",LEN($I115))</f>
        <v/>
      </c>
      <c r="L115" s="13"/>
      <c r="M115" s="13"/>
      <c r="N115" s="13"/>
      <c r="O115" s="13"/>
      <c r="P115" s="152"/>
      <c r="Q115" s="149"/>
      <c r="R115" s="152"/>
      <c r="S115" s="152"/>
      <c r="T115" s="62" t="str">
        <f aca="false">IF(OR($C115="",R115=""),"",IF(R115/IF($R$2="",100,$R$2)&gt;=設定!$I$28,設定!$G$8,IF(R115/IF($R$2="",100,$R$2)&lt;設定!$I$29,設定!$G$10,設定!$G$9)))</f>
        <v/>
      </c>
      <c r="U115" s="62" t="str">
        <f aca="false">IF(OR($C115="",S115=""),"",IF(S115/IF($S$2="",100,$S$2)&gt;=設定!$I$28,設定!$G$8,IF(S115/IF($S$2="",100,$S$2)&lt;設定!$I$29,設定!$G$10,設定!$G$9)))</f>
        <v/>
      </c>
    </row>
    <row r="116" customFormat="false" ht="21" hidden="false" customHeight="true" outlineLevel="0" collapsed="false">
      <c r="A116" s="91" t="str">
        <f aca="false">IF(名簿!$D116="","",名簿!$B116&amp;"")</f>
        <v/>
      </c>
      <c r="B116" s="91" t="str">
        <f aca="false">IF(名簿!$D116="","",名簿!$C116)</f>
        <v/>
      </c>
      <c r="C116" s="59" t="str">
        <f aca="false">IF(名簿!$D116="","",名簿!$D116&amp;IF(名簿!$F116="転出","（転出）",""))</f>
        <v/>
      </c>
      <c r="D116" s="149"/>
      <c r="E116" s="61" t="str">
        <f aca="false">IF(OR($C116="",名簿!$F116="転出"),"",IF($C$2="学級ごと",$A116,IF($C$2="前の単元と同じ",単元05!$E116&amp;"",$D116&amp;"")))</f>
        <v/>
      </c>
      <c r="F116" s="150"/>
      <c r="G116" s="150"/>
      <c r="H116" s="150"/>
      <c r="I116" s="151"/>
      <c r="J116" s="41" t="str">
        <f aca="false">IF($E116="","",$E116&amp;"|"&amp;COUNTIF($E$5:$E116,$E116))</f>
        <v/>
      </c>
      <c r="K116" s="40" t="str">
        <f aca="false">IF($I116="","",LEN($I116))</f>
        <v/>
      </c>
      <c r="L116" s="13"/>
      <c r="M116" s="13"/>
      <c r="N116" s="13"/>
      <c r="O116" s="13"/>
      <c r="P116" s="152"/>
      <c r="Q116" s="149"/>
      <c r="R116" s="152"/>
      <c r="S116" s="152"/>
      <c r="T116" s="62" t="str">
        <f aca="false">IF(OR($C116="",R116=""),"",IF(R116/IF($R$2="",100,$R$2)&gt;=設定!$I$28,設定!$G$8,IF(R116/IF($R$2="",100,$R$2)&lt;設定!$I$29,設定!$G$10,設定!$G$9)))</f>
        <v/>
      </c>
      <c r="U116" s="62" t="str">
        <f aca="false">IF(OR($C116="",S116=""),"",IF(S116/IF($S$2="",100,$S$2)&gt;=設定!$I$28,設定!$G$8,IF(S116/IF($S$2="",100,$S$2)&lt;設定!$I$29,設定!$G$10,設定!$G$9)))</f>
        <v/>
      </c>
    </row>
    <row r="117" customFormat="false" ht="21" hidden="false" customHeight="true" outlineLevel="0" collapsed="false">
      <c r="A117" s="91" t="str">
        <f aca="false">IF(名簿!$D117="","",名簿!$B117&amp;"")</f>
        <v/>
      </c>
      <c r="B117" s="91" t="str">
        <f aca="false">IF(名簿!$D117="","",名簿!$C117)</f>
        <v/>
      </c>
      <c r="C117" s="59" t="str">
        <f aca="false">IF(名簿!$D117="","",名簿!$D117&amp;IF(名簿!$F117="転出","（転出）",""))</f>
        <v/>
      </c>
      <c r="D117" s="149"/>
      <c r="E117" s="61" t="str">
        <f aca="false">IF(OR($C117="",名簿!$F117="転出"),"",IF($C$2="学級ごと",$A117,IF($C$2="前の単元と同じ",単元05!$E117&amp;"",$D117&amp;"")))</f>
        <v/>
      </c>
      <c r="F117" s="150"/>
      <c r="G117" s="150"/>
      <c r="H117" s="150"/>
      <c r="I117" s="151"/>
      <c r="J117" s="41" t="str">
        <f aca="false">IF($E117="","",$E117&amp;"|"&amp;COUNTIF($E$5:$E117,$E117))</f>
        <v/>
      </c>
      <c r="K117" s="40" t="str">
        <f aca="false">IF($I117="","",LEN($I117))</f>
        <v/>
      </c>
      <c r="L117" s="13"/>
      <c r="M117" s="13"/>
      <c r="N117" s="13"/>
      <c r="O117" s="13"/>
      <c r="P117" s="152"/>
      <c r="Q117" s="149"/>
      <c r="R117" s="152"/>
      <c r="S117" s="152"/>
      <c r="T117" s="62" t="str">
        <f aca="false">IF(OR($C117="",R117=""),"",IF(R117/IF($R$2="",100,$R$2)&gt;=設定!$I$28,設定!$G$8,IF(R117/IF($R$2="",100,$R$2)&lt;設定!$I$29,設定!$G$10,設定!$G$9)))</f>
        <v/>
      </c>
      <c r="U117" s="62" t="str">
        <f aca="false">IF(OR($C117="",S117=""),"",IF(S117/IF($S$2="",100,$S$2)&gt;=設定!$I$28,設定!$G$8,IF(S117/IF($S$2="",100,$S$2)&lt;設定!$I$29,設定!$G$10,設定!$G$9)))</f>
        <v/>
      </c>
    </row>
    <row r="118" customFormat="false" ht="21" hidden="false" customHeight="true" outlineLevel="0" collapsed="false">
      <c r="A118" s="91" t="str">
        <f aca="false">IF(名簿!$D118="","",名簿!$B118&amp;"")</f>
        <v/>
      </c>
      <c r="B118" s="91" t="str">
        <f aca="false">IF(名簿!$D118="","",名簿!$C118)</f>
        <v/>
      </c>
      <c r="C118" s="59" t="str">
        <f aca="false">IF(名簿!$D118="","",名簿!$D118&amp;IF(名簿!$F118="転出","（転出）",""))</f>
        <v/>
      </c>
      <c r="D118" s="149"/>
      <c r="E118" s="61" t="str">
        <f aca="false">IF(OR($C118="",名簿!$F118="転出"),"",IF($C$2="学級ごと",$A118,IF($C$2="前の単元と同じ",単元05!$E118&amp;"",$D118&amp;"")))</f>
        <v/>
      </c>
      <c r="F118" s="150"/>
      <c r="G118" s="150"/>
      <c r="H118" s="150"/>
      <c r="I118" s="151"/>
      <c r="J118" s="41" t="str">
        <f aca="false">IF($E118="","",$E118&amp;"|"&amp;COUNTIF($E$5:$E118,$E118))</f>
        <v/>
      </c>
      <c r="K118" s="40" t="str">
        <f aca="false">IF($I118="","",LEN($I118))</f>
        <v/>
      </c>
      <c r="L118" s="13"/>
      <c r="M118" s="13"/>
      <c r="N118" s="13"/>
      <c r="O118" s="13"/>
      <c r="P118" s="152"/>
      <c r="Q118" s="149"/>
      <c r="R118" s="152"/>
      <c r="S118" s="152"/>
      <c r="T118" s="62" t="str">
        <f aca="false">IF(OR($C118="",R118=""),"",IF(R118/IF($R$2="",100,$R$2)&gt;=設定!$I$28,設定!$G$8,IF(R118/IF($R$2="",100,$R$2)&lt;設定!$I$29,設定!$G$10,設定!$G$9)))</f>
        <v/>
      </c>
      <c r="U118" s="62" t="str">
        <f aca="false">IF(OR($C118="",S118=""),"",IF(S118/IF($S$2="",100,$S$2)&gt;=設定!$I$28,設定!$G$8,IF(S118/IF($S$2="",100,$S$2)&lt;設定!$I$29,設定!$G$10,設定!$G$9)))</f>
        <v/>
      </c>
    </row>
    <row r="119" customFormat="false" ht="21" hidden="false" customHeight="true" outlineLevel="0" collapsed="false">
      <c r="A119" s="91" t="str">
        <f aca="false">IF(名簿!$D119="","",名簿!$B119&amp;"")</f>
        <v/>
      </c>
      <c r="B119" s="91" t="str">
        <f aca="false">IF(名簿!$D119="","",名簿!$C119)</f>
        <v/>
      </c>
      <c r="C119" s="59" t="str">
        <f aca="false">IF(名簿!$D119="","",名簿!$D119&amp;IF(名簿!$F119="転出","（転出）",""))</f>
        <v/>
      </c>
      <c r="D119" s="149"/>
      <c r="E119" s="61" t="str">
        <f aca="false">IF(OR($C119="",名簿!$F119="転出"),"",IF($C$2="学級ごと",$A119,IF($C$2="前の単元と同じ",単元05!$E119&amp;"",$D119&amp;"")))</f>
        <v/>
      </c>
      <c r="F119" s="150"/>
      <c r="G119" s="150"/>
      <c r="H119" s="150"/>
      <c r="I119" s="151"/>
      <c r="J119" s="41" t="str">
        <f aca="false">IF($E119="","",$E119&amp;"|"&amp;COUNTIF($E$5:$E119,$E119))</f>
        <v/>
      </c>
      <c r="K119" s="40" t="str">
        <f aca="false">IF($I119="","",LEN($I119))</f>
        <v/>
      </c>
      <c r="L119" s="13"/>
      <c r="M119" s="13"/>
      <c r="N119" s="13"/>
      <c r="O119" s="13"/>
      <c r="P119" s="152"/>
      <c r="Q119" s="149"/>
      <c r="R119" s="152"/>
      <c r="S119" s="152"/>
      <c r="T119" s="62" t="str">
        <f aca="false">IF(OR($C119="",R119=""),"",IF(R119/IF($R$2="",100,$R$2)&gt;=設定!$I$28,設定!$G$8,IF(R119/IF($R$2="",100,$R$2)&lt;設定!$I$29,設定!$G$10,設定!$G$9)))</f>
        <v/>
      </c>
      <c r="U119" s="62" t="str">
        <f aca="false">IF(OR($C119="",S119=""),"",IF(S119/IF($S$2="",100,$S$2)&gt;=設定!$I$28,設定!$G$8,IF(S119/IF($S$2="",100,$S$2)&lt;設定!$I$29,設定!$G$10,設定!$G$9)))</f>
        <v/>
      </c>
    </row>
    <row r="120" customFormat="false" ht="21" hidden="false" customHeight="true" outlineLevel="0" collapsed="false">
      <c r="A120" s="91" t="str">
        <f aca="false">IF(名簿!$D120="","",名簿!$B120&amp;"")</f>
        <v/>
      </c>
      <c r="B120" s="91" t="str">
        <f aca="false">IF(名簿!$D120="","",名簿!$C120)</f>
        <v/>
      </c>
      <c r="C120" s="59" t="str">
        <f aca="false">IF(名簿!$D120="","",名簿!$D120&amp;IF(名簿!$F120="転出","（転出）",""))</f>
        <v/>
      </c>
      <c r="D120" s="149"/>
      <c r="E120" s="61" t="str">
        <f aca="false">IF(OR($C120="",名簿!$F120="転出"),"",IF($C$2="学級ごと",$A120,IF($C$2="前の単元と同じ",単元05!$E120&amp;"",$D120&amp;"")))</f>
        <v/>
      </c>
      <c r="F120" s="150"/>
      <c r="G120" s="150"/>
      <c r="H120" s="150"/>
      <c r="I120" s="151"/>
      <c r="J120" s="41" t="str">
        <f aca="false">IF($E120="","",$E120&amp;"|"&amp;COUNTIF($E$5:$E120,$E120))</f>
        <v/>
      </c>
      <c r="K120" s="40" t="str">
        <f aca="false">IF($I120="","",LEN($I120))</f>
        <v/>
      </c>
      <c r="L120" s="13"/>
      <c r="M120" s="13"/>
      <c r="N120" s="13"/>
      <c r="O120" s="13"/>
      <c r="P120" s="152"/>
      <c r="Q120" s="149"/>
      <c r="R120" s="152"/>
      <c r="S120" s="152"/>
      <c r="T120" s="62" t="str">
        <f aca="false">IF(OR($C120="",R120=""),"",IF(R120/IF($R$2="",100,$R$2)&gt;=設定!$I$28,設定!$G$8,IF(R120/IF($R$2="",100,$R$2)&lt;設定!$I$29,設定!$G$10,設定!$G$9)))</f>
        <v/>
      </c>
      <c r="U120" s="62" t="str">
        <f aca="false">IF(OR($C120="",S120=""),"",IF(S120/IF($S$2="",100,$S$2)&gt;=設定!$I$28,設定!$G$8,IF(S120/IF($S$2="",100,$S$2)&lt;設定!$I$29,設定!$G$10,設定!$G$9)))</f>
        <v/>
      </c>
    </row>
    <row r="121" customFormat="false" ht="21" hidden="false" customHeight="true" outlineLevel="0" collapsed="false">
      <c r="A121" s="91" t="str">
        <f aca="false">IF(名簿!$D121="","",名簿!$B121&amp;"")</f>
        <v/>
      </c>
      <c r="B121" s="91" t="str">
        <f aca="false">IF(名簿!$D121="","",名簿!$C121)</f>
        <v/>
      </c>
      <c r="C121" s="59" t="str">
        <f aca="false">IF(名簿!$D121="","",名簿!$D121&amp;IF(名簿!$F121="転出","（転出）",""))</f>
        <v/>
      </c>
      <c r="D121" s="149"/>
      <c r="E121" s="61" t="str">
        <f aca="false">IF(OR($C121="",名簿!$F121="転出"),"",IF($C$2="学級ごと",$A121,IF($C$2="前の単元と同じ",単元05!$E121&amp;"",$D121&amp;"")))</f>
        <v/>
      </c>
      <c r="F121" s="150"/>
      <c r="G121" s="150"/>
      <c r="H121" s="150"/>
      <c r="I121" s="151"/>
      <c r="J121" s="41" t="str">
        <f aca="false">IF($E121="","",$E121&amp;"|"&amp;COUNTIF($E$5:$E121,$E121))</f>
        <v/>
      </c>
      <c r="K121" s="40" t="str">
        <f aca="false">IF($I121="","",LEN($I121))</f>
        <v/>
      </c>
      <c r="L121" s="13"/>
      <c r="M121" s="13"/>
      <c r="N121" s="13"/>
      <c r="O121" s="13"/>
      <c r="P121" s="152"/>
      <c r="Q121" s="149"/>
      <c r="R121" s="152"/>
      <c r="S121" s="152"/>
      <c r="T121" s="62" t="str">
        <f aca="false">IF(OR($C121="",R121=""),"",IF(R121/IF($R$2="",100,$R$2)&gt;=設定!$I$28,設定!$G$8,IF(R121/IF($R$2="",100,$R$2)&lt;設定!$I$29,設定!$G$10,設定!$G$9)))</f>
        <v/>
      </c>
      <c r="U121" s="62" t="str">
        <f aca="false">IF(OR($C121="",S121=""),"",IF(S121/IF($S$2="",100,$S$2)&gt;=設定!$I$28,設定!$G$8,IF(S121/IF($S$2="",100,$S$2)&lt;設定!$I$29,設定!$G$10,設定!$G$9)))</f>
        <v/>
      </c>
    </row>
    <row r="122" customFormat="false" ht="21" hidden="false" customHeight="true" outlineLevel="0" collapsed="false">
      <c r="A122" s="91" t="str">
        <f aca="false">IF(名簿!$D122="","",名簿!$B122&amp;"")</f>
        <v/>
      </c>
      <c r="B122" s="91" t="str">
        <f aca="false">IF(名簿!$D122="","",名簿!$C122)</f>
        <v/>
      </c>
      <c r="C122" s="59" t="str">
        <f aca="false">IF(名簿!$D122="","",名簿!$D122&amp;IF(名簿!$F122="転出","（転出）",""))</f>
        <v/>
      </c>
      <c r="D122" s="149"/>
      <c r="E122" s="61" t="str">
        <f aca="false">IF(OR($C122="",名簿!$F122="転出"),"",IF($C$2="学級ごと",$A122,IF($C$2="前の単元と同じ",単元05!$E122&amp;"",$D122&amp;"")))</f>
        <v/>
      </c>
      <c r="F122" s="150"/>
      <c r="G122" s="150"/>
      <c r="H122" s="150"/>
      <c r="I122" s="151"/>
      <c r="J122" s="41" t="str">
        <f aca="false">IF($E122="","",$E122&amp;"|"&amp;COUNTIF($E$5:$E122,$E122))</f>
        <v/>
      </c>
      <c r="K122" s="40" t="str">
        <f aca="false">IF($I122="","",LEN($I122))</f>
        <v/>
      </c>
      <c r="L122" s="13"/>
      <c r="M122" s="13"/>
      <c r="N122" s="13"/>
      <c r="O122" s="13"/>
      <c r="P122" s="152"/>
      <c r="Q122" s="149"/>
      <c r="R122" s="152"/>
      <c r="S122" s="152"/>
      <c r="T122" s="62" t="str">
        <f aca="false">IF(OR($C122="",R122=""),"",IF(R122/IF($R$2="",100,$R$2)&gt;=設定!$I$28,設定!$G$8,IF(R122/IF($R$2="",100,$R$2)&lt;設定!$I$29,設定!$G$10,設定!$G$9)))</f>
        <v/>
      </c>
      <c r="U122" s="62" t="str">
        <f aca="false">IF(OR($C122="",S122=""),"",IF(S122/IF($S$2="",100,$S$2)&gt;=設定!$I$28,設定!$G$8,IF(S122/IF($S$2="",100,$S$2)&lt;設定!$I$29,設定!$G$10,設定!$G$9)))</f>
        <v/>
      </c>
    </row>
    <row r="123" customFormat="false" ht="21" hidden="false" customHeight="true" outlineLevel="0" collapsed="false">
      <c r="A123" s="91" t="str">
        <f aca="false">IF(名簿!$D123="","",名簿!$B123&amp;"")</f>
        <v/>
      </c>
      <c r="B123" s="91" t="str">
        <f aca="false">IF(名簿!$D123="","",名簿!$C123)</f>
        <v/>
      </c>
      <c r="C123" s="59" t="str">
        <f aca="false">IF(名簿!$D123="","",名簿!$D123&amp;IF(名簿!$F123="転出","（転出）",""))</f>
        <v/>
      </c>
      <c r="D123" s="149"/>
      <c r="E123" s="61" t="str">
        <f aca="false">IF(OR($C123="",名簿!$F123="転出"),"",IF($C$2="学級ごと",$A123,IF($C$2="前の単元と同じ",単元05!$E123&amp;"",$D123&amp;"")))</f>
        <v/>
      </c>
      <c r="F123" s="150"/>
      <c r="G123" s="150"/>
      <c r="H123" s="150"/>
      <c r="I123" s="151"/>
      <c r="J123" s="41" t="str">
        <f aca="false">IF($E123="","",$E123&amp;"|"&amp;COUNTIF($E$5:$E123,$E123))</f>
        <v/>
      </c>
      <c r="K123" s="40" t="str">
        <f aca="false">IF($I123="","",LEN($I123))</f>
        <v/>
      </c>
      <c r="L123" s="13"/>
      <c r="M123" s="13"/>
      <c r="N123" s="13"/>
      <c r="O123" s="13"/>
      <c r="P123" s="152"/>
      <c r="Q123" s="149"/>
      <c r="R123" s="152"/>
      <c r="S123" s="152"/>
      <c r="T123" s="62" t="str">
        <f aca="false">IF(OR($C123="",R123=""),"",IF(R123/IF($R$2="",100,$R$2)&gt;=設定!$I$28,設定!$G$8,IF(R123/IF($R$2="",100,$R$2)&lt;設定!$I$29,設定!$G$10,設定!$G$9)))</f>
        <v/>
      </c>
      <c r="U123" s="62" t="str">
        <f aca="false">IF(OR($C123="",S123=""),"",IF(S123/IF($S$2="",100,$S$2)&gt;=設定!$I$28,設定!$G$8,IF(S123/IF($S$2="",100,$S$2)&lt;設定!$I$29,設定!$G$10,設定!$G$9)))</f>
        <v/>
      </c>
    </row>
    <row r="124" customFormat="false" ht="21" hidden="false" customHeight="true" outlineLevel="0" collapsed="false">
      <c r="A124" s="91" t="str">
        <f aca="false">IF(名簿!$D124="","",名簿!$B124&amp;"")</f>
        <v/>
      </c>
      <c r="B124" s="91" t="str">
        <f aca="false">IF(名簿!$D124="","",名簿!$C124)</f>
        <v/>
      </c>
      <c r="C124" s="59" t="str">
        <f aca="false">IF(名簿!$D124="","",名簿!$D124&amp;IF(名簿!$F124="転出","（転出）",""))</f>
        <v/>
      </c>
      <c r="D124" s="149"/>
      <c r="E124" s="61" t="str">
        <f aca="false">IF(OR($C124="",名簿!$F124="転出"),"",IF($C$2="学級ごと",$A124,IF($C$2="前の単元と同じ",単元05!$E124&amp;"",$D124&amp;"")))</f>
        <v/>
      </c>
      <c r="F124" s="150"/>
      <c r="G124" s="150"/>
      <c r="H124" s="150"/>
      <c r="I124" s="151"/>
      <c r="J124" s="41" t="str">
        <f aca="false">IF($E124="","",$E124&amp;"|"&amp;COUNTIF($E$5:$E124,$E124))</f>
        <v/>
      </c>
      <c r="K124" s="40" t="str">
        <f aca="false">IF($I124="","",LEN($I124))</f>
        <v/>
      </c>
      <c r="L124" s="13"/>
      <c r="M124" s="13"/>
      <c r="N124" s="13"/>
      <c r="O124" s="13"/>
      <c r="P124" s="152"/>
      <c r="Q124" s="149"/>
      <c r="R124" s="152"/>
      <c r="S124" s="152"/>
      <c r="T124" s="62" t="str">
        <f aca="false">IF(OR($C124="",R124=""),"",IF(R124/IF($R$2="",100,$R$2)&gt;=設定!$I$28,設定!$G$8,IF(R124/IF($R$2="",100,$R$2)&lt;設定!$I$29,設定!$G$10,設定!$G$9)))</f>
        <v/>
      </c>
      <c r="U124" s="62" t="str">
        <f aca="false">IF(OR($C124="",S124=""),"",IF(S124/IF($S$2="",100,$S$2)&gt;=設定!$I$28,設定!$G$8,IF(S124/IF($S$2="",100,$S$2)&lt;設定!$I$29,設定!$G$10,設定!$G$9)))</f>
        <v/>
      </c>
    </row>
    <row r="125" customFormat="false" ht="21" hidden="false" customHeight="true" outlineLevel="0" collapsed="false">
      <c r="A125" s="91" t="str">
        <f aca="false">IF(名簿!$D125="","",名簿!$B125&amp;"")</f>
        <v/>
      </c>
      <c r="B125" s="91" t="str">
        <f aca="false">IF(名簿!$D125="","",名簿!$C125)</f>
        <v/>
      </c>
      <c r="C125" s="59" t="str">
        <f aca="false">IF(名簿!$D125="","",名簿!$D125&amp;IF(名簿!$F125="転出","（転出）",""))</f>
        <v/>
      </c>
      <c r="D125" s="149"/>
      <c r="E125" s="61" t="str">
        <f aca="false">IF(OR($C125="",名簿!$F125="転出"),"",IF($C$2="学級ごと",$A125,IF($C$2="前の単元と同じ",単元05!$E125&amp;"",$D125&amp;"")))</f>
        <v/>
      </c>
      <c r="F125" s="150"/>
      <c r="G125" s="150"/>
      <c r="H125" s="150"/>
      <c r="I125" s="151"/>
      <c r="J125" s="41" t="str">
        <f aca="false">IF($E125="","",$E125&amp;"|"&amp;COUNTIF($E$5:$E125,$E125))</f>
        <v/>
      </c>
      <c r="K125" s="40" t="str">
        <f aca="false">IF($I125="","",LEN($I125))</f>
        <v/>
      </c>
      <c r="L125" s="13"/>
      <c r="M125" s="13"/>
      <c r="N125" s="13"/>
      <c r="O125" s="13"/>
      <c r="P125" s="152"/>
      <c r="Q125" s="149"/>
      <c r="R125" s="152"/>
      <c r="S125" s="152"/>
      <c r="T125" s="62" t="str">
        <f aca="false">IF(OR($C125="",R125=""),"",IF(R125/IF($R$2="",100,$R$2)&gt;=設定!$I$28,設定!$G$8,IF(R125/IF($R$2="",100,$R$2)&lt;設定!$I$29,設定!$G$10,設定!$G$9)))</f>
        <v/>
      </c>
      <c r="U125" s="62" t="str">
        <f aca="false">IF(OR($C125="",S125=""),"",IF(S125/IF($S$2="",100,$S$2)&gt;=設定!$I$28,設定!$G$8,IF(S125/IF($S$2="",100,$S$2)&lt;設定!$I$29,設定!$G$10,設定!$G$9)))</f>
        <v/>
      </c>
    </row>
    <row r="126" customFormat="false" ht="21" hidden="false" customHeight="true" outlineLevel="0" collapsed="false">
      <c r="A126" s="91" t="str">
        <f aca="false">IF(名簿!$D126="","",名簿!$B126&amp;"")</f>
        <v/>
      </c>
      <c r="B126" s="91" t="str">
        <f aca="false">IF(名簿!$D126="","",名簿!$C126)</f>
        <v/>
      </c>
      <c r="C126" s="59" t="str">
        <f aca="false">IF(名簿!$D126="","",名簿!$D126&amp;IF(名簿!$F126="転出","（転出）",""))</f>
        <v/>
      </c>
      <c r="D126" s="149"/>
      <c r="E126" s="61" t="str">
        <f aca="false">IF(OR($C126="",名簿!$F126="転出"),"",IF($C$2="学級ごと",$A126,IF($C$2="前の単元と同じ",単元05!$E126&amp;"",$D126&amp;"")))</f>
        <v/>
      </c>
      <c r="F126" s="150"/>
      <c r="G126" s="150"/>
      <c r="H126" s="150"/>
      <c r="I126" s="151"/>
      <c r="J126" s="41" t="str">
        <f aca="false">IF($E126="","",$E126&amp;"|"&amp;COUNTIF($E$5:$E126,$E126))</f>
        <v/>
      </c>
      <c r="K126" s="40" t="str">
        <f aca="false">IF($I126="","",LEN($I126))</f>
        <v/>
      </c>
      <c r="L126" s="13"/>
      <c r="M126" s="13"/>
      <c r="N126" s="13"/>
      <c r="O126" s="13"/>
      <c r="P126" s="152"/>
      <c r="Q126" s="149"/>
      <c r="R126" s="152"/>
      <c r="S126" s="152"/>
      <c r="T126" s="62" t="str">
        <f aca="false">IF(OR($C126="",R126=""),"",IF(R126/IF($R$2="",100,$R$2)&gt;=設定!$I$28,設定!$G$8,IF(R126/IF($R$2="",100,$R$2)&lt;設定!$I$29,設定!$G$10,設定!$G$9)))</f>
        <v/>
      </c>
      <c r="U126" s="62" t="str">
        <f aca="false">IF(OR($C126="",S126=""),"",IF(S126/IF($S$2="",100,$S$2)&gt;=設定!$I$28,設定!$G$8,IF(S126/IF($S$2="",100,$S$2)&lt;設定!$I$29,設定!$G$10,設定!$G$9)))</f>
        <v/>
      </c>
    </row>
    <row r="127" customFormat="false" ht="21" hidden="false" customHeight="true" outlineLevel="0" collapsed="false">
      <c r="A127" s="91" t="str">
        <f aca="false">IF(名簿!$D127="","",名簿!$B127&amp;"")</f>
        <v/>
      </c>
      <c r="B127" s="91" t="str">
        <f aca="false">IF(名簿!$D127="","",名簿!$C127)</f>
        <v/>
      </c>
      <c r="C127" s="59" t="str">
        <f aca="false">IF(名簿!$D127="","",名簿!$D127&amp;IF(名簿!$F127="転出","（転出）",""))</f>
        <v/>
      </c>
      <c r="D127" s="149"/>
      <c r="E127" s="61" t="str">
        <f aca="false">IF(OR($C127="",名簿!$F127="転出"),"",IF($C$2="学級ごと",$A127,IF($C$2="前の単元と同じ",単元05!$E127&amp;"",$D127&amp;"")))</f>
        <v/>
      </c>
      <c r="F127" s="150"/>
      <c r="G127" s="150"/>
      <c r="H127" s="150"/>
      <c r="I127" s="151"/>
      <c r="J127" s="41" t="str">
        <f aca="false">IF($E127="","",$E127&amp;"|"&amp;COUNTIF($E$5:$E127,$E127))</f>
        <v/>
      </c>
      <c r="K127" s="40" t="str">
        <f aca="false">IF($I127="","",LEN($I127))</f>
        <v/>
      </c>
      <c r="L127" s="13"/>
      <c r="M127" s="13"/>
      <c r="N127" s="13"/>
      <c r="O127" s="13"/>
      <c r="P127" s="152"/>
      <c r="Q127" s="149"/>
      <c r="R127" s="152"/>
      <c r="S127" s="152"/>
      <c r="T127" s="62" t="str">
        <f aca="false">IF(OR($C127="",R127=""),"",IF(R127/IF($R$2="",100,$R$2)&gt;=設定!$I$28,設定!$G$8,IF(R127/IF($R$2="",100,$R$2)&lt;設定!$I$29,設定!$G$10,設定!$G$9)))</f>
        <v/>
      </c>
      <c r="U127" s="62" t="str">
        <f aca="false">IF(OR($C127="",S127=""),"",IF(S127/IF($S$2="",100,$S$2)&gt;=設定!$I$28,設定!$G$8,IF(S127/IF($S$2="",100,$S$2)&lt;設定!$I$29,設定!$G$10,設定!$G$9)))</f>
        <v/>
      </c>
    </row>
    <row r="128" customFormat="false" ht="21" hidden="false" customHeight="true" outlineLevel="0" collapsed="false">
      <c r="A128" s="91" t="str">
        <f aca="false">IF(名簿!$D128="","",名簿!$B128&amp;"")</f>
        <v/>
      </c>
      <c r="B128" s="91" t="str">
        <f aca="false">IF(名簿!$D128="","",名簿!$C128)</f>
        <v/>
      </c>
      <c r="C128" s="59" t="str">
        <f aca="false">IF(名簿!$D128="","",名簿!$D128&amp;IF(名簿!$F128="転出","（転出）",""))</f>
        <v/>
      </c>
      <c r="D128" s="149"/>
      <c r="E128" s="61" t="str">
        <f aca="false">IF(OR($C128="",名簿!$F128="転出"),"",IF($C$2="学級ごと",$A128,IF($C$2="前の単元と同じ",単元05!$E128&amp;"",$D128&amp;"")))</f>
        <v/>
      </c>
      <c r="F128" s="150"/>
      <c r="G128" s="150"/>
      <c r="H128" s="150"/>
      <c r="I128" s="151"/>
      <c r="J128" s="41" t="str">
        <f aca="false">IF($E128="","",$E128&amp;"|"&amp;COUNTIF($E$5:$E128,$E128))</f>
        <v/>
      </c>
      <c r="K128" s="40" t="str">
        <f aca="false">IF($I128="","",LEN($I128))</f>
        <v/>
      </c>
      <c r="L128" s="13"/>
      <c r="M128" s="13"/>
      <c r="N128" s="13"/>
      <c r="O128" s="13"/>
      <c r="P128" s="152"/>
      <c r="Q128" s="149"/>
      <c r="R128" s="152"/>
      <c r="S128" s="152"/>
      <c r="T128" s="62" t="str">
        <f aca="false">IF(OR($C128="",R128=""),"",IF(R128/IF($R$2="",100,$R$2)&gt;=設定!$I$28,設定!$G$8,IF(R128/IF($R$2="",100,$R$2)&lt;設定!$I$29,設定!$G$10,設定!$G$9)))</f>
        <v/>
      </c>
      <c r="U128" s="62" t="str">
        <f aca="false">IF(OR($C128="",S128=""),"",IF(S128/IF($S$2="",100,$S$2)&gt;=設定!$I$28,設定!$G$8,IF(S128/IF($S$2="",100,$S$2)&lt;設定!$I$29,設定!$G$10,設定!$G$9)))</f>
        <v/>
      </c>
    </row>
    <row r="129" customFormat="false" ht="21" hidden="false" customHeight="true" outlineLevel="0" collapsed="false">
      <c r="A129" s="91" t="str">
        <f aca="false">IF(名簿!$D129="","",名簿!$B129&amp;"")</f>
        <v/>
      </c>
      <c r="B129" s="91" t="str">
        <f aca="false">IF(名簿!$D129="","",名簿!$C129)</f>
        <v/>
      </c>
      <c r="C129" s="59" t="str">
        <f aca="false">IF(名簿!$D129="","",名簿!$D129&amp;IF(名簿!$F129="転出","（転出）",""))</f>
        <v/>
      </c>
      <c r="D129" s="149"/>
      <c r="E129" s="61" t="str">
        <f aca="false">IF(OR($C129="",名簿!$F129="転出"),"",IF($C$2="学級ごと",$A129,IF($C$2="前の単元と同じ",単元05!$E129&amp;"",$D129&amp;"")))</f>
        <v/>
      </c>
      <c r="F129" s="150"/>
      <c r="G129" s="150"/>
      <c r="H129" s="150"/>
      <c r="I129" s="151"/>
      <c r="J129" s="41" t="str">
        <f aca="false">IF($E129="","",$E129&amp;"|"&amp;COUNTIF($E$5:$E129,$E129))</f>
        <v/>
      </c>
      <c r="K129" s="40" t="str">
        <f aca="false">IF($I129="","",LEN($I129))</f>
        <v/>
      </c>
      <c r="L129" s="13"/>
      <c r="M129" s="13"/>
      <c r="N129" s="13"/>
      <c r="O129" s="13"/>
      <c r="P129" s="152"/>
      <c r="Q129" s="149"/>
      <c r="R129" s="152"/>
      <c r="S129" s="152"/>
      <c r="T129" s="62" t="str">
        <f aca="false">IF(OR($C129="",R129=""),"",IF(R129/IF($R$2="",100,$R$2)&gt;=設定!$I$28,設定!$G$8,IF(R129/IF($R$2="",100,$R$2)&lt;設定!$I$29,設定!$G$10,設定!$G$9)))</f>
        <v/>
      </c>
      <c r="U129" s="62" t="str">
        <f aca="false">IF(OR($C129="",S129=""),"",IF(S129/IF($S$2="",100,$S$2)&gt;=設定!$I$28,設定!$G$8,IF(S129/IF($S$2="",100,$S$2)&lt;設定!$I$29,設定!$G$10,設定!$G$9)))</f>
        <v/>
      </c>
    </row>
    <row r="130" customFormat="false" ht="21" hidden="false" customHeight="true" outlineLevel="0" collapsed="false">
      <c r="A130" s="91" t="str">
        <f aca="false">IF(名簿!$D130="","",名簿!$B130&amp;"")</f>
        <v/>
      </c>
      <c r="B130" s="91" t="str">
        <f aca="false">IF(名簿!$D130="","",名簿!$C130)</f>
        <v/>
      </c>
      <c r="C130" s="59" t="str">
        <f aca="false">IF(名簿!$D130="","",名簿!$D130&amp;IF(名簿!$F130="転出","（転出）",""))</f>
        <v/>
      </c>
      <c r="D130" s="149"/>
      <c r="E130" s="61" t="str">
        <f aca="false">IF(OR($C130="",名簿!$F130="転出"),"",IF($C$2="学級ごと",$A130,IF($C$2="前の単元と同じ",単元05!$E130&amp;"",$D130&amp;"")))</f>
        <v/>
      </c>
      <c r="F130" s="150"/>
      <c r="G130" s="150"/>
      <c r="H130" s="150"/>
      <c r="I130" s="151"/>
      <c r="J130" s="41" t="str">
        <f aca="false">IF($E130="","",$E130&amp;"|"&amp;COUNTIF($E$5:$E130,$E130))</f>
        <v/>
      </c>
      <c r="K130" s="40" t="str">
        <f aca="false">IF($I130="","",LEN($I130))</f>
        <v/>
      </c>
      <c r="L130" s="13"/>
      <c r="M130" s="13"/>
      <c r="N130" s="13"/>
      <c r="O130" s="13"/>
      <c r="P130" s="152"/>
      <c r="Q130" s="149"/>
      <c r="R130" s="152"/>
      <c r="S130" s="152"/>
      <c r="T130" s="62" t="str">
        <f aca="false">IF(OR($C130="",R130=""),"",IF(R130/IF($R$2="",100,$R$2)&gt;=設定!$I$28,設定!$G$8,IF(R130/IF($R$2="",100,$R$2)&lt;設定!$I$29,設定!$G$10,設定!$G$9)))</f>
        <v/>
      </c>
      <c r="U130" s="62" t="str">
        <f aca="false">IF(OR($C130="",S130=""),"",IF(S130/IF($S$2="",100,$S$2)&gt;=設定!$I$28,設定!$G$8,IF(S130/IF($S$2="",100,$S$2)&lt;設定!$I$29,設定!$G$10,設定!$G$9)))</f>
        <v/>
      </c>
    </row>
    <row r="131" customFormat="false" ht="21" hidden="false" customHeight="true" outlineLevel="0" collapsed="false">
      <c r="A131" s="91" t="str">
        <f aca="false">IF(名簿!$D131="","",名簿!$B131&amp;"")</f>
        <v/>
      </c>
      <c r="B131" s="91" t="str">
        <f aca="false">IF(名簿!$D131="","",名簿!$C131)</f>
        <v/>
      </c>
      <c r="C131" s="59" t="str">
        <f aca="false">IF(名簿!$D131="","",名簿!$D131&amp;IF(名簿!$F131="転出","（転出）",""))</f>
        <v/>
      </c>
      <c r="D131" s="149"/>
      <c r="E131" s="61" t="str">
        <f aca="false">IF(OR($C131="",名簿!$F131="転出"),"",IF($C$2="学級ごと",$A131,IF($C$2="前の単元と同じ",単元05!$E131&amp;"",$D131&amp;"")))</f>
        <v/>
      </c>
      <c r="F131" s="150"/>
      <c r="G131" s="150"/>
      <c r="H131" s="150"/>
      <c r="I131" s="151"/>
      <c r="J131" s="41" t="str">
        <f aca="false">IF($E131="","",$E131&amp;"|"&amp;COUNTIF($E$5:$E131,$E131))</f>
        <v/>
      </c>
      <c r="K131" s="40" t="str">
        <f aca="false">IF($I131="","",LEN($I131))</f>
        <v/>
      </c>
      <c r="L131" s="13"/>
      <c r="M131" s="13"/>
      <c r="N131" s="13"/>
      <c r="O131" s="13"/>
      <c r="P131" s="152"/>
      <c r="Q131" s="149"/>
      <c r="R131" s="152"/>
      <c r="S131" s="152"/>
      <c r="T131" s="62" t="str">
        <f aca="false">IF(OR($C131="",R131=""),"",IF(R131/IF($R$2="",100,$R$2)&gt;=設定!$I$28,設定!$G$8,IF(R131/IF($R$2="",100,$R$2)&lt;設定!$I$29,設定!$G$10,設定!$G$9)))</f>
        <v/>
      </c>
      <c r="U131" s="62" t="str">
        <f aca="false">IF(OR($C131="",S131=""),"",IF(S131/IF($S$2="",100,$S$2)&gt;=設定!$I$28,設定!$G$8,IF(S131/IF($S$2="",100,$S$2)&lt;設定!$I$29,設定!$G$10,設定!$G$9)))</f>
        <v/>
      </c>
    </row>
    <row r="132" customFormat="false" ht="21" hidden="false" customHeight="true" outlineLevel="0" collapsed="false">
      <c r="A132" s="91" t="str">
        <f aca="false">IF(名簿!$D132="","",名簿!$B132&amp;"")</f>
        <v/>
      </c>
      <c r="B132" s="91" t="str">
        <f aca="false">IF(名簿!$D132="","",名簿!$C132)</f>
        <v/>
      </c>
      <c r="C132" s="59" t="str">
        <f aca="false">IF(名簿!$D132="","",名簿!$D132&amp;IF(名簿!$F132="転出","（転出）",""))</f>
        <v/>
      </c>
      <c r="D132" s="149"/>
      <c r="E132" s="61" t="str">
        <f aca="false">IF(OR($C132="",名簿!$F132="転出"),"",IF($C$2="学級ごと",$A132,IF($C$2="前の単元と同じ",単元05!$E132&amp;"",$D132&amp;"")))</f>
        <v/>
      </c>
      <c r="F132" s="150"/>
      <c r="G132" s="150"/>
      <c r="H132" s="150"/>
      <c r="I132" s="151"/>
      <c r="J132" s="41" t="str">
        <f aca="false">IF($E132="","",$E132&amp;"|"&amp;COUNTIF($E$5:$E132,$E132))</f>
        <v/>
      </c>
      <c r="K132" s="40" t="str">
        <f aca="false">IF($I132="","",LEN($I132))</f>
        <v/>
      </c>
      <c r="L132" s="13"/>
      <c r="M132" s="13"/>
      <c r="N132" s="13"/>
      <c r="O132" s="13"/>
      <c r="P132" s="152"/>
      <c r="Q132" s="149"/>
      <c r="R132" s="152"/>
      <c r="S132" s="152"/>
      <c r="T132" s="62" t="str">
        <f aca="false">IF(OR($C132="",R132=""),"",IF(R132/IF($R$2="",100,$R$2)&gt;=設定!$I$28,設定!$G$8,IF(R132/IF($R$2="",100,$R$2)&lt;設定!$I$29,設定!$G$10,設定!$G$9)))</f>
        <v/>
      </c>
      <c r="U132" s="62" t="str">
        <f aca="false">IF(OR($C132="",S132=""),"",IF(S132/IF($S$2="",100,$S$2)&gt;=設定!$I$28,設定!$G$8,IF(S132/IF($S$2="",100,$S$2)&lt;設定!$I$29,設定!$G$10,設定!$G$9)))</f>
        <v/>
      </c>
    </row>
    <row r="133" customFormat="false" ht="21" hidden="false" customHeight="true" outlineLevel="0" collapsed="false">
      <c r="A133" s="91" t="str">
        <f aca="false">IF(名簿!$D133="","",名簿!$B133&amp;"")</f>
        <v/>
      </c>
      <c r="B133" s="91" t="str">
        <f aca="false">IF(名簿!$D133="","",名簿!$C133)</f>
        <v/>
      </c>
      <c r="C133" s="59" t="str">
        <f aca="false">IF(名簿!$D133="","",名簿!$D133&amp;IF(名簿!$F133="転出","（転出）",""))</f>
        <v/>
      </c>
      <c r="D133" s="149"/>
      <c r="E133" s="61" t="str">
        <f aca="false">IF(OR($C133="",名簿!$F133="転出"),"",IF($C$2="学級ごと",$A133,IF($C$2="前の単元と同じ",単元05!$E133&amp;"",$D133&amp;"")))</f>
        <v/>
      </c>
      <c r="F133" s="150"/>
      <c r="G133" s="150"/>
      <c r="H133" s="150"/>
      <c r="I133" s="151"/>
      <c r="J133" s="41" t="str">
        <f aca="false">IF($E133="","",$E133&amp;"|"&amp;COUNTIF($E$5:$E133,$E133))</f>
        <v/>
      </c>
      <c r="K133" s="40" t="str">
        <f aca="false">IF($I133="","",LEN($I133))</f>
        <v/>
      </c>
      <c r="L133" s="13"/>
      <c r="M133" s="13"/>
      <c r="N133" s="13"/>
      <c r="O133" s="13"/>
      <c r="P133" s="152"/>
      <c r="Q133" s="149"/>
      <c r="R133" s="152"/>
      <c r="S133" s="152"/>
      <c r="T133" s="62" t="str">
        <f aca="false">IF(OR($C133="",R133=""),"",IF(R133/IF($R$2="",100,$R$2)&gt;=設定!$I$28,設定!$G$8,IF(R133/IF($R$2="",100,$R$2)&lt;設定!$I$29,設定!$G$10,設定!$G$9)))</f>
        <v/>
      </c>
      <c r="U133" s="62" t="str">
        <f aca="false">IF(OR($C133="",S133=""),"",IF(S133/IF($S$2="",100,$S$2)&gt;=設定!$I$28,設定!$G$8,IF(S133/IF($S$2="",100,$S$2)&lt;設定!$I$29,設定!$G$10,設定!$G$9)))</f>
        <v/>
      </c>
    </row>
    <row r="134" customFormat="false" ht="21" hidden="false" customHeight="true" outlineLevel="0" collapsed="false">
      <c r="A134" s="91" t="str">
        <f aca="false">IF(名簿!$D134="","",名簿!$B134&amp;"")</f>
        <v/>
      </c>
      <c r="B134" s="91" t="str">
        <f aca="false">IF(名簿!$D134="","",名簿!$C134)</f>
        <v/>
      </c>
      <c r="C134" s="59" t="str">
        <f aca="false">IF(名簿!$D134="","",名簿!$D134&amp;IF(名簿!$F134="転出","（転出）",""))</f>
        <v/>
      </c>
      <c r="D134" s="149"/>
      <c r="E134" s="61" t="str">
        <f aca="false">IF(OR($C134="",名簿!$F134="転出"),"",IF($C$2="学級ごと",$A134,IF($C$2="前の単元と同じ",単元05!$E134&amp;"",$D134&amp;"")))</f>
        <v/>
      </c>
      <c r="F134" s="150"/>
      <c r="G134" s="150"/>
      <c r="H134" s="150"/>
      <c r="I134" s="151"/>
      <c r="J134" s="41" t="str">
        <f aca="false">IF($E134="","",$E134&amp;"|"&amp;COUNTIF($E$5:$E134,$E134))</f>
        <v/>
      </c>
      <c r="K134" s="40" t="str">
        <f aca="false">IF($I134="","",LEN($I134))</f>
        <v/>
      </c>
      <c r="L134" s="13"/>
      <c r="M134" s="13"/>
      <c r="N134" s="13"/>
      <c r="O134" s="13"/>
      <c r="P134" s="152"/>
      <c r="Q134" s="149"/>
      <c r="R134" s="152"/>
      <c r="S134" s="152"/>
      <c r="T134" s="62" t="str">
        <f aca="false">IF(OR($C134="",R134=""),"",IF(R134/IF($R$2="",100,$R$2)&gt;=設定!$I$28,設定!$G$8,IF(R134/IF($R$2="",100,$R$2)&lt;設定!$I$29,設定!$G$10,設定!$G$9)))</f>
        <v/>
      </c>
      <c r="U134" s="62" t="str">
        <f aca="false">IF(OR($C134="",S134=""),"",IF(S134/IF($S$2="",100,$S$2)&gt;=設定!$I$28,設定!$G$8,IF(S134/IF($S$2="",100,$S$2)&lt;設定!$I$29,設定!$G$10,設定!$G$9)))</f>
        <v/>
      </c>
    </row>
    <row r="135" customFormat="false" ht="21" hidden="false" customHeight="true" outlineLevel="0" collapsed="false">
      <c r="A135" s="91" t="str">
        <f aca="false">IF(名簿!$D135="","",名簿!$B135&amp;"")</f>
        <v/>
      </c>
      <c r="B135" s="91" t="str">
        <f aca="false">IF(名簿!$D135="","",名簿!$C135)</f>
        <v/>
      </c>
      <c r="C135" s="59" t="str">
        <f aca="false">IF(名簿!$D135="","",名簿!$D135&amp;IF(名簿!$F135="転出","（転出）",""))</f>
        <v/>
      </c>
      <c r="D135" s="149"/>
      <c r="E135" s="61" t="str">
        <f aca="false">IF(OR($C135="",名簿!$F135="転出"),"",IF($C$2="学級ごと",$A135,IF($C$2="前の単元と同じ",単元05!$E135&amp;"",$D135&amp;"")))</f>
        <v/>
      </c>
      <c r="F135" s="150"/>
      <c r="G135" s="150"/>
      <c r="H135" s="150"/>
      <c r="I135" s="151"/>
      <c r="J135" s="41" t="str">
        <f aca="false">IF($E135="","",$E135&amp;"|"&amp;COUNTIF($E$5:$E135,$E135))</f>
        <v/>
      </c>
      <c r="K135" s="40" t="str">
        <f aca="false">IF($I135="","",LEN($I135))</f>
        <v/>
      </c>
      <c r="L135" s="13"/>
      <c r="M135" s="13"/>
      <c r="N135" s="13"/>
      <c r="O135" s="13"/>
      <c r="P135" s="152"/>
      <c r="Q135" s="149"/>
      <c r="R135" s="152"/>
      <c r="S135" s="152"/>
      <c r="T135" s="62" t="str">
        <f aca="false">IF(OR($C135="",R135=""),"",IF(R135/IF($R$2="",100,$R$2)&gt;=設定!$I$28,設定!$G$8,IF(R135/IF($R$2="",100,$R$2)&lt;設定!$I$29,設定!$G$10,設定!$G$9)))</f>
        <v/>
      </c>
      <c r="U135" s="62" t="str">
        <f aca="false">IF(OR($C135="",S135=""),"",IF(S135/IF($S$2="",100,$S$2)&gt;=設定!$I$28,設定!$G$8,IF(S135/IF($S$2="",100,$S$2)&lt;設定!$I$29,設定!$G$10,設定!$G$9)))</f>
        <v/>
      </c>
    </row>
    <row r="136" customFormat="false" ht="21" hidden="false" customHeight="true" outlineLevel="0" collapsed="false">
      <c r="A136" s="91" t="str">
        <f aca="false">IF(名簿!$D136="","",名簿!$B136&amp;"")</f>
        <v/>
      </c>
      <c r="B136" s="91" t="str">
        <f aca="false">IF(名簿!$D136="","",名簿!$C136)</f>
        <v/>
      </c>
      <c r="C136" s="59" t="str">
        <f aca="false">IF(名簿!$D136="","",名簿!$D136&amp;IF(名簿!$F136="転出","（転出）",""))</f>
        <v/>
      </c>
      <c r="D136" s="149"/>
      <c r="E136" s="61" t="str">
        <f aca="false">IF(OR($C136="",名簿!$F136="転出"),"",IF($C$2="学級ごと",$A136,IF($C$2="前の単元と同じ",単元05!$E136&amp;"",$D136&amp;"")))</f>
        <v/>
      </c>
      <c r="F136" s="150"/>
      <c r="G136" s="150"/>
      <c r="H136" s="150"/>
      <c r="I136" s="151"/>
      <c r="J136" s="41" t="str">
        <f aca="false">IF($E136="","",$E136&amp;"|"&amp;COUNTIF($E$5:$E136,$E136))</f>
        <v/>
      </c>
      <c r="K136" s="40" t="str">
        <f aca="false">IF($I136="","",LEN($I136))</f>
        <v/>
      </c>
      <c r="L136" s="13"/>
      <c r="M136" s="13"/>
      <c r="N136" s="13"/>
      <c r="O136" s="13"/>
      <c r="P136" s="152"/>
      <c r="Q136" s="149"/>
      <c r="R136" s="152"/>
      <c r="S136" s="152"/>
      <c r="T136" s="62" t="str">
        <f aca="false">IF(OR($C136="",R136=""),"",IF(R136/IF($R$2="",100,$R$2)&gt;=設定!$I$28,設定!$G$8,IF(R136/IF($R$2="",100,$R$2)&lt;設定!$I$29,設定!$G$10,設定!$G$9)))</f>
        <v/>
      </c>
      <c r="U136" s="62" t="str">
        <f aca="false">IF(OR($C136="",S136=""),"",IF(S136/IF($S$2="",100,$S$2)&gt;=設定!$I$28,設定!$G$8,IF(S136/IF($S$2="",100,$S$2)&lt;設定!$I$29,設定!$G$10,設定!$G$9)))</f>
        <v/>
      </c>
    </row>
    <row r="137" customFormat="false" ht="21" hidden="false" customHeight="true" outlineLevel="0" collapsed="false">
      <c r="A137" s="91" t="str">
        <f aca="false">IF(名簿!$D137="","",名簿!$B137&amp;"")</f>
        <v/>
      </c>
      <c r="B137" s="91" t="str">
        <f aca="false">IF(名簿!$D137="","",名簿!$C137)</f>
        <v/>
      </c>
      <c r="C137" s="59" t="str">
        <f aca="false">IF(名簿!$D137="","",名簿!$D137&amp;IF(名簿!$F137="転出","（転出）",""))</f>
        <v/>
      </c>
      <c r="D137" s="149"/>
      <c r="E137" s="61" t="str">
        <f aca="false">IF(OR($C137="",名簿!$F137="転出"),"",IF($C$2="学級ごと",$A137,IF($C$2="前の単元と同じ",単元05!$E137&amp;"",$D137&amp;"")))</f>
        <v/>
      </c>
      <c r="F137" s="150"/>
      <c r="G137" s="150"/>
      <c r="H137" s="150"/>
      <c r="I137" s="151"/>
      <c r="J137" s="41" t="str">
        <f aca="false">IF($E137="","",$E137&amp;"|"&amp;COUNTIF($E$5:$E137,$E137))</f>
        <v/>
      </c>
      <c r="K137" s="40" t="str">
        <f aca="false">IF($I137="","",LEN($I137))</f>
        <v/>
      </c>
      <c r="L137" s="13"/>
      <c r="M137" s="13"/>
      <c r="N137" s="13"/>
      <c r="O137" s="13"/>
      <c r="P137" s="152"/>
      <c r="Q137" s="149"/>
      <c r="R137" s="152"/>
      <c r="S137" s="152"/>
      <c r="T137" s="62" t="str">
        <f aca="false">IF(OR($C137="",R137=""),"",IF(R137/IF($R$2="",100,$R$2)&gt;=設定!$I$28,設定!$G$8,IF(R137/IF($R$2="",100,$R$2)&lt;設定!$I$29,設定!$G$10,設定!$G$9)))</f>
        <v/>
      </c>
      <c r="U137" s="62" t="str">
        <f aca="false">IF(OR($C137="",S137=""),"",IF(S137/IF($S$2="",100,$S$2)&gt;=設定!$I$28,設定!$G$8,IF(S137/IF($S$2="",100,$S$2)&lt;設定!$I$29,設定!$G$10,設定!$G$9)))</f>
        <v/>
      </c>
    </row>
    <row r="138" customFormat="false" ht="21" hidden="false" customHeight="true" outlineLevel="0" collapsed="false">
      <c r="A138" s="91" t="str">
        <f aca="false">IF(名簿!$D138="","",名簿!$B138&amp;"")</f>
        <v/>
      </c>
      <c r="B138" s="91" t="str">
        <f aca="false">IF(名簿!$D138="","",名簿!$C138)</f>
        <v/>
      </c>
      <c r="C138" s="59" t="str">
        <f aca="false">IF(名簿!$D138="","",名簿!$D138&amp;IF(名簿!$F138="転出","（転出）",""))</f>
        <v/>
      </c>
      <c r="D138" s="149"/>
      <c r="E138" s="61" t="str">
        <f aca="false">IF(OR($C138="",名簿!$F138="転出"),"",IF($C$2="学級ごと",$A138,IF($C$2="前の単元と同じ",単元05!$E138&amp;"",$D138&amp;"")))</f>
        <v/>
      </c>
      <c r="F138" s="150"/>
      <c r="G138" s="150"/>
      <c r="H138" s="150"/>
      <c r="I138" s="151"/>
      <c r="J138" s="41" t="str">
        <f aca="false">IF($E138="","",$E138&amp;"|"&amp;COUNTIF($E$5:$E138,$E138))</f>
        <v/>
      </c>
      <c r="K138" s="40" t="str">
        <f aca="false">IF($I138="","",LEN($I138))</f>
        <v/>
      </c>
      <c r="L138" s="13"/>
      <c r="M138" s="13"/>
      <c r="N138" s="13"/>
      <c r="O138" s="13"/>
      <c r="P138" s="152"/>
      <c r="Q138" s="149"/>
      <c r="R138" s="152"/>
      <c r="S138" s="152"/>
      <c r="T138" s="62" t="str">
        <f aca="false">IF(OR($C138="",R138=""),"",IF(R138/IF($R$2="",100,$R$2)&gt;=設定!$I$28,設定!$G$8,IF(R138/IF($R$2="",100,$R$2)&lt;設定!$I$29,設定!$G$10,設定!$G$9)))</f>
        <v/>
      </c>
      <c r="U138" s="62" t="str">
        <f aca="false">IF(OR($C138="",S138=""),"",IF(S138/IF($S$2="",100,$S$2)&gt;=設定!$I$28,設定!$G$8,IF(S138/IF($S$2="",100,$S$2)&lt;設定!$I$29,設定!$G$10,設定!$G$9)))</f>
        <v/>
      </c>
    </row>
    <row r="139" customFormat="false" ht="21" hidden="false" customHeight="true" outlineLevel="0" collapsed="false">
      <c r="A139" s="91" t="str">
        <f aca="false">IF(名簿!$D139="","",名簿!$B139&amp;"")</f>
        <v/>
      </c>
      <c r="B139" s="91" t="str">
        <f aca="false">IF(名簿!$D139="","",名簿!$C139)</f>
        <v/>
      </c>
      <c r="C139" s="59" t="str">
        <f aca="false">IF(名簿!$D139="","",名簿!$D139&amp;IF(名簿!$F139="転出","（転出）",""))</f>
        <v/>
      </c>
      <c r="D139" s="149"/>
      <c r="E139" s="61" t="str">
        <f aca="false">IF(OR($C139="",名簿!$F139="転出"),"",IF($C$2="学級ごと",$A139,IF($C$2="前の単元と同じ",単元05!$E139&amp;"",$D139&amp;"")))</f>
        <v/>
      </c>
      <c r="F139" s="150"/>
      <c r="G139" s="150"/>
      <c r="H139" s="150"/>
      <c r="I139" s="151"/>
      <c r="J139" s="41" t="str">
        <f aca="false">IF($E139="","",$E139&amp;"|"&amp;COUNTIF($E$5:$E139,$E139))</f>
        <v/>
      </c>
      <c r="K139" s="40" t="str">
        <f aca="false">IF($I139="","",LEN($I139))</f>
        <v/>
      </c>
      <c r="L139" s="13"/>
      <c r="M139" s="13"/>
      <c r="N139" s="13"/>
      <c r="O139" s="13"/>
      <c r="P139" s="152"/>
      <c r="Q139" s="149"/>
      <c r="R139" s="152"/>
      <c r="S139" s="152"/>
      <c r="T139" s="62" t="str">
        <f aca="false">IF(OR($C139="",R139=""),"",IF(R139/IF($R$2="",100,$R$2)&gt;=設定!$I$28,設定!$G$8,IF(R139/IF($R$2="",100,$R$2)&lt;設定!$I$29,設定!$G$10,設定!$G$9)))</f>
        <v/>
      </c>
      <c r="U139" s="62" t="str">
        <f aca="false">IF(OR($C139="",S139=""),"",IF(S139/IF($S$2="",100,$S$2)&gt;=設定!$I$28,設定!$G$8,IF(S139/IF($S$2="",100,$S$2)&lt;設定!$I$29,設定!$G$10,設定!$G$9)))</f>
        <v/>
      </c>
    </row>
    <row r="140" customFormat="false" ht="21" hidden="false" customHeight="true" outlineLevel="0" collapsed="false">
      <c r="A140" s="91" t="str">
        <f aca="false">IF(名簿!$D140="","",名簿!$B140&amp;"")</f>
        <v/>
      </c>
      <c r="B140" s="91" t="str">
        <f aca="false">IF(名簿!$D140="","",名簿!$C140)</f>
        <v/>
      </c>
      <c r="C140" s="59" t="str">
        <f aca="false">IF(名簿!$D140="","",名簿!$D140&amp;IF(名簿!$F140="転出","（転出）",""))</f>
        <v/>
      </c>
      <c r="D140" s="149"/>
      <c r="E140" s="61" t="str">
        <f aca="false">IF(OR($C140="",名簿!$F140="転出"),"",IF($C$2="学級ごと",$A140,IF($C$2="前の単元と同じ",単元05!$E140&amp;"",$D140&amp;"")))</f>
        <v/>
      </c>
      <c r="F140" s="150"/>
      <c r="G140" s="150"/>
      <c r="H140" s="150"/>
      <c r="I140" s="151"/>
      <c r="J140" s="41" t="str">
        <f aca="false">IF($E140="","",$E140&amp;"|"&amp;COUNTIF($E$5:$E140,$E140))</f>
        <v/>
      </c>
      <c r="K140" s="40" t="str">
        <f aca="false">IF($I140="","",LEN($I140))</f>
        <v/>
      </c>
      <c r="L140" s="13"/>
      <c r="M140" s="13"/>
      <c r="N140" s="13"/>
      <c r="O140" s="13"/>
      <c r="P140" s="152"/>
      <c r="Q140" s="149"/>
      <c r="R140" s="152"/>
      <c r="S140" s="152"/>
      <c r="T140" s="62" t="str">
        <f aca="false">IF(OR($C140="",R140=""),"",IF(R140/IF($R$2="",100,$R$2)&gt;=設定!$I$28,設定!$G$8,IF(R140/IF($R$2="",100,$R$2)&lt;設定!$I$29,設定!$G$10,設定!$G$9)))</f>
        <v/>
      </c>
      <c r="U140" s="62" t="str">
        <f aca="false">IF(OR($C140="",S140=""),"",IF(S140/IF($S$2="",100,$S$2)&gt;=設定!$I$28,設定!$G$8,IF(S140/IF($S$2="",100,$S$2)&lt;設定!$I$29,設定!$G$10,設定!$G$9)))</f>
        <v/>
      </c>
    </row>
    <row r="141" customFormat="false" ht="21" hidden="false" customHeight="true" outlineLevel="0" collapsed="false">
      <c r="A141" s="91" t="str">
        <f aca="false">IF(名簿!$D141="","",名簿!$B141&amp;"")</f>
        <v/>
      </c>
      <c r="B141" s="91" t="str">
        <f aca="false">IF(名簿!$D141="","",名簿!$C141)</f>
        <v/>
      </c>
      <c r="C141" s="59" t="str">
        <f aca="false">IF(名簿!$D141="","",名簿!$D141&amp;IF(名簿!$F141="転出","（転出）",""))</f>
        <v/>
      </c>
      <c r="D141" s="149"/>
      <c r="E141" s="61" t="str">
        <f aca="false">IF(OR($C141="",名簿!$F141="転出"),"",IF($C$2="学級ごと",$A141,IF($C$2="前の単元と同じ",単元05!$E141&amp;"",$D141&amp;"")))</f>
        <v/>
      </c>
      <c r="F141" s="150"/>
      <c r="G141" s="150"/>
      <c r="H141" s="150"/>
      <c r="I141" s="151"/>
      <c r="J141" s="41" t="str">
        <f aca="false">IF($E141="","",$E141&amp;"|"&amp;COUNTIF($E$5:$E141,$E141))</f>
        <v/>
      </c>
      <c r="K141" s="40" t="str">
        <f aca="false">IF($I141="","",LEN($I141))</f>
        <v/>
      </c>
      <c r="L141" s="13"/>
      <c r="M141" s="13"/>
      <c r="N141" s="13"/>
      <c r="O141" s="13"/>
      <c r="P141" s="152"/>
      <c r="Q141" s="149"/>
      <c r="R141" s="152"/>
      <c r="S141" s="152"/>
      <c r="T141" s="62" t="str">
        <f aca="false">IF(OR($C141="",R141=""),"",IF(R141/IF($R$2="",100,$R$2)&gt;=設定!$I$28,設定!$G$8,IF(R141/IF($R$2="",100,$R$2)&lt;設定!$I$29,設定!$G$10,設定!$G$9)))</f>
        <v/>
      </c>
      <c r="U141" s="62" t="str">
        <f aca="false">IF(OR($C141="",S141=""),"",IF(S141/IF($S$2="",100,$S$2)&gt;=設定!$I$28,設定!$G$8,IF(S141/IF($S$2="",100,$S$2)&lt;設定!$I$29,設定!$G$10,設定!$G$9)))</f>
        <v/>
      </c>
    </row>
    <row r="142" customFormat="false" ht="21" hidden="false" customHeight="true" outlineLevel="0" collapsed="false">
      <c r="A142" s="91" t="str">
        <f aca="false">IF(名簿!$D142="","",名簿!$B142&amp;"")</f>
        <v/>
      </c>
      <c r="B142" s="91" t="str">
        <f aca="false">IF(名簿!$D142="","",名簿!$C142)</f>
        <v/>
      </c>
      <c r="C142" s="59" t="str">
        <f aca="false">IF(名簿!$D142="","",名簿!$D142&amp;IF(名簿!$F142="転出","（転出）",""))</f>
        <v/>
      </c>
      <c r="D142" s="149"/>
      <c r="E142" s="61" t="str">
        <f aca="false">IF(OR($C142="",名簿!$F142="転出"),"",IF($C$2="学級ごと",$A142,IF($C$2="前の単元と同じ",単元05!$E142&amp;"",$D142&amp;"")))</f>
        <v/>
      </c>
      <c r="F142" s="150"/>
      <c r="G142" s="150"/>
      <c r="H142" s="150"/>
      <c r="I142" s="151"/>
      <c r="J142" s="41" t="str">
        <f aca="false">IF($E142="","",$E142&amp;"|"&amp;COUNTIF($E$5:$E142,$E142))</f>
        <v/>
      </c>
      <c r="K142" s="40" t="str">
        <f aca="false">IF($I142="","",LEN($I142))</f>
        <v/>
      </c>
      <c r="L142" s="13"/>
      <c r="M142" s="13"/>
      <c r="N142" s="13"/>
      <c r="O142" s="13"/>
      <c r="P142" s="152"/>
      <c r="Q142" s="149"/>
      <c r="R142" s="152"/>
      <c r="S142" s="152"/>
      <c r="T142" s="62" t="str">
        <f aca="false">IF(OR($C142="",R142=""),"",IF(R142/IF($R$2="",100,$R$2)&gt;=設定!$I$28,設定!$G$8,IF(R142/IF($R$2="",100,$R$2)&lt;設定!$I$29,設定!$G$10,設定!$G$9)))</f>
        <v/>
      </c>
      <c r="U142" s="62" t="str">
        <f aca="false">IF(OR($C142="",S142=""),"",IF(S142/IF($S$2="",100,$S$2)&gt;=設定!$I$28,設定!$G$8,IF(S142/IF($S$2="",100,$S$2)&lt;設定!$I$29,設定!$G$10,設定!$G$9)))</f>
        <v/>
      </c>
    </row>
    <row r="143" customFormat="false" ht="21" hidden="false" customHeight="true" outlineLevel="0" collapsed="false">
      <c r="A143" s="91" t="str">
        <f aca="false">IF(名簿!$D143="","",名簿!$B143&amp;"")</f>
        <v/>
      </c>
      <c r="B143" s="91" t="str">
        <f aca="false">IF(名簿!$D143="","",名簿!$C143)</f>
        <v/>
      </c>
      <c r="C143" s="59" t="str">
        <f aca="false">IF(名簿!$D143="","",名簿!$D143&amp;IF(名簿!$F143="転出","（転出）",""))</f>
        <v/>
      </c>
      <c r="D143" s="149"/>
      <c r="E143" s="61" t="str">
        <f aca="false">IF(OR($C143="",名簿!$F143="転出"),"",IF($C$2="学級ごと",$A143,IF($C$2="前の単元と同じ",単元05!$E143&amp;"",$D143&amp;"")))</f>
        <v/>
      </c>
      <c r="F143" s="150"/>
      <c r="G143" s="150"/>
      <c r="H143" s="150"/>
      <c r="I143" s="151"/>
      <c r="J143" s="41" t="str">
        <f aca="false">IF($E143="","",$E143&amp;"|"&amp;COUNTIF($E$5:$E143,$E143))</f>
        <v/>
      </c>
      <c r="K143" s="40" t="str">
        <f aca="false">IF($I143="","",LEN($I143))</f>
        <v/>
      </c>
      <c r="L143" s="13"/>
      <c r="M143" s="13"/>
      <c r="N143" s="13"/>
      <c r="O143" s="13"/>
      <c r="P143" s="152"/>
      <c r="Q143" s="149"/>
      <c r="R143" s="152"/>
      <c r="S143" s="152"/>
      <c r="T143" s="62" t="str">
        <f aca="false">IF(OR($C143="",R143=""),"",IF(R143/IF($R$2="",100,$R$2)&gt;=設定!$I$28,設定!$G$8,IF(R143/IF($R$2="",100,$R$2)&lt;設定!$I$29,設定!$G$10,設定!$G$9)))</f>
        <v/>
      </c>
      <c r="U143" s="62" t="str">
        <f aca="false">IF(OR($C143="",S143=""),"",IF(S143/IF($S$2="",100,$S$2)&gt;=設定!$I$28,設定!$G$8,IF(S143/IF($S$2="",100,$S$2)&lt;設定!$I$29,設定!$G$10,設定!$G$9)))</f>
        <v/>
      </c>
    </row>
    <row r="144" customFormat="false" ht="21" hidden="false" customHeight="true" outlineLevel="0" collapsed="false">
      <c r="A144" s="91" t="str">
        <f aca="false">IF(名簿!$D144="","",名簿!$B144&amp;"")</f>
        <v/>
      </c>
      <c r="B144" s="91" t="str">
        <f aca="false">IF(名簿!$D144="","",名簿!$C144)</f>
        <v/>
      </c>
      <c r="C144" s="59" t="str">
        <f aca="false">IF(名簿!$D144="","",名簿!$D144&amp;IF(名簿!$F144="転出","（転出）",""))</f>
        <v/>
      </c>
      <c r="D144" s="149"/>
      <c r="E144" s="61" t="str">
        <f aca="false">IF(OR($C144="",名簿!$F144="転出"),"",IF($C$2="学級ごと",$A144,IF($C$2="前の単元と同じ",単元05!$E144&amp;"",$D144&amp;"")))</f>
        <v/>
      </c>
      <c r="F144" s="150"/>
      <c r="G144" s="150"/>
      <c r="H144" s="150"/>
      <c r="I144" s="151"/>
      <c r="J144" s="41" t="str">
        <f aca="false">IF($E144="","",$E144&amp;"|"&amp;COUNTIF($E$5:$E144,$E144))</f>
        <v/>
      </c>
      <c r="K144" s="40" t="str">
        <f aca="false">IF($I144="","",LEN($I144))</f>
        <v/>
      </c>
      <c r="L144" s="13"/>
      <c r="M144" s="13"/>
      <c r="N144" s="13"/>
      <c r="O144" s="13"/>
      <c r="P144" s="152"/>
      <c r="Q144" s="149"/>
      <c r="R144" s="152"/>
      <c r="S144" s="152"/>
      <c r="T144" s="62" t="str">
        <f aca="false">IF(OR($C144="",R144=""),"",IF(R144/IF($R$2="",100,$R$2)&gt;=設定!$I$28,設定!$G$8,IF(R144/IF($R$2="",100,$R$2)&lt;設定!$I$29,設定!$G$10,設定!$G$9)))</f>
        <v/>
      </c>
      <c r="U144" s="62" t="str">
        <f aca="false">IF(OR($C144="",S144=""),"",IF(S144/IF($S$2="",100,$S$2)&gt;=設定!$I$28,設定!$G$8,IF(S144/IF($S$2="",100,$S$2)&lt;設定!$I$29,設定!$G$10,設定!$G$9)))</f>
        <v/>
      </c>
    </row>
    <row r="145" customFormat="false" ht="21" hidden="false" customHeight="true" outlineLevel="0" collapsed="false">
      <c r="A145" s="91" t="str">
        <f aca="false">IF(名簿!$D145="","",名簿!$B145&amp;"")</f>
        <v/>
      </c>
      <c r="B145" s="91" t="str">
        <f aca="false">IF(名簿!$D145="","",名簿!$C145)</f>
        <v/>
      </c>
      <c r="C145" s="59" t="str">
        <f aca="false">IF(名簿!$D145="","",名簿!$D145&amp;IF(名簿!$F145="転出","（転出）",""))</f>
        <v/>
      </c>
      <c r="D145" s="149"/>
      <c r="E145" s="61" t="str">
        <f aca="false">IF(OR($C145="",名簿!$F145="転出"),"",IF($C$2="学級ごと",$A145,IF($C$2="前の単元と同じ",単元05!$E145&amp;"",$D145&amp;"")))</f>
        <v/>
      </c>
      <c r="F145" s="150"/>
      <c r="G145" s="150"/>
      <c r="H145" s="150"/>
      <c r="I145" s="151"/>
      <c r="J145" s="41" t="str">
        <f aca="false">IF($E145="","",$E145&amp;"|"&amp;COUNTIF($E$5:$E145,$E145))</f>
        <v/>
      </c>
      <c r="K145" s="40" t="str">
        <f aca="false">IF($I145="","",LEN($I145))</f>
        <v/>
      </c>
      <c r="L145" s="13"/>
      <c r="M145" s="13"/>
      <c r="N145" s="13"/>
      <c r="O145" s="13"/>
      <c r="P145" s="152"/>
      <c r="Q145" s="149"/>
      <c r="R145" s="152"/>
      <c r="S145" s="152"/>
      <c r="T145" s="62" t="str">
        <f aca="false">IF(OR($C145="",R145=""),"",IF(R145/IF($R$2="",100,$R$2)&gt;=設定!$I$28,設定!$G$8,IF(R145/IF($R$2="",100,$R$2)&lt;設定!$I$29,設定!$G$10,設定!$G$9)))</f>
        <v/>
      </c>
      <c r="U145" s="62" t="str">
        <f aca="false">IF(OR($C145="",S145=""),"",IF(S145/IF($S$2="",100,$S$2)&gt;=設定!$I$28,設定!$G$8,IF(S145/IF($S$2="",100,$S$2)&lt;設定!$I$29,設定!$G$10,設定!$G$9)))</f>
        <v/>
      </c>
    </row>
    <row r="146" customFormat="false" ht="21" hidden="false" customHeight="true" outlineLevel="0" collapsed="false">
      <c r="A146" s="91" t="str">
        <f aca="false">IF(名簿!$D146="","",名簿!$B146&amp;"")</f>
        <v/>
      </c>
      <c r="B146" s="91" t="str">
        <f aca="false">IF(名簿!$D146="","",名簿!$C146)</f>
        <v/>
      </c>
      <c r="C146" s="59" t="str">
        <f aca="false">IF(名簿!$D146="","",名簿!$D146&amp;IF(名簿!$F146="転出","（転出）",""))</f>
        <v/>
      </c>
      <c r="D146" s="149"/>
      <c r="E146" s="61" t="str">
        <f aca="false">IF(OR($C146="",名簿!$F146="転出"),"",IF($C$2="学級ごと",$A146,IF($C$2="前の単元と同じ",単元05!$E146&amp;"",$D146&amp;"")))</f>
        <v/>
      </c>
      <c r="F146" s="150"/>
      <c r="G146" s="150"/>
      <c r="H146" s="150"/>
      <c r="I146" s="151"/>
      <c r="J146" s="41" t="str">
        <f aca="false">IF($E146="","",$E146&amp;"|"&amp;COUNTIF($E$5:$E146,$E146))</f>
        <v/>
      </c>
      <c r="K146" s="40" t="str">
        <f aca="false">IF($I146="","",LEN($I146))</f>
        <v/>
      </c>
      <c r="L146" s="13"/>
      <c r="M146" s="13"/>
      <c r="N146" s="13"/>
      <c r="O146" s="13"/>
      <c r="P146" s="152"/>
      <c r="Q146" s="149"/>
      <c r="R146" s="152"/>
      <c r="S146" s="152"/>
      <c r="T146" s="62" t="str">
        <f aca="false">IF(OR($C146="",R146=""),"",IF(R146/IF($R$2="",100,$R$2)&gt;=設定!$I$28,設定!$G$8,IF(R146/IF($R$2="",100,$R$2)&lt;設定!$I$29,設定!$G$10,設定!$G$9)))</f>
        <v/>
      </c>
      <c r="U146" s="62" t="str">
        <f aca="false">IF(OR($C146="",S146=""),"",IF(S146/IF($S$2="",100,$S$2)&gt;=設定!$I$28,設定!$G$8,IF(S146/IF($S$2="",100,$S$2)&lt;設定!$I$29,設定!$G$10,設定!$G$9)))</f>
        <v/>
      </c>
    </row>
    <row r="147" customFormat="false" ht="21" hidden="false" customHeight="true" outlineLevel="0" collapsed="false">
      <c r="A147" s="91" t="str">
        <f aca="false">IF(名簿!$D147="","",名簿!$B147&amp;"")</f>
        <v/>
      </c>
      <c r="B147" s="91" t="str">
        <f aca="false">IF(名簿!$D147="","",名簿!$C147)</f>
        <v/>
      </c>
      <c r="C147" s="59" t="str">
        <f aca="false">IF(名簿!$D147="","",名簿!$D147&amp;IF(名簿!$F147="転出","（転出）",""))</f>
        <v/>
      </c>
      <c r="D147" s="149"/>
      <c r="E147" s="61" t="str">
        <f aca="false">IF(OR($C147="",名簿!$F147="転出"),"",IF($C$2="学級ごと",$A147,IF($C$2="前の単元と同じ",単元05!$E147&amp;"",$D147&amp;"")))</f>
        <v/>
      </c>
      <c r="F147" s="150"/>
      <c r="G147" s="150"/>
      <c r="H147" s="150"/>
      <c r="I147" s="151"/>
      <c r="J147" s="41" t="str">
        <f aca="false">IF($E147="","",$E147&amp;"|"&amp;COUNTIF($E$5:$E147,$E147))</f>
        <v/>
      </c>
      <c r="K147" s="40" t="str">
        <f aca="false">IF($I147="","",LEN($I147))</f>
        <v/>
      </c>
      <c r="L147" s="13"/>
      <c r="M147" s="13"/>
      <c r="N147" s="13"/>
      <c r="O147" s="13"/>
      <c r="P147" s="152"/>
      <c r="Q147" s="149"/>
      <c r="R147" s="152"/>
      <c r="S147" s="152"/>
      <c r="T147" s="62" t="str">
        <f aca="false">IF(OR($C147="",R147=""),"",IF(R147/IF($R$2="",100,$R$2)&gt;=設定!$I$28,設定!$G$8,IF(R147/IF($R$2="",100,$R$2)&lt;設定!$I$29,設定!$G$10,設定!$G$9)))</f>
        <v/>
      </c>
      <c r="U147" s="62" t="str">
        <f aca="false">IF(OR($C147="",S147=""),"",IF(S147/IF($S$2="",100,$S$2)&gt;=設定!$I$28,設定!$G$8,IF(S147/IF($S$2="",100,$S$2)&lt;設定!$I$29,設定!$G$10,設定!$G$9)))</f>
        <v/>
      </c>
    </row>
    <row r="148" customFormat="false" ht="21" hidden="false" customHeight="true" outlineLevel="0" collapsed="false">
      <c r="A148" s="91" t="str">
        <f aca="false">IF(名簿!$D148="","",名簿!$B148&amp;"")</f>
        <v/>
      </c>
      <c r="B148" s="91" t="str">
        <f aca="false">IF(名簿!$D148="","",名簿!$C148)</f>
        <v/>
      </c>
      <c r="C148" s="59" t="str">
        <f aca="false">IF(名簿!$D148="","",名簿!$D148&amp;IF(名簿!$F148="転出","（転出）",""))</f>
        <v/>
      </c>
      <c r="D148" s="149"/>
      <c r="E148" s="61" t="str">
        <f aca="false">IF(OR($C148="",名簿!$F148="転出"),"",IF($C$2="学級ごと",$A148,IF($C$2="前の単元と同じ",単元05!$E148&amp;"",$D148&amp;"")))</f>
        <v/>
      </c>
      <c r="F148" s="150"/>
      <c r="G148" s="150"/>
      <c r="H148" s="150"/>
      <c r="I148" s="151"/>
      <c r="J148" s="41" t="str">
        <f aca="false">IF($E148="","",$E148&amp;"|"&amp;COUNTIF($E$5:$E148,$E148))</f>
        <v/>
      </c>
      <c r="K148" s="40" t="str">
        <f aca="false">IF($I148="","",LEN($I148))</f>
        <v/>
      </c>
      <c r="L148" s="13"/>
      <c r="M148" s="13"/>
      <c r="N148" s="13"/>
      <c r="O148" s="13"/>
      <c r="P148" s="152"/>
      <c r="Q148" s="149"/>
      <c r="R148" s="152"/>
      <c r="S148" s="152"/>
      <c r="T148" s="62" t="str">
        <f aca="false">IF(OR($C148="",R148=""),"",IF(R148/IF($R$2="",100,$R$2)&gt;=設定!$I$28,設定!$G$8,IF(R148/IF($R$2="",100,$R$2)&lt;設定!$I$29,設定!$G$10,設定!$G$9)))</f>
        <v/>
      </c>
      <c r="U148" s="62" t="str">
        <f aca="false">IF(OR($C148="",S148=""),"",IF(S148/IF($S$2="",100,$S$2)&gt;=設定!$I$28,設定!$G$8,IF(S148/IF($S$2="",100,$S$2)&lt;設定!$I$29,設定!$G$10,設定!$G$9)))</f>
        <v/>
      </c>
    </row>
    <row r="149" customFormat="false" ht="21" hidden="false" customHeight="true" outlineLevel="0" collapsed="false">
      <c r="A149" s="91" t="str">
        <f aca="false">IF(名簿!$D149="","",名簿!$B149&amp;"")</f>
        <v/>
      </c>
      <c r="B149" s="91" t="str">
        <f aca="false">IF(名簿!$D149="","",名簿!$C149)</f>
        <v/>
      </c>
      <c r="C149" s="59" t="str">
        <f aca="false">IF(名簿!$D149="","",名簿!$D149&amp;IF(名簿!$F149="転出","（転出）",""))</f>
        <v/>
      </c>
      <c r="D149" s="149"/>
      <c r="E149" s="61" t="str">
        <f aca="false">IF(OR($C149="",名簿!$F149="転出"),"",IF($C$2="学級ごと",$A149,IF($C$2="前の単元と同じ",単元05!$E149&amp;"",$D149&amp;"")))</f>
        <v/>
      </c>
      <c r="F149" s="150"/>
      <c r="G149" s="150"/>
      <c r="H149" s="150"/>
      <c r="I149" s="151"/>
      <c r="J149" s="41" t="str">
        <f aca="false">IF($E149="","",$E149&amp;"|"&amp;COUNTIF($E$5:$E149,$E149))</f>
        <v/>
      </c>
      <c r="K149" s="40" t="str">
        <f aca="false">IF($I149="","",LEN($I149))</f>
        <v/>
      </c>
      <c r="L149" s="13"/>
      <c r="M149" s="13"/>
      <c r="N149" s="13"/>
      <c r="O149" s="13"/>
      <c r="P149" s="152"/>
      <c r="Q149" s="149"/>
      <c r="R149" s="152"/>
      <c r="S149" s="152"/>
      <c r="T149" s="62" t="str">
        <f aca="false">IF(OR($C149="",R149=""),"",IF(R149/IF($R$2="",100,$R$2)&gt;=設定!$I$28,設定!$G$8,IF(R149/IF($R$2="",100,$R$2)&lt;設定!$I$29,設定!$G$10,設定!$G$9)))</f>
        <v/>
      </c>
      <c r="U149" s="62" t="str">
        <f aca="false">IF(OR($C149="",S149=""),"",IF(S149/IF($S$2="",100,$S$2)&gt;=設定!$I$28,設定!$G$8,IF(S149/IF($S$2="",100,$S$2)&lt;設定!$I$29,設定!$G$10,設定!$G$9)))</f>
        <v/>
      </c>
    </row>
    <row r="150" customFormat="false" ht="21" hidden="false" customHeight="true" outlineLevel="0" collapsed="false">
      <c r="A150" s="91" t="str">
        <f aca="false">IF(名簿!$D150="","",名簿!$B150&amp;"")</f>
        <v/>
      </c>
      <c r="B150" s="91" t="str">
        <f aca="false">IF(名簿!$D150="","",名簿!$C150)</f>
        <v/>
      </c>
      <c r="C150" s="59" t="str">
        <f aca="false">IF(名簿!$D150="","",名簿!$D150&amp;IF(名簿!$F150="転出","（転出）",""))</f>
        <v/>
      </c>
      <c r="D150" s="149"/>
      <c r="E150" s="61" t="str">
        <f aca="false">IF(OR($C150="",名簿!$F150="転出"),"",IF($C$2="学級ごと",$A150,IF($C$2="前の単元と同じ",単元05!$E150&amp;"",$D150&amp;"")))</f>
        <v/>
      </c>
      <c r="F150" s="150"/>
      <c r="G150" s="150"/>
      <c r="H150" s="150"/>
      <c r="I150" s="151"/>
      <c r="J150" s="41" t="str">
        <f aca="false">IF($E150="","",$E150&amp;"|"&amp;COUNTIF($E$5:$E150,$E150))</f>
        <v/>
      </c>
      <c r="K150" s="40" t="str">
        <f aca="false">IF($I150="","",LEN($I150))</f>
        <v/>
      </c>
      <c r="L150" s="13"/>
      <c r="M150" s="13"/>
      <c r="N150" s="13"/>
      <c r="O150" s="13"/>
      <c r="P150" s="152"/>
      <c r="Q150" s="149"/>
      <c r="R150" s="152"/>
      <c r="S150" s="152"/>
      <c r="T150" s="62" t="str">
        <f aca="false">IF(OR($C150="",R150=""),"",IF(R150/IF($R$2="",100,$R$2)&gt;=設定!$I$28,設定!$G$8,IF(R150/IF($R$2="",100,$R$2)&lt;設定!$I$29,設定!$G$10,設定!$G$9)))</f>
        <v/>
      </c>
      <c r="U150" s="62" t="str">
        <f aca="false">IF(OR($C150="",S150=""),"",IF(S150/IF($S$2="",100,$S$2)&gt;=設定!$I$28,設定!$G$8,IF(S150/IF($S$2="",100,$S$2)&lt;設定!$I$29,設定!$G$10,設定!$G$9)))</f>
        <v/>
      </c>
    </row>
    <row r="151" customFormat="false" ht="21" hidden="false" customHeight="true" outlineLevel="0" collapsed="false">
      <c r="A151" s="91" t="str">
        <f aca="false">IF(名簿!$D151="","",名簿!$B151&amp;"")</f>
        <v/>
      </c>
      <c r="B151" s="91" t="str">
        <f aca="false">IF(名簿!$D151="","",名簿!$C151)</f>
        <v/>
      </c>
      <c r="C151" s="59" t="str">
        <f aca="false">IF(名簿!$D151="","",名簿!$D151&amp;IF(名簿!$F151="転出","（転出）",""))</f>
        <v/>
      </c>
      <c r="D151" s="149"/>
      <c r="E151" s="61" t="str">
        <f aca="false">IF(OR($C151="",名簿!$F151="転出"),"",IF($C$2="学級ごと",$A151,IF($C$2="前の単元と同じ",単元05!$E151&amp;"",$D151&amp;"")))</f>
        <v/>
      </c>
      <c r="F151" s="150"/>
      <c r="G151" s="150"/>
      <c r="H151" s="150"/>
      <c r="I151" s="151"/>
      <c r="J151" s="41" t="str">
        <f aca="false">IF($E151="","",$E151&amp;"|"&amp;COUNTIF($E$5:$E151,$E151))</f>
        <v/>
      </c>
      <c r="K151" s="40" t="str">
        <f aca="false">IF($I151="","",LEN($I151))</f>
        <v/>
      </c>
      <c r="L151" s="13"/>
      <c r="M151" s="13"/>
      <c r="N151" s="13"/>
      <c r="O151" s="13"/>
      <c r="P151" s="152"/>
      <c r="Q151" s="149"/>
      <c r="R151" s="152"/>
      <c r="S151" s="152"/>
      <c r="T151" s="62" t="str">
        <f aca="false">IF(OR($C151="",R151=""),"",IF(R151/IF($R$2="",100,$R$2)&gt;=設定!$I$28,設定!$G$8,IF(R151/IF($R$2="",100,$R$2)&lt;設定!$I$29,設定!$G$10,設定!$G$9)))</f>
        <v/>
      </c>
      <c r="U151" s="62" t="str">
        <f aca="false">IF(OR($C151="",S151=""),"",IF(S151/IF($S$2="",100,$S$2)&gt;=設定!$I$28,設定!$G$8,IF(S151/IF($S$2="",100,$S$2)&lt;設定!$I$29,設定!$G$10,設定!$G$9)))</f>
        <v/>
      </c>
    </row>
    <row r="152" customFormat="false" ht="21" hidden="false" customHeight="true" outlineLevel="0" collapsed="false">
      <c r="A152" s="91" t="str">
        <f aca="false">IF(名簿!$D152="","",名簿!$B152&amp;"")</f>
        <v/>
      </c>
      <c r="B152" s="91" t="str">
        <f aca="false">IF(名簿!$D152="","",名簿!$C152)</f>
        <v/>
      </c>
      <c r="C152" s="59" t="str">
        <f aca="false">IF(名簿!$D152="","",名簿!$D152&amp;IF(名簿!$F152="転出","（転出）",""))</f>
        <v/>
      </c>
      <c r="D152" s="149"/>
      <c r="E152" s="61" t="str">
        <f aca="false">IF(OR($C152="",名簿!$F152="転出"),"",IF($C$2="学級ごと",$A152,IF($C$2="前の単元と同じ",単元05!$E152&amp;"",$D152&amp;"")))</f>
        <v/>
      </c>
      <c r="F152" s="150"/>
      <c r="G152" s="150"/>
      <c r="H152" s="150"/>
      <c r="I152" s="151"/>
      <c r="J152" s="41" t="str">
        <f aca="false">IF($E152="","",$E152&amp;"|"&amp;COUNTIF($E$5:$E152,$E152))</f>
        <v/>
      </c>
      <c r="K152" s="40" t="str">
        <f aca="false">IF($I152="","",LEN($I152))</f>
        <v/>
      </c>
      <c r="L152" s="13"/>
      <c r="M152" s="13"/>
      <c r="N152" s="13"/>
      <c r="O152" s="13"/>
      <c r="P152" s="152"/>
      <c r="Q152" s="149"/>
      <c r="R152" s="152"/>
      <c r="S152" s="152"/>
      <c r="T152" s="62" t="str">
        <f aca="false">IF(OR($C152="",R152=""),"",IF(R152/IF($R$2="",100,$R$2)&gt;=設定!$I$28,設定!$G$8,IF(R152/IF($R$2="",100,$R$2)&lt;設定!$I$29,設定!$G$10,設定!$G$9)))</f>
        <v/>
      </c>
      <c r="U152" s="62" t="str">
        <f aca="false">IF(OR($C152="",S152=""),"",IF(S152/IF($S$2="",100,$S$2)&gt;=設定!$I$28,設定!$G$8,IF(S152/IF($S$2="",100,$S$2)&lt;設定!$I$29,設定!$G$10,設定!$G$9)))</f>
        <v/>
      </c>
    </row>
    <row r="153" customFormat="false" ht="21" hidden="false" customHeight="true" outlineLevel="0" collapsed="false">
      <c r="A153" s="91" t="str">
        <f aca="false">IF(名簿!$D153="","",名簿!$B153&amp;"")</f>
        <v/>
      </c>
      <c r="B153" s="91" t="str">
        <f aca="false">IF(名簿!$D153="","",名簿!$C153)</f>
        <v/>
      </c>
      <c r="C153" s="59" t="str">
        <f aca="false">IF(名簿!$D153="","",名簿!$D153&amp;IF(名簿!$F153="転出","（転出）",""))</f>
        <v/>
      </c>
      <c r="D153" s="149"/>
      <c r="E153" s="61" t="str">
        <f aca="false">IF(OR($C153="",名簿!$F153="転出"),"",IF($C$2="学級ごと",$A153,IF($C$2="前の単元と同じ",単元05!$E153&amp;"",$D153&amp;"")))</f>
        <v/>
      </c>
      <c r="F153" s="150"/>
      <c r="G153" s="150"/>
      <c r="H153" s="150"/>
      <c r="I153" s="151"/>
      <c r="J153" s="41" t="str">
        <f aca="false">IF($E153="","",$E153&amp;"|"&amp;COUNTIF($E$5:$E153,$E153))</f>
        <v/>
      </c>
      <c r="K153" s="40" t="str">
        <f aca="false">IF($I153="","",LEN($I153))</f>
        <v/>
      </c>
      <c r="L153" s="13"/>
      <c r="M153" s="13"/>
      <c r="N153" s="13"/>
      <c r="O153" s="13"/>
      <c r="P153" s="152"/>
      <c r="Q153" s="149"/>
      <c r="R153" s="152"/>
      <c r="S153" s="152"/>
      <c r="T153" s="62" t="str">
        <f aca="false">IF(OR($C153="",R153=""),"",IF(R153/IF($R$2="",100,$R$2)&gt;=設定!$I$28,設定!$G$8,IF(R153/IF($R$2="",100,$R$2)&lt;設定!$I$29,設定!$G$10,設定!$G$9)))</f>
        <v/>
      </c>
      <c r="U153" s="62" t="str">
        <f aca="false">IF(OR($C153="",S153=""),"",IF(S153/IF($S$2="",100,$S$2)&gt;=設定!$I$28,設定!$G$8,IF(S153/IF($S$2="",100,$S$2)&lt;設定!$I$29,設定!$G$10,設定!$G$9)))</f>
        <v/>
      </c>
    </row>
    <row r="154" customFormat="false" ht="21" hidden="false" customHeight="true" outlineLevel="0" collapsed="false">
      <c r="A154" s="91" t="str">
        <f aca="false">IF(名簿!$D154="","",名簿!$B154&amp;"")</f>
        <v/>
      </c>
      <c r="B154" s="91" t="str">
        <f aca="false">IF(名簿!$D154="","",名簿!$C154)</f>
        <v/>
      </c>
      <c r="C154" s="59" t="str">
        <f aca="false">IF(名簿!$D154="","",名簿!$D154&amp;IF(名簿!$F154="転出","（転出）",""))</f>
        <v/>
      </c>
      <c r="D154" s="149"/>
      <c r="E154" s="61" t="str">
        <f aca="false">IF(OR($C154="",名簿!$F154="転出"),"",IF($C$2="学級ごと",$A154,IF($C$2="前の単元と同じ",単元05!$E154&amp;"",$D154&amp;"")))</f>
        <v/>
      </c>
      <c r="F154" s="150"/>
      <c r="G154" s="150"/>
      <c r="H154" s="150"/>
      <c r="I154" s="151"/>
      <c r="J154" s="41" t="str">
        <f aca="false">IF($E154="","",$E154&amp;"|"&amp;COUNTIF($E$5:$E154,$E154))</f>
        <v/>
      </c>
      <c r="K154" s="40" t="str">
        <f aca="false">IF($I154="","",LEN($I154))</f>
        <v/>
      </c>
      <c r="L154" s="13"/>
      <c r="M154" s="13"/>
      <c r="N154" s="13"/>
      <c r="O154" s="13"/>
      <c r="P154" s="152"/>
      <c r="Q154" s="149"/>
      <c r="R154" s="152"/>
      <c r="S154" s="152"/>
      <c r="T154" s="62" t="str">
        <f aca="false">IF(OR($C154="",R154=""),"",IF(R154/IF($R$2="",100,$R$2)&gt;=設定!$I$28,設定!$G$8,IF(R154/IF($R$2="",100,$R$2)&lt;設定!$I$29,設定!$G$10,設定!$G$9)))</f>
        <v/>
      </c>
      <c r="U154" s="62" t="str">
        <f aca="false">IF(OR($C154="",S154=""),"",IF(S154/IF($S$2="",100,$S$2)&gt;=設定!$I$28,設定!$G$8,IF(S154/IF($S$2="",100,$S$2)&lt;設定!$I$29,設定!$G$10,設定!$G$9)))</f>
        <v/>
      </c>
    </row>
    <row r="155" customFormat="false" ht="21" hidden="false" customHeight="true" outlineLevel="0" collapsed="false">
      <c r="A155" s="91" t="str">
        <f aca="false">IF(名簿!$D155="","",名簿!$B155&amp;"")</f>
        <v/>
      </c>
      <c r="B155" s="91" t="str">
        <f aca="false">IF(名簿!$D155="","",名簿!$C155)</f>
        <v/>
      </c>
      <c r="C155" s="59" t="str">
        <f aca="false">IF(名簿!$D155="","",名簿!$D155&amp;IF(名簿!$F155="転出","（転出）",""))</f>
        <v/>
      </c>
      <c r="D155" s="149"/>
      <c r="E155" s="61" t="str">
        <f aca="false">IF(OR($C155="",名簿!$F155="転出"),"",IF($C$2="学級ごと",$A155,IF($C$2="前の単元と同じ",単元05!$E155&amp;"",$D155&amp;"")))</f>
        <v/>
      </c>
      <c r="F155" s="150"/>
      <c r="G155" s="150"/>
      <c r="H155" s="150"/>
      <c r="I155" s="151"/>
      <c r="J155" s="41" t="str">
        <f aca="false">IF($E155="","",$E155&amp;"|"&amp;COUNTIF($E$5:$E155,$E155))</f>
        <v/>
      </c>
      <c r="K155" s="40" t="str">
        <f aca="false">IF($I155="","",LEN($I155))</f>
        <v/>
      </c>
      <c r="L155" s="13"/>
      <c r="M155" s="13"/>
      <c r="N155" s="13"/>
      <c r="O155" s="13"/>
      <c r="P155" s="152"/>
      <c r="Q155" s="149"/>
      <c r="R155" s="152"/>
      <c r="S155" s="152"/>
      <c r="T155" s="62" t="str">
        <f aca="false">IF(OR($C155="",R155=""),"",IF(R155/IF($R$2="",100,$R$2)&gt;=設定!$I$28,設定!$G$8,IF(R155/IF($R$2="",100,$R$2)&lt;設定!$I$29,設定!$G$10,設定!$G$9)))</f>
        <v/>
      </c>
      <c r="U155" s="62" t="str">
        <f aca="false">IF(OR($C155="",S155=""),"",IF(S155/IF($S$2="",100,$S$2)&gt;=設定!$I$28,設定!$G$8,IF(S155/IF($S$2="",100,$S$2)&lt;設定!$I$29,設定!$G$10,設定!$G$9)))</f>
        <v/>
      </c>
    </row>
    <row r="156" customFormat="false" ht="21" hidden="false" customHeight="true" outlineLevel="0" collapsed="false">
      <c r="A156" s="91" t="str">
        <f aca="false">IF(名簿!$D156="","",名簿!$B156&amp;"")</f>
        <v/>
      </c>
      <c r="B156" s="91" t="str">
        <f aca="false">IF(名簿!$D156="","",名簿!$C156)</f>
        <v/>
      </c>
      <c r="C156" s="59" t="str">
        <f aca="false">IF(名簿!$D156="","",名簿!$D156&amp;IF(名簿!$F156="転出","（転出）",""))</f>
        <v/>
      </c>
      <c r="D156" s="149"/>
      <c r="E156" s="61" t="str">
        <f aca="false">IF(OR($C156="",名簿!$F156="転出"),"",IF($C$2="学級ごと",$A156,IF($C$2="前の単元と同じ",単元05!$E156&amp;"",$D156&amp;"")))</f>
        <v/>
      </c>
      <c r="F156" s="150"/>
      <c r="G156" s="150"/>
      <c r="H156" s="150"/>
      <c r="I156" s="151"/>
      <c r="J156" s="41" t="str">
        <f aca="false">IF($E156="","",$E156&amp;"|"&amp;COUNTIF($E$5:$E156,$E156))</f>
        <v/>
      </c>
      <c r="K156" s="40" t="str">
        <f aca="false">IF($I156="","",LEN($I156))</f>
        <v/>
      </c>
      <c r="L156" s="13"/>
      <c r="M156" s="13"/>
      <c r="N156" s="13"/>
      <c r="O156" s="13"/>
      <c r="P156" s="152"/>
      <c r="Q156" s="149"/>
      <c r="R156" s="152"/>
      <c r="S156" s="152"/>
      <c r="T156" s="62" t="str">
        <f aca="false">IF(OR($C156="",R156=""),"",IF(R156/IF($R$2="",100,$R$2)&gt;=設定!$I$28,設定!$G$8,IF(R156/IF($R$2="",100,$R$2)&lt;設定!$I$29,設定!$G$10,設定!$G$9)))</f>
        <v/>
      </c>
      <c r="U156" s="62" t="str">
        <f aca="false">IF(OR($C156="",S156=""),"",IF(S156/IF($S$2="",100,$S$2)&gt;=設定!$I$28,設定!$G$8,IF(S156/IF($S$2="",100,$S$2)&lt;設定!$I$29,設定!$G$10,設定!$G$9)))</f>
        <v/>
      </c>
    </row>
    <row r="157" customFormat="false" ht="21" hidden="false" customHeight="true" outlineLevel="0" collapsed="false">
      <c r="A157" s="91" t="str">
        <f aca="false">IF(名簿!$D157="","",名簿!$B157&amp;"")</f>
        <v/>
      </c>
      <c r="B157" s="91" t="str">
        <f aca="false">IF(名簿!$D157="","",名簿!$C157)</f>
        <v/>
      </c>
      <c r="C157" s="59" t="str">
        <f aca="false">IF(名簿!$D157="","",名簿!$D157&amp;IF(名簿!$F157="転出","（転出）",""))</f>
        <v/>
      </c>
      <c r="D157" s="149"/>
      <c r="E157" s="61" t="str">
        <f aca="false">IF(OR($C157="",名簿!$F157="転出"),"",IF($C$2="学級ごと",$A157,IF($C$2="前の単元と同じ",単元05!$E157&amp;"",$D157&amp;"")))</f>
        <v/>
      </c>
      <c r="F157" s="150"/>
      <c r="G157" s="150"/>
      <c r="H157" s="150"/>
      <c r="I157" s="151"/>
      <c r="J157" s="41" t="str">
        <f aca="false">IF($E157="","",$E157&amp;"|"&amp;COUNTIF($E$5:$E157,$E157))</f>
        <v/>
      </c>
      <c r="K157" s="40" t="str">
        <f aca="false">IF($I157="","",LEN($I157))</f>
        <v/>
      </c>
      <c r="L157" s="13"/>
      <c r="M157" s="13"/>
      <c r="N157" s="13"/>
      <c r="O157" s="13"/>
      <c r="P157" s="152"/>
      <c r="Q157" s="149"/>
      <c r="R157" s="152"/>
      <c r="S157" s="152"/>
      <c r="T157" s="62" t="str">
        <f aca="false">IF(OR($C157="",R157=""),"",IF(R157/IF($R$2="",100,$R$2)&gt;=設定!$I$28,設定!$G$8,IF(R157/IF($R$2="",100,$R$2)&lt;設定!$I$29,設定!$G$10,設定!$G$9)))</f>
        <v/>
      </c>
      <c r="U157" s="62" t="str">
        <f aca="false">IF(OR($C157="",S157=""),"",IF(S157/IF($S$2="",100,$S$2)&gt;=設定!$I$28,設定!$G$8,IF(S157/IF($S$2="",100,$S$2)&lt;設定!$I$29,設定!$G$10,設定!$G$9)))</f>
        <v/>
      </c>
    </row>
    <row r="158" customFormat="false" ht="21" hidden="false" customHeight="true" outlineLevel="0" collapsed="false">
      <c r="A158" s="91" t="str">
        <f aca="false">IF(名簿!$D158="","",名簿!$B158&amp;"")</f>
        <v/>
      </c>
      <c r="B158" s="91" t="str">
        <f aca="false">IF(名簿!$D158="","",名簿!$C158)</f>
        <v/>
      </c>
      <c r="C158" s="59" t="str">
        <f aca="false">IF(名簿!$D158="","",名簿!$D158&amp;IF(名簿!$F158="転出","（転出）",""))</f>
        <v/>
      </c>
      <c r="D158" s="149"/>
      <c r="E158" s="61" t="str">
        <f aca="false">IF(OR($C158="",名簿!$F158="転出"),"",IF($C$2="学級ごと",$A158,IF($C$2="前の単元と同じ",単元05!$E158&amp;"",$D158&amp;"")))</f>
        <v/>
      </c>
      <c r="F158" s="150"/>
      <c r="G158" s="150"/>
      <c r="H158" s="150"/>
      <c r="I158" s="151"/>
      <c r="J158" s="41" t="str">
        <f aca="false">IF($E158="","",$E158&amp;"|"&amp;COUNTIF($E$5:$E158,$E158))</f>
        <v/>
      </c>
      <c r="K158" s="40" t="str">
        <f aca="false">IF($I158="","",LEN($I158))</f>
        <v/>
      </c>
      <c r="L158" s="13"/>
      <c r="M158" s="13"/>
      <c r="N158" s="13"/>
      <c r="O158" s="13"/>
      <c r="P158" s="152"/>
      <c r="Q158" s="149"/>
      <c r="R158" s="152"/>
      <c r="S158" s="152"/>
      <c r="T158" s="62" t="str">
        <f aca="false">IF(OR($C158="",R158=""),"",IF(R158/IF($R$2="",100,$R$2)&gt;=設定!$I$28,設定!$G$8,IF(R158/IF($R$2="",100,$R$2)&lt;設定!$I$29,設定!$G$10,設定!$G$9)))</f>
        <v/>
      </c>
      <c r="U158" s="62" t="str">
        <f aca="false">IF(OR($C158="",S158=""),"",IF(S158/IF($S$2="",100,$S$2)&gt;=設定!$I$28,設定!$G$8,IF(S158/IF($S$2="",100,$S$2)&lt;設定!$I$29,設定!$G$10,設定!$G$9)))</f>
        <v/>
      </c>
    </row>
    <row r="159" customFormat="false" ht="21" hidden="false" customHeight="true" outlineLevel="0" collapsed="false">
      <c r="A159" s="91" t="str">
        <f aca="false">IF(名簿!$D159="","",名簿!$B159&amp;"")</f>
        <v/>
      </c>
      <c r="B159" s="91" t="str">
        <f aca="false">IF(名簿!$D159="","",名簿!$C159)</f>
        <v/>
      </c>
      <c r="C159" s="59" t="str">
        <f aca="false">IF(名簿!$D159="","",名簿!$D159&amp;IF(名簿!$F159="転出","（転出）",""))</f>
        <v/>
      </c>
      <c r="D159" s="149"/>
      <c r="E159" s="61" t="str">
        <f aca="false">IF(OR($C159="",名簿!$F159="転出"),"",IF($C$2="学級ごと",$A159,IF($C$2="前の単元と同じ",単元05!$E159&amp;"",$D159&amp;"")))</f>
        <v/>
      </c>
      <c r="F159" s="150"/>
      <c r="G159" s="150"/>
      <c r="H159" s="150"/>
      <c r="I159" s="151"/>
      <c r="J159" s="41" t="str">
        <f aca="false">IF($E159="","",$E159&amp;"|"&amp;COUNTIF($E$5:$E159,$E159))</f>
        <v/>
      </c>
      <c r="K159" s="40" t="str">
        <f aca="false">IF($I159="","",LEN($I159))</f>
        <v/>
      </c>
      <c r="L159" s="13"/>
      <c r="M159" s="13"/>
      <c r="N159" s="13"/>
      <c r="O159" s="13"/>
      <c r="P159" s="152"/>
      <c r="Q159" s="149"/>
      <c r="R159" s="152"/>
      <c r="S159" s="152"/>
      <c r="T159" s="62" t="str">
        <f aca="false">IF(OR($C159="",R159=""),"",IF(R159/IF($R$2="",100,$R$2)&gt;=設定!$I$28,設定!$G$8,IF(R159/IF($R$2="",100,$R$2)&lt;設定!$I$29,設定!$G$10,設定!$G$9)))</f>
        <v/>
      </c>
      <c r="U159" s="62" t="str">
        <f aca="false">IF(OR($C159="",S159=""),"",IF(S159/IF($S$2="",100,$S$2)&gt;=設定!$I$28,設定!$G$8,IF(S159/IF($S$2="",100,$S$2)&lt;設定!$I$29,設定!$G$10,設定!$G$9)))</f>
        <v/>
      </c>
    </row>
    <row r="160" customFormat="false" ht="21" hidden="false" customHeight="true" outlineLevel="0" collapsed="false">
      <c r="A160" s="91" t="str">
        <f aca="false">IF(名簿!$D160="","",名簿!$B160&amp;"")</f>
        <v/>
      </c>
      <c r="B160" s="91" t="str">
        <f aca="false">IF(名簿!$D160="","",名簿!$C160)</f>
        <v/>
      </c>
      <c r="C160" s="59" t="str">
        <f aca="false">IF(名簿!$D160="","",名簿!$D160&amp;IF(名簿!$F160="転出","（転出）",""))</f>
        <v/>
      </c>
      <c r="D160" s="149"/>
      <c r="E160" s="61" t="str">
        <f aca="false">IF(OR($C160="",名簿!$F160="転出"),"",IF($C$2="学級ごと",$A160,IF($C$2="前の単元と同じ",単元05!$E160&amp;"",$D160&amp;"")))</f>
        <v/>
      </c>
      <c r="F160" s="150"/>
      <c r="G160" s="150"/>
      <c r="H160" s="150"/>
      <c r="I160" s="151"/>
      <c r="J160" s="41" t="str">
        <f aca="false">IF($E160="","",$E160&amp;"|"&amp;COUNTIF($E$5:$E160,$E160))</f>
        <v/>
      </c>
      <c r="K160" s="40" t="str">
        <f aca="false">IF($I160="","",LEN($I160))</f>
        <v/>
      </c>
      <c r="L160" s="13"/>
      <c r="M160" s="13"/>
      <c r="N160" s="13"/>
      <c r="O160" s="13"/>
      <c r="P160" s="152"/>
      <c r="Q160" s="149"/>
      <c r="R160" s="152"/>
      <c r="S160" s="152"/>
      <c r="T160" s="62" t="str">
        <f aca="false">IF(OR($C160="",R160=""),"",IF(R160/IF($R$2="",100,$R$2)&gt;=設定!$I$28,設定!$G$8,IF(R160/IF($R$2="",100,$R$2)&lt;設定!$I$29,設定!$G$10,設定!$G$9)))</f>
        <v/>
      </c>
      <c r="U160" s="62" t="str">
        <f aca="false">IF(OR($C160="",S160=""),"",IF(S160/IF($S$2="",100,$S$2)&gt;=設定!$I$28,設定!$G$8,IF(S160/IF($S$2="",100,$S$2)&lt;設定!$I$29,設定!$G$10,設定!$G$9)))</f>
        <v/>
      </c>
    </row>
    <row r="161" customFormat="false" ht="21" hidden="false" customHeight="true" outlineLevel="0" collapsed="false">
      <c r="A161" s="91" t="str">
        <f aca="false">IF(名簿!$D161="","",名簿!$B161&amp;"")</f>
        <v/>
      </c>
      <c r="B161" s="91" t="str">
        <f aca="false">IF(名簿!$D161="","",名簿!$C161)</f>
        <v/>
      </c>
      <c r="C161" s="59" t="str">
        <f aca="false">IF(名簿!$D161="","",名簿!$D161&amp;IF(名簿!$F161="転出","（転出）",""))</f>
        <v/>
      </c>
      <c r="D161" s="149"/>
      <c r="E161" s="61" t="str">
        <f aca="false">IF(OR($C161="",名簿!$F161="転出"),"",IF($C$2="学級ごと",$A161,IF($C$2="前の単元と同じ",単元05!$E161&amp;"",$D161&amp;"")))</f>
        <v/>
      </c>
      <c r="F161" s="150"/>
      <c r="G161" s="150"/>
      <c r="H161" s="150"/>
      <c r="I161" s="151"/>
      <c r="J161" s="41" t="str">
        <f aca="false">IF($E161="","",$E161&amp;"|"&amp;COUNTIF($E$5:$E161,$E161))</f>
        <v/>
      </c>
      <c r="K161" s="40" t="str">
        <f aca="false">IF($I161="","",LEN($I161))</f>
        <v/>
      </c>
      <c r="L161" s="13"/>
      <c r="M161" s="13"/>
      <c r="N161" s="13"/>
      <c r="O161" s="13"/>
      <c r="P161" s="152"/>
      <c r="Q161" s="149"/>
      <c r="R161" s="152"/>
      <c r="S161" s="152"/>
      <c r="T161" s="62" t="str">
        <f aca="false">IF(OR($C161="",R161=""),"",IF(R161/IF($R$2="",100,$R$2)&gt;=設定!$I$28,設定!$G$8,IF(R161/IF($R$2="",100,$R$2)&lt;設定!$I$29,設定!$G$10,設定!$G$9)))</f>
        <v/>
      </c>
      <c r="U161" s="62" t="str">
        <f aca="false">IF(OR($C161="",S161=""),"",IF(S161/IF($S$2="",100,$S$2)&gt;=設定!$I$28,設定!$G$8,IF(S161/IF($S$2="",100,$S$2)&lt;設定!$I$29,設定!$G$10,設定!$G$9)))</f>
        <v/>
      </c>
    </row>
    <row r="162" customFormat="false" ht="21" hidden="false" customHeight="true" outlineLevel="0" collapsed="false">
      <c r="A162" s="91" t="str">
        <f aca="false">IF(名簿!$D162="","",名簿!$B162&amp;"")</f>
        <v/>
      </c>
      <c r="B162" s="91" t="str">
        <f aca="false">IF(名簿!$D162="","",名簿!$C162)</f>
        <v/>
      </c>
      <c r="C162" s="59" t="str">
        <f aca="false">IF(名簿!$D162="","",名簿!$D162&amp;IF(名簿!$F162="転出","（転出）",""))</f>
        <v/>
      </c>
      <c r="D162" s="149"/>
      <c r="E162" s="61" t="str">
        <f aca="false">IF(OR($C162="",名簿!$F162="転出"),"",IF($C$2="学級ごと",$A162,IF($C$2="前の単元と同じ",単元05!$E162&amp;"",$D162&amp;"")))</f>
        <v/>
      </c>
      <c r="F162" s="150"/>
      <c r="G162" s="150"/>
      <c r="H162" s="150"/>
      <c r="I162" s="151"/>
      <c r="J162" s="41" t="str">
        <f aca="false">IF($E162="","",$E162&amp;"|"&amp;COUNTIF($E$5:$E162,$E162))</f>
        <v/>
      </c>
      <c r="K162" s="40" t="str">
        <f aca="false">IF($I162="","",LEN($I162))</f>
        <v/>
      </c>
      <c r="L162" s="13"/>
      <c r="M162" s="13"/>
      <c r="N162" s="13"/>
      <c r="O162" s="13"/>
      <c r="P162" s="152"/>
      <c r="Q162" s="149"/>
      <c r="R162" s="152"/>
      <c r="S162" s="152"/>
      <c r="T162" s="62" t="str">
        <f aca="false">IF(OR($C162="",R162=""),"",IF(R162/IF($R$2="",100,$R$2)&gt;=設定!$I$28,設定!$G$8,IF(R162/IF($R$2="",100,$R$2)&lt;設定!$I$29,設定!$G$10,設定!$G$9)))</f>
        <v/>
      </c>
      <c r="U162" s="62" t="str">
        <f aca="false">IF(OR($C162="",S162=""),"",IF(S162/IF($S$2="",100,$S$2)&gt;=設定!$I$28,設定!$G$8,IF(S162/IF($S$2="",100,$S$2)&lt;設定!$I$29,設定!$G$10,設定!$G$9)))</f>
        <v/>
      </c>
    </row>
    <row r="163" customFormat="false" ht="21" hidden="false" customHeight="true" outlineLevel="0" collapsed="false">
      <c r="A163" s="91" t="str">
        <f aca="false">IF(名簿!$D163="","",名簿!$B163&amp;"")</f>
        <v/>
      </c>
      <c r="B163" s="91" t="str">
        <f aca="false">IF(名簿!$D163="","",名簿!$C163)</f>
        <v/>
      </c>
      <c r="C163" s="59" t="str">
        <f aca="false">IF(名簿!$D163="","",名簿!$D163&amp;IF(名簿!$F163="転出","（転出）",""))</f>
        <v/>
      </c>
      <c r="D163" s="149"/>
      <c r="E163" s="61" t="str">
        <f aca="false">IF(OR($C163="",名簿!$F163="転出"),"",IF($C$2="学級ごと",$A163,IF($C$2="前の単元と同じ",単元05!$E163&amp;"",$D163&amp;"")))</f>
        <v/>
      </c>
      <c r="F163" s="150"/>
      <c r="G163" s="150"/>
      <c r="H163" s="150"/>
      <c r="I163" s="151"/>
      <c r="J163" s="41" t="str">
        <f aca="false">IF($E163="","",$E163&amp;"|"&amp;COUNTIF($E$5:$E163,$E163))</f>
        <v/>
      </c>
      <c r="K163" s="40" t="str">
        <f aca="false">IF($I163="","",LEN($I163))</f>
        <v/>
      </c>
      <c r="L163" s="13"/>
      <c r="M163" s="13"/>
      <c r="N163" s="13"/>
      <c r="O163" s="13"/>
      <c r="P163" s="152"/>
      <c r="Q163" s="149"/>
      <c r="R163" s="152"/>
      <c r="S163" s="152"/>
      <c r="T163" s="62" t="str">
        <f aca="false">IF(OR($C163="",R163=""),"",IF(R163/IF($R$2="",100,$R$2)&gt;=設定!$I$28,設定!$G$8,IF(R163/IF($R$2="",100,$R$2)&lt;設定!$I$29,設定!$G$10,設定!$G$9)))</f>
        <v/>
      </c>
      <c r="U163" s="62" t="str">
        <f aca="false">IF(OR($C163="",S163=""),"",IF(S163/IF($S$2="",100,$S$2)&gt;=設定!$I$28,設定!$G$8,IF(S163/IF($S$2="",100,$S$2)&lt;設定!$I$29,設定!$G$10,設定!$G$9)))</f>
        <v/>
      </c>
    </row>
    <row r="164" customFormat="false" ht="21" hidden="false" customHeight="true" outlineLevel="0" collapsed="false">
      <c r="A164" s="91" t="str">
        <f aca="false">IF(名簿!$D164="","",名簿!$B164&amp;"")</f>
        <v/>
      </c>
      <c r="B164" s="91" t="str">
        <f aca="false">IF(名簿!$D164="","",名簿!$C164)</f>
        <v/>
      </c>
      <c r="C164" s="59" t="str">
        <f aca="false">IF(名簿!$D164="","",名簿!$D164&amp;IF(名簿!$F164="転出","（転出）",""))</f>
        <v/>
      </c>
      <c r="D164" s="149"/>
      <c r="E164" s="61" t="str">
        <f aca="false">IF(OR($C164="",名簿!$F164="転出"),"",IF($C$2="学級ごと",$A164,IF($C$2="前の単元と同じ",単元05!$E164&amp;"",$D164&amp;"")))</f>
        <v/>
      </c>
      <c r="F164" s="150"/>
      <c r="G164" s="150"/>
      <c r="H164" s="150"/>
      <c r="I164" s="151"/>
      <c r="J164" s="41" t="str">
        <f aca="false">IF($E164="","",$E164&amp;"|"&amp;COUNTIF($E$5:$E164,$E164))</f>
        <v/>
      </c>
      <c r="K164" s="40" t="str">
        <f aca="false">IF($I164="","",LEN($I164))</f>
        <v/>
      </c>
      <c r="L164" s="13"/>
      <c r="M164" s="13"/>
      <c r="N164" s="13"/>
      <c r="O164" s="13"/>
      <c r="P164" s="152"/>
      <c r="Q164" s="149"/>
      <c r="R164" s="152"/>
      <c r="S164" s="152"/>
      <c r="T164" s="62" t="str">
        <f aca="false">IF(OR($C164="",R164=""),"",IF(R164/IF($R$2="",100,$R$2)&gt;=設定!$I$28,設定!$G$8,IF(R164/IF($R$2="",100,$R$2)&lt;設定!$I$29,設定!$G$10,設定!$G$9)))</f>
        <v/>
      </c>
      <c r="U164" s="62" t="str">
        <f aca="false">IF(OR($C164="",S164=""),"",IF(S164/IF($S$2="",100,$S$2)&gt;=設定!$I$28,設定!$G$8,IF(S164/IF($S$2="",100,$S$2)&lt;設定!$I$29,設定!$G$10,設定!$G$9)))</f>
        <v/>
      </c>
    </row>
  </sheetData>
  <sheetProtection sheet="true" formatColumns="false" formatRows="false" autoFilter="false"/>
  <autoFilter ref="A4:I164"/>
  <mergeCells count="5">
    <mergeCell ref="A1:I1"/>
    <mergeCell ref="R1:U1"/>
    <mergeCell ref="A2:B2"/>
    <mergeCell ref="D2:I2"/>
    <mergeCell ref="T2:U2"/>
  </mergeCells>
  <conditionalFormatting sqref="A5:C164">
    <cfRule type="expression" priority="2" aboveAverage="0" equalAverage="0" bottom="0" percent="0" rank="0" text="" dxfId="37">
      <formula>RIGHT($C5,4)="（転出）"</formula>
    </cfRule>
    <cfRule type="expression" priority="3" aboveAverage="0" equalAverage="0" bottom="0" percent="0" rank="0" text="" dxfId="8">
      <formula>$C5&lt;&gt;""</formula>
    </cfRule>
  </conditionalFormatting>
  <conditionalFormatting sqref="D5:D164">
    <cfRule type="expression" priority="4" aboveAverage="0" equalAverage="0" bottom="0" percent="0" rank="0" text="" dxfId="37">
      <formula>RIGHT($C5,4)="（転出）"</formula>
    </cfRule>
    <cfRule type="expression" priority="5" aboveAverage="0" equalAverage="0" bottom="0" percent="0" rank="0" text="" dxfId="38">
      <formula>AND($C5&lt;&gt;"",$C$2&lt;&gt;"習熟度別")</formula>
    </cfRule>
    <cfRule type="expression" priority="6" aboveAverage="0" equalAverage="0" bottom="0" percent="0" rank="0" text="" dxfId="39">
      <formula>AND($C5&lt;&gt;"",$E5="")</formula>
    </cfRule>
    <cfRule type="expression" priority="7" aboveAverage="0" equalAverage="0" bottom="0" percent="0" rank="0" text="" dxfId="39">
      <formula>AND($C5&lt;&gt;"",$D5&lt;&gt;"",COUNTIF(コース一覧,$D5)=0)</formula>
    </cfRule>
    <cfRule type="expression" priority="8" aboveAverage="0" equalAverage="0" bottom="0" percent="0" rank="0" text="" dxfId="40">
      <formula>AND($C5&lt;&gt;"",$C$2="習熟度別",$Q5&lt;&gt;"",$E5&lt;&gt;"",$Q5&lt;&gt;$E5)</formula>
    </cfRule>
    <cfRule type="expression" priority="9" aboveAverage="0" equalAverage="0" bottom="0" percent="0" rank="0" text="" dxfId="41">
      <formula>$C5&lt;&gt;""</formula>
    </cfRule>
  </conditionalFormatting>
  <conditionalFormatting sqref="E5:E164">
    <cfRule type="expression" priority="10" aboveAverage="0" equalAverage="0" bottom="0" percent="0" rank="0" text="" dxfId="37">
      <formula>RIGHT($C5,4)="（転出）"</formula>
    </cfRule>
    <cfRule type="expression" priority="11" aboveAverage="0" equalAverage="0" bottom="0" percent="0" rank="0" text="" dxfId="42">
      <formula>AND($E5&lt;&gt;"",$E5=$L$2)</formula>
    </cfRule>
    <cfRule type="expression" priority="12" aboveAverage="0" equalAverage="0" bottom="0" percent="0" rank="0" text="" dxfId="43">
      <formula>AND($E5&lt;&gt;"",$E5=$L$3)</formula>
    </cfRule>
    <cfRule type="expression" priority="13" aboveAverage="0" equalAverage="0" bottom="0" percent="0" rank="0" text="" dxfId="44">
      <formula>AND($E5&lt;&gt;"",$E5=$L$4)</formula>
    </cfRule>
    <cfRule type="expression" priority="14" aboveAverage="0" equalAverage="0" bottom="0" percent="0" rank="0" text="" dxfId="45">
      <formula>AND($E5&lt;&gt;"",$E5=$L$5)</formula>
    </cfRule>
    <cfRule type="expression" priority="15" aboveAverage="0" equalAverage="0" bottom="0" percent="0" rank="0" text="" dxfId="46">
      <formula>AND($E5&lt;&gt;"",$E5=$L$6)</formula>
    </cfRule>
    <cfRule type="expression" priority="16" aboveAverage="0" equalAverage="0" bottom="0" percent="0" rank="0" text="" dxfId="8">
      <formula>$C5&lt;&gt;""</formula>
    </cfRule>
  </conditionalFormatting>
  <conditionalFormatting sqref="F5:H164">
    <cfRule type="expression" priority="17" aboveAverage="0" equalAverage="0" bottom="0" percent="0" rank="0" text="" dxfId="37">
      <formula>RIGHT($C5,4)="（転出）"</formula>
    </cfRule>
    <cfRule type="expression" priority="18" aboveAverage="0" equalAverage="0" bottom="0" percent="0" rank="0" text="" dxfId="12">
      <formula>AND(F5&lt;&gt;"",F5=設定!$G$10)</formula>
    </cfRule>
    <cfRule type="expression" priority="19" aboveAverage="0" equalAverage="0" bottom="0" percent="0" rank="0" text="" dxfId="47">
      <formula>AND(F5&lt;&gt;"",F5=設定!$G$8)</formula>
    </cfRule>
    <cfRule type="expression" priority="20" aboveAverage="0" equalAverage="0" bottom="0" percent="0" rank="0" text="" dxfId="41">
      <formula>AND($C5&lt;&gt;"",$E5&lt;&gt;"")</formula>
    </cfRule>
    <cfRule type="expression" priority="21" aboveAverage="0" equalAverage="0" bottom="0" percent="0" rank="0" text="" dxfId="8">
      <formula>$C5&lt;&gt;""</formula>
    </cfRule>
  </conditionalFormatting>
  <conditionalFormatting sqref="I5:I164">
    <cfRule type="expression" priority="22" aboveAverage="0" equalAverage="0" bottom="0" percent="0" rank="0" text="" dxfId="37">
      <formula>RIGHT($C5,4)="（転出）"</formula>
    </cfRule>
    <cfRule type="expression" priority="23" aboveAverage="0" equalAverage="0" bottom="0" percent="0" rank="0" text="" dxfId="48">
      <formula>AND($C5&lt;&gt;"",$I5&lt;&gt;"",ISNUMBER(設定!$I$22),LEN($I5)&gt;設定!$I$22)</formula>
    </cfRule>
    <cfRule type="expression" priority="24" aboveAverage="0" equalAverage="0" bottom="0" percent="0" rank="0" text="" dxfId="41">
      <formula>AND($C5&lt;&gt;"",$E5&lt;&gt;"")</formula>
    </cfRule>
    <cfRule type="expression" priority="25" aboveAverage="0" equalAverage="0" bottom="0" percent="0" rank="0" text="" dxfId="8">
      <formula>$C5&lt;&gt;""</formula>
    </cfRule>
  </conditionalFormatting>
  <conditionalFormatting sqref="K5:K164">
    <cfRule type="expression" priority="26" aboveAverage="0" equalAverage="0" bottom="0" percent="0" rank="0" text="" dxfId="49">
      <formula>AND($K5&lt;&gt;"",ISNUMBER(設定!$I$22),$K5&gt;設定!$I$22)</formula>
    </cfRule>
    <cfRule type="expression" priority="27" aboveAverage="0" equalAverage="0" bottom="0" percent="0" rank="0" text="" dxfId="50">
      <formula>$C5&lt;&gt;""</formula>
    </cfRule>
  </conditionalFormatting>
  <conditionalFormatting sqref="P5:P164">
    <cfRule type="expression" priority="28" aboveAverage="0" equalAverage="0" bottom="0" percent="0" rank="0" text="" dxfId="41">
      <formula>$C5&lt;&gt;""</formula>
    </cfRule>
  </conditionalFormatting>
  <conditionalFormatting sqref="R5:R164">
    <cfRule type="expression" priority="29" aboveAverage="0" equalAverage="0" bottom="0" percent="0" rank="0" text="" dxfId="49">
      <formula>AND($C5&lt;&gt;"",$R5&lt;&gt;"",$R$2&lt;&gt;"",$R5&gt;$R$2)</formula>
    </cfRule>
    <cfRule type="expression" priority="30" aboveAverage="0" equalAverage="0" bottom="0" percent="0" rank="0" text="" dxfId="41">
      <formula>$C5&lt;&gt;""</formula>
    </cfRule>
  </conditionalFormatting>
  <conditionalFormatting sqref="S5:S164">
    <cfRule type="expression" priority="31" aboveAverage="0" equalAverage="0" bottom="0" percent="0" rank="0" text="" dxfId="49">
      <formula>AND($C5&lt;&gt;"",$S5&lt;&gt;"",$S$2&lt;&gt;"",$S5&gt;$S$2)</formula>
    </cfRule>
    <cfRule type="expression" priority="32" aboveAverage="0" equalAverage="0" bottom="0" percent="0" rank="0" text="" dxfId="41">
      <formula>$C5&lt;&gt;""</formula>
    </cfRule>
  </conditionalFormatting>
  <conditionalFormatting sqref="T5:U164">
    <cfRule type="expression" priority="33" aboveAverage="0" equalAverage="0" bottom="0" percent="0" rank="0" text="" dxfId="12">
      <formula>AND(T5&lt;&gt;"",T5=設定!$G$10)</formula>
    </cfRule>
    <cfRule type="expression" priority="34" aboveAverage="0" equalAverage="0" bottom="0" percent="0" rank="0" text="" dxfId="51">
      <formula>AND(T5&lt;&gt;"",T5=設定!$G$8)</formula>
    </cfRule>
    <cfRule type="expression" priority="35" aboveAverage="0" equalAverage="0" bottom="0" percent="0" rank="0" text="" dxfId="19">
      <formula>$C5&lt;&gt;""</formula>
    </cfRule>
  </conditionalFormatting>
  <conditionalFormatting sqref="Q5:Q164">
    <cfRule type="expression" priority="36" aboveAverage="0" equalAverage="0" bottom="0" percent="0" rank="0" text="" dxfId="40">
      <formula>AND($C5&lt;&gt;"",$Q5&lt;&gt;"",$E5&lt;&gt;"",$Q5&lt;&gt;$E5)</formula>
    </cfRule>
    <cfRule type="expression" priority="37" aboveAverage="0" equalAverage="0" bottom="0" percent="0" rank="0" text="" dxfId="41">
      <formula>$C5&lt;&gt;""</formula>
    </cfRule>
  </conditionalFormatting>
  <conditionalFormatting sqref="L2:N2">
    <cfRule type="expression" priority="38" aboveAverage="0" equalAverage="0" bottom="0" percent="0" rank="0" text="" dxfId="14">
      <formula>$L2=""</formula>
    </cfRule>
  </conditionalFormatting>
  <conditionalFormatting sqref="L3:N3">
    <cfRule type="expression" priority="39" aboveAverage="0" equalAverage="0" bottom="0" percent="0" rank="0" text="" dxfId="14">
      <formula>$L3=""</formula>
    </cfRule>
  </conditionalFormatting>
  <conditionalFormatting sqref="L4:N4">
    <cfRule type="expression" priority="40" aboveAverage="0" equalAverage="0" bottom="0" percent="0" rank="0" text="" dxfId="14">
      <formula>$L4=""</formula>
    </cfRule>
  </conditionalFormatting>
  <conditionalFormatting sqref="L5:N5">
    <cfRule type="expression" priority="41" aboveAverage="0" equalAverage="0" bottom="0" percent="0" rank="0" text="" dxfId="14">
      <formula>$L5=""</formula>
    </cfRule>
  </conditionalFormatting>
  <conditionalFormatting sqref="L6:N6">
    <cfRule type="expression" priority="42" aboveAverage="0" equalAverage="0" bottom="0" percent="0" rank="0" text="" dxfId="14">
      <formula>$L6=""</formula>
    </cfRule>
  </conditionalFormatting>
  <conditionalFormatting sqref="N7">
    <cfRule type="expression" priority="43" aboveAverage="0" equalAverage="0" bottom="0" percent="0" rank="0" text="" dxfId="52">
      <formula>$N$7=0</formula>
    </cfRule>
  </conditionalFormatting>
  <dataValidations count="6">
    <dataValidation allowBlank="true" error="点数（数字）を入力してください。" errorStyle="stop" operator="between" showDropDown="false" showErrorMessage="true" showInputMessage="false" sqref="R2:S2 P5:P164 R5:S164" type="decimal">
      <formula1>0</formula1>
      <formula2>1000</formula2>
    </dataValidation>
    <dataValidation allowBlank="false" error="一覧から選んでください。" errorStyle="stop" errorTitle="入力エラー" operator="between" showDropDown="false" showErrorMessage="true" showInputMessage="false" sqref="C2" type="list">
      <formula1>"習熟度別,前の単元と同じ,学級ごと"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D5:D164" type="list">
      <formula1>コース一覧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Q5:Q164" type="list">
      <formula1>コース一覧</formula1>
      <formula2>0</formula2>
    </dataValidation>
    <dataValidation allowBlank="true" error="設定シートの評価記号（A/B/C）から選んでください。" errorStyle="stop" errorTitle="入力エラー" operator="between" showDropDown="false" showErrorMessage="true" showInputMessage="false" sqref="F5:H164" type="list">
      <formula1>評価記号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M2:M6" type="list">
      <formula1>担当者一覧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U16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5"/>
    <col collapsed="false" customWidth="true" hidden="false" outlineLevel="0" max="3" min="3" style="0" width="17"/>
    <col collapsed="false" customWidth="true" hidden="false" outlineLevel="0" max="4" min="4" style="0" width="11"/>
    <col collapsed="false" customWidth="true" hidden="false" outlineLevel="0" max="5" min="5" style="0" width="12"/>
    <col collapsed="false" customWidth="true" hidden="false" outlineLevel="0" max="8" min="6" style="0" width="6"/>
    <col collapsed="false" customWidth="true" hidden="false" outlineLevel="0" max="9" min="9" style="0" width="55"/>
    <col collapsed="false" customWidth="true" hidden="true" outlineLevel="0" max="10" min="10" style="0" width="3"/>
    <col collapsed="false" customWidth="true" hidden="false" outlineLevel="0" max="11" min="11" style="0" width="5"/>
    <col collapsed="false" customWidth="true" hidden="false" outlineLevel="0" max="12" min="12" style="0" width="14"/>
    <col collapsed="false" customWidth="true" hidden="false" outlineLevel="0" max="13" min="13" style="0" width="13"/>
    <col collapsed="false" customWidth="true" hidden="false" outlineLevel="0" max="14" min="14" style="0" width="7"/>
    <col collapsed="false" customWidth="true" hidden="false" outlineLevel="0" max="15" min="15" style="0" width="2"/>
    <col collapsed="false" customWidth="true" hidden="false" outlineLevel="0" max="16" min="16" style="0" width="9"/>
    <col collapsed="false" customWidth="true" hidden="false" outlineLevel="0" max="17" min="17" style="0" width="12"/>
    <col collapsed="false" customWidth="true" hidden="false" outlineLevel="0" max="19" min="18" style="0" width="7"/>
    <col collapsed="false" customWidth="true" hidden="false" outlineLevel="0" max="21" min="20" style="0" width="6"/>
  </cols>
  <sheetData>
    <row r="1" customFormat="false" ht="33.75" hidden="false" customHeight="true" outlineLevel="0" collapsed="false">
      <c r="A1" s="14" t="str">
        <f aca="false">"単元7　"&amp;IF(設定!$D$23="","（設定シートで単元名を入力）",設定!$D$23)&amp;IF(設定!$C$23="","","　／　"&amp;設定!$C$23&amp;IF(ISNUMBER(設定!$C$23),"学期",""))</f>
        <v>単元7　（設定シートで単元名を入力）</v>
      </c>
      <c r="B1" s="14"/>
      <c r="C1" s="14"/>
      <c r="D1" s="14"/>
      <c r="E1" s="14"/>
      <c r="F1" s="14"/>
      <c r="G1" s="14"/>
      <c r="H1" s="14"/>
      <c r="I1" s="14"/>
      <c r="J1" s="13"/>
      <c r="K1" s="13"/>
      <c r="L1" s="16" t="s">
        <v>153</v>
      </c>
      <c r="M1" s="16" t="s">
        <v>68</v>
      </c>
      <c r="N1" s="16" t="s">
        <v>128</v>
      </c>
      <c r="O1" s="13"/>
      <c r="P1" s="13"/>
      <c r="Q1" s="13"/>
      <c r="R1" s="131" t="s">
        <v>154</v>
      </c>
      <c r="S1" s="131"/>
      <c r="T1" s="131"/>
      <c r="U1" s="131"/>
    </row>
    <row r="2" customFormat="false" ht="25.5" hidden="false" customHeight="true" outlineLevel="0" collapsed="false">
      <c r="A2" s="16" t="s">
        <v>131</v>
      </c>
      <c r="B2" s="16"/>
      <c r="C2" s="138" t="s">
        <v>164</v>
      </c>
      <c r="D2" s="139" t="str">
        <f aca="false">IF($C$2="習熟度別","← D列「コース」で一人ずつ選びます",IF($C$2="前の単元と同じ","← 前の単元のコースをそのまま使います","← 在籍学級のまま分かれます"))</f>
        <v>← D列「コース」で一人ずつ選びます</v>
      </c>
      <c r="E2" s="139"/>
      <c r="F2" s="139"/>
      <c r="G2" s="139"/>
      <c r="H2" s="139"/>
      <c r="I2" s="139"/>
      <c r="J2" s="13"/>
      <c r="K2" s="13"/>
      <c r="L2" s="119" t="str">
        <f aca="false">IF($C$2="前の単元と同じ",単元06!$L2&amp;"",IF($C$2="学級ごと",IF(設定!$B$8="","",設定!$B$8&amp;""),IF(設定!$D$8="","",設定!$D$8&amp;"")))</f>
        <v>深める</v>
      </c>
      <c r="M2" s="39"/>
      <c r="N2" s="140" t="n">
        <f aca="false">IF($L2="","",COUNTIF($E$5:$E$164,$L2))</f>
        <v>0</v>
      </c>
      <c r="O2" s="13"/>
      <c r="P2" s="13"/>
      <c r="Q2" s="13"/>
      <c r="R2" s="141" t="n">
        <v>100</v>
      </c>
      <c r="S2" s="141" t="n">
        <v>100</v>
      </c>
      <c r="T2" s="142" t="s">
        <v>165</v>
      </c>
      <c r="U2" s="142"/>
    </row>
    <row r="3" customFormat="false" ht="17.15" hidden="false" customHeight="false" outlineLevel="0" collapsed="false">
      <c r="A3" s="4" t="s">
        <v>166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23" t="str">
        <f aca="false">IF($C$2="前の単元と同じ",単元06!$L3&amp;"",IF($C$2="学級ごと",IF(設定!$B$9="","",設定!$B$9&amp;""),IF(設定!$D$9="","",設定!$D$9&amp;"")))</f>
        <v>広げるA</v>
      </c>
      <c r="M3" s="39"/>
      <c r="N3" s="140" t="n">
        <f aca="false">IF($L3="","",COUNTIF($E$5:$E$164,$L3))</f>
        <v>0</v>
      </c>
      <c r="O3" s="13"/>
      <c r="P3" s="143" t="s">
        <v>167</v>
      </c>
      <c r="Q3" s="13"/>
      <c r="R3" s="144" t="s">
        <v>168</v>
      </c>
      <c r="S3" s="13"/>
      <c r="T3" s="13"/>
      <c r="U3" s="13"/>
    </row>
    <row r="4" customFormat="false" ht="30" hidden="false" customHeight="true" outlineLevel="0" collapsed="false">
      <c r="A4" s="16" t="s">
        <v>121</v>
      </c>
      <c r="B4" s="16" t="s">
        <v>122</v>
      </c>
      <c r="C4" s="16" t="s">
        <v>123</v>
      </c>
      <c r="D4" s="145" t="s">
        <v>153</v>
      </c>
      <c r="E4" s="16" t="s">
        <v>169</v>
      </c>
      <c r="F4" s="146" t="str">
        <f aca="false">設定!$I$8</f>
        <v>知</v>
      </c>
      <c r="G4" s="146" t="str">
        <f aca="false">設定!$I$9</f>
        <v>思</v>
      </c>
      <c r="H4" s="146" t="str">
        <f aca="false">設定!$I$10</f>
        <v>態</v>
      </c>
      <c r="I4" s="146" t="s">
        <v>107</v>
      </c>
      <c r="J4" s="16"/>
      <c r="K4" s="110" t="s">
        <v>170</v>
      </c>
      <c r="L4" s="124" t="str">
        <f aca="false">IF($C$2="前の単元と同じ",単元06!$L4&amp;"",IF($C$2="学級ごと",IF(設定!$B$10="","",設定!$B$10&amp;""),IF(設定!$D$10="","",設定!$D$10&amp;"")))</f>
        <v>広げるB</v>
      </c>
      <c r="M4" s="39"/>
      <c r="N4" s="140" t="n">
        <f aca="false">IF($L4="","",COUNTIF($E$5:$E$164,$L4))</f>
        <v>0</v>
      </c>
      <c r="O4" s="13"/>
      <c r="P4" s="147" t="s">
        <v>171</v>
      </c>
      <c r="Q4" s="147" t="s">
        <v>172</v>
      </c>
      <c r="R4" s="131" t="str">
        <f aca="false">設定!$I$8&amp;"得点"</f>
        <v>知得点</v>
      </c>
      <c r="S4" s="131" t="str">
        <f aca="false">設定!$I$9&amp;"得点"</f>
        <v>思得点</v>
      </c>
      <c r="T4" s="148" t="str">
        <f aca="false">設定!$I$8&amp;"目安"</f>
        <v>知目安</v>
      </c>
      <c r="U4" s="148" t="str">
        <f aca="false">設定!$I$9&amp;"目安"</f>
        <v>思目安</v>
      </c>
    </row>
    <row r="5" customFormat="false" ht="21" hidden="false" customHeight="true" outlineLevel="0" collapsed="false">
      <c r="A5" s="91" t="str">
        <f aca="false">IF(名簿!$D5="","",名簿!$B5&amp;"")</f>
        <v/>
      </c>
      <c r="B5" s="91" t="str">
        <f aca="false">IF(名簿!$D5="","",名簿!$C5)</f>
        <v/>
      </c>
      <c r="C5" s="59" t="str">
        <f aca="false">IF(名簿!$D5="","",名簿!$D5&amp;IF(名簿!$F5="転出","（転出）",""))</f>
        <v/>
      </c>
      <c r="D5" s="149"/>
      <c r="E5" s="61" t="str">
        <f aca="false">IF(OR($C5="",名簿!$F5="転出"),"",IF($C$2="学級ごと",$A5,IF($C$2="前の単元と同じ",単元06!$E5&amp;"",$D5&amp;"")))</f>
        <v/>
      </c>
      <c r="F5" s="150"/>
      <c r="G5" s="150"/>
      <c r="H5" s="150"/>
      <c r="I5" s="151"/>
      <c r="J5" s="41" t="str">
        <f aca="false">IF($E5="","",$E5&amp;"|"&amp;COUNTIF($E$5:$E5,$E5))</f>
        <v/>
      </c>
      <c r="K5" s="40" t="str">
        <f aca="false">IF($I5="","",LEN($I5))</f>
        <v/>
      </c>
      <c r="L5" s="125" t="str">
        <f aca="false">IF($C$2="前の単元と同じ",単元06!$L5&amp;"",IF($C$2="学級ごと",IF(設定!$B$11="","",設定!$B$11&amp;""),IF(設定!$D$11="","",設定!$D$11&amp;"")))</f>
        <v>かためる</v>
      </c>
      <c r="M5" s="39"/>
      <c r="N5" s="140" t="n">
        <f aca="false">IF($L5="","",COUNTIF($E$5:$E$164,$L5))</f>
        <v>0</v>
      </c>
      <c r="O5" s="13"/>
      <c r="P5" s="152"/>
      <c r="Q5" s="149"/>
      <c r="R5" s="152"/>
      <c r="S5" s="152"/>
      <c r="T5" s="62" t="str">
        <f aca="false">IF(OR($C5="",R5=""),"",IF(R5/IF($R$2="",100,$R$2)&gt;=設定!$I$28,設定!$G$8,IF(R5/IF($R$2="",100,$R$2)&lt;設定!$I$29,設定!$G$10,設定!$G$9)))</f>
        <v/>
      </c>
      <c r="U5" s="62" t="str">
        <f aca="false">IF(OR($C5="",S5=""),"",IF(S5/IF($S$2="",100,$S$2)&gt;=設定!$I$28,設定!$G$8,IF(S5/IF($S$2="",100,$S$2)&lt;設定!$I$29,設定!$G$10,設定!$G$9)))</f>
        <v/>
      </c>
    </row>
    <row r="6" customFormat="false" ht="21" hidden="false" customHeight="true" outlineLevel="0" collapsed="false">
      <c r="A6" s="91" t="str">
        <f aca="false">IF(名簿!$D6="","",名簿!$B6&amp;"")</f>
        <v/>
      </c>
      <c r="B6" s="91" t="str">
        <f aca="false">IF(名簿!$D6="","",名簿!$C6)</f>
        <v/>
      </c>
      <c r="C6" s="59" t="str">
        <f aca="false">IF(名簿!$D6="","",名簿!$D6&amp;IF(名簿!$F6="転出","（転出）",""))</f>
        <v/>
      </c>
      <c r="D6" s="149"/>
      <c r="E6" s="61" t="str">
        <f aca="false">IF(OR($C6="",名簿!$F6="転出"),"",IF($C$2="学級ごと",$A6,IF($C$2="前の単元と同じ",単元06!$E6&amp;"",$D6&amp;"")))</f>
        <v/>
      </c>
      <c r="F6" s="150"/>
      <c r="G6" s="150"/>
      <c r="H6" s="150"/>
      <c r="I6" s="151"/>
      <c r="J6" s="41" t="str">
        <f aca="false">IF($E6="","",$E6&amp;"|"&amp;COUNTIF($E$5:$E6,$E6))</f>
        <v/>
      </c>
      <c r="K6" s="40" t="str">
        <f aca="false">IF($I6="","",LEN($I6))</f>
        <v/>
      </c>
      <c r="L6" s="126" t="str">
        <f aca="false">IF($C$2="前の単元と同じ",単元06!$L6&amp;"",IF($C$2="学級ごと",IF(設定!$B$12="","",設定!$B$12&amp;""),IF(設定!$D$12="","",設定!$D$12&amp;"")))</f>
        <v/>
      </c>
      <c r="M6" s="39"/>
      <c r="N6" s="153" t="str">
        <f aca="false">IF($L6="","",COUNTIF($E$5:$E$164,$L6))</f>
        <v/>
      </c>
      <c r="O6" s="13"/>
      <c r="P6" s="152"/>
      <c r="Q6" s="149"/>
      <c r="R6" s="152"/>
      <c r="S6" s="152"/>
      <c r="T6" s="62" t="str">
        <f aca="false">IF(OR($C6="",R6=""),"",IF(R6/IF($R$2="",100,$R$2)&gt;=設定!$I$28,設定!$G$8,IF(R6/IF($R$2="",100,$R$2)&lt;設定!$I$29,設定!$G$10,設定!$G$9)))</f>
        <v/>
      </c>
      <c r="U6" s="62" t="str">
        <f aca="false">IF(OR($C6="",S6=""),"",IF(S6/IF($S$2="",100,$S$2)&gt;=設定!$I$28,設定!$G$8,IF(S6/IF($S$2="",100,$S$2)&lt;設定!$I$29,設定!$G$10,設定!$G$9)))</f>
        <v/>
      </c>
    </row>
    <row r="7" customFormat="false" ht="21" hidden="false" customHeight="true" outlineLevel="0" collapsed="false">
      <c r="A7" s="91" t="str">
        <f aca="false">IF(名簿!$D7="","",名簿!$B7&amp;"")</f>
        <v/>
      </c>
      <c r="B7" s="91" t="str">
        <f aca="false">IF(名簿!$D7="","",名簿!$C7)</f>
        <v/>
      </c>
      <c r="C7" s="59" t="str">
        <f aca="false">IF(名簿!$D7="","",名簿!$D7&amp;IF(名簿!$F7="転出","（転出）",""))</f>
        <v/>
      </c>
      <c r="D7" s="149"/>
      <c r="E7" s="61" t="str">
        <f aca="false">IF(OR($C7="",名簿!$F7="転出"),"",IF($C$2="学級ごと",$A7,IF($C$2="前の単元と同じ",単元06!$E7&amp;"",$D7&amp;"")))</f>
        <v/>
      </c>
      <c r="F7" s="150"/>
      <c r="G7" s="150"/>
      <c r="H7" s="150"/>
      <c r="I7" s="151"/>
      <c r="J7" s="41" t="str">
        <f aca="false">IF($E7="","",$E7&amp;"|"&amp;COUNTIF($E$5:$E7,$E7))</f>
        <v/>
      </c>
      <c r="K7" s="40" t="str">
        <f aca="false">IF($I7="","",LEN($I7))</f>
        <v/>
      </c>
      <c r="L7" s="154" t="s">
        <v>133</v>
      </c>
      <c r="M7" s="155" t="s">
        <v>173</v>
      </c>
      <c r="N7" s="156" t="n">
        <f aca="false">SUMPRODUCT(($C$5:$C$164&lt;&gt;"")*(名簿!$F$5:$F$164&lt;&gt;"転出")*($E$5:$E$164=""))</f>
        <v>0</v>
      </c>
      <c r="O7" s="13"/>
      <c r="P7" s="152"/>
      <c r="Q7" s="149"/>
      <c r="R7" s="152"/>
      <c r="S7" s="152"/>
      <c r="T7" s="62" t="str">
        <f aca="false">IF(OR($C7="",R7=""),"",IF(R7/IF($R$2="",100,$R$2)&gt;=設定!$I$28,設定!$G$8,IF(R7/IF($R$2="",100,$R$2)&lt;設定!$I$29,設定!$G$10,設定!$G$9)))</f>
        <v/>
      </c>
      <c r="U7" s="62" t="str">
        <f aca="false">IF(OR($C7="",S7=""),"",IF(S7/IF($S$2="",100,$S$2)&gt;=設定!$I$28,設定!$G$8,IF(S7/IF($S$2="",100,$S$2)&lt;設定!$I$29,設定!$G$10,設定!$G$9)))</f>
        <v/>
      </c>
    </row>
    <row r="8" customFormat="false" ht="21" hidden="false" customHeight="true" outlineLevel="0" collapsed="false">
      <c r="A8" s="91" t="str">
        <f aca="false">IF(名簿!$D8="","",名簿!$B8&amp;"")</f>
        <v/>
      </c>
      <c r="B8" s="91" t="str">
        <f aca="false">IF(名簿!$D8="","",名簿!$C8)</f>
        <v/>
      </c>
      <c r="C8" s="59" t="str">
        <f aca="false">IF(名簿!$D8="","",名簿!$D8&amp;IF(名簿!$F8="転出","（転出）",""))</f>
        <v/>
      </c>
      <c r="D8" s="149"/>
      <c r="E8" s="61" t="str">
        <f aca="false">IF(OR($C8="",名簿!$F8="転出"),"",IF($C$2="学級ごと",$A8,IF($C$2="前の単元と同じ",単元06!$E8&amp;"",$D8&amp;"")))</f>
        <v/>
      </c>
      <c r="F8" s="150"/>
      <c r="G8" s="150"/>
      <c r="H8" s="150"/>
      <c r="I8" s="151"/>
      <c r="J8" s="41" t="str">
        <f aca="false">IF($E8="","",$E8&amp;"|"&amp;COUNTIF($E$5:$E8,$E8))</f>
        <v/>
      </c>
      <c r="K8" s="40" t="str">
        <f aca="false">IF($I8="","",LEN($I8))</f>
        <v/>
      </c>
      <c r="L8" s="157" t="s">
        <v>174</v>
      </c>
      <c r="M8" s="158" t="s">
        <v>175</v>
      </c>
      <c r="N8" s="159" t="n">
        <f aca="false">SUMPRODUCT(($E$5:$E$164&lt;&gt;"")*(($F$5:$F$164="")+($G$5:$G$164="")+($H$5:$H$164="")&gt;0))</f>
        <v>0</v>
      </c>
      <c r="O8" s="13"/>
      <c r="P8" s="152"/>
      <c r="Q8" s="149"/>
      <c r="R8" s="152"/>
      <c r="S8" s="152"/>
      <c r="T8" s="62" t="str">
        <f aca="false">IF(OR($C8="",R8=""),"",IF(R8/IF($R$2="",100,$R$2)&gt;=設定!$I$28,設定!$G$8,IF(R8/IF($R$2="",100,$R$2)&lt;設定!$I$29,設定!$G$10,設定!$G$9)))</f>
        <v/>
      </c>
      <c r="U8" s="62" t="str">
        <f aca="false">IF(OR($C8="",S8=""),"",IF(S8/IF($S$2="",100,$S$2)&gt;=設定!$I$28,設定!$G$8,IF(S8/IF($S$2="",100,$S$2)&lt;設定!$I$29,設定!$G$10,設定!$G$9)))</f>
        <v/>
      </c>
    </row>
    <row r="9" customFormat="false" ht="21" hidden="false" customHeight="true" outlineLevel="0" collapsed="false">
      <c r="A9" s="91" t="str">
        <f aca="false">IF(名簿!$D9="","",名簿!$B9&amp;"")</f>
        <v/>
      </c>
      <c r="B9" s="91" t="str">
        <f aca="false">IF(名簿!$D9="","",名簿!$C9)</f>
        <v/>
      </c>
      <c r="C9" s="59" t="str">
        <f aca="false">IF(名簿!$D9="","",名簿!$D9&amp;IF(名簿!$F9="転出","（転出）",""))</f>
        <v/>
      </c>
      <c r="D9" s="149"/>
      <c r="E9" s="61" t="str">
        <f aca="false">IF(OR($C9="",名簿!$F9="転出"),"",IF($C$2="学級ごと",$A9,IF($C$2="前の単元と同じ",単元06!$E9&amp;"",$D9&amp;"")))</f>
        <v/>
      </c>
      <c r="F9" s="150"/>
      <c r="G9" s="150"/>
      <c r="H9" s="150"/>
      <c r="I9" s="151"/>
      <c r="J9" s="41" t="str">
        <f aca="false">IF($E9="","",$E9&amp;"|"&amp;COUNTIF($E$5:$E9,$E9))</f>
        <v/>
      </c>
      <c r="K9" s="40" t="str">
        <f aca="false">IF($I9="","",LEN($I9))</f>
        <v/>
      </c>
      <c r="L9" s="13"/>
      <c r="M9" s="13"/>
      <c r="N9" s="13"/>
      <c r="O9" s="13"/>
      <c r="P9" s="152"/>
      <c r="Q9" s="149"/>
      <c r="R9" s="152"/>
      <c r="S9" s="152"/>
      <c r="T9" s="62" t="str">
        <f aca="false">IF(OR($C9="",R9=""),"",IF(R9/IF($R$2="",100,$R$2)&gt;=設定!$I$28,設定!$G$8,IF(R9/IF($R$2="",100,$R$2)&lt;設定!$I$29,設定!$G$10,設定!$G$9)))</f>
        <v/>
      </c>
      <c r="U9" s="62" t="str">
        <f aca="false">IF(OR($C9="",S9=""),"",IF(S9/IF($S$2="",100,$S$2)&gt;=設定!$I$28,設定!$G$8,IF(S9/IF($S$2="",100,$S$2)&lt;設定!$I$29,設定!$G$10,設定!$G$9)))</f>
        <v/>
      </c>
    </row>
    <row r="10" customFormat="false" ht="21" hidden="false" customHeight="true" outlineLevel="0" collapsed="false">
      <c r="A10" s="91" t="str">
        <f aca="false">IF(名簿!$D10="","",名簿!$B10&amp;"")</f>
        <v/>
      </c>
      <c r="B10" s="91" t="str">
        <f aca="false">IF(名簿!$D10="","",名簿!$C10)</f>
        <v/>
      </c>
      <c r="C10" s="59" t="str">
        <f aca="false">IF(名簿!$D10="","",名簿!$D10&amp;IF(名簿!$F10="転出","（転出）",""))</f>
        <v/>
      </c>
      <c r="D10" s="149"/>
      <c r="E10" s="61" t="str">
        <f aca="false">IF(OR($C10="",名簿!$F10="転出"),"",IF($C$2="学級ごと",$A10,IF($C$2="前の単元と同じ",単元06!$E10&amp;"",$D10&amp;"")))</f>
        <v/>
      </c>
      <c r="F10" s="150"/>
      <c r="G10" s="150"/>
      <c r="H10" s="150"/>
      <c r="I10" s="151"/>
      <c r="J10" s="41" t="str">
        <f aca="false">IF($E10="","",$E10&amp;"|"&amp;COUNTIF($E$5:$E10,$E10))</f>
        <v/>
      </c>
      <c r="K10" s="40" t="str">
        <f aca="false">IF($I10="","",LEN($I10))</f>
        <v/>
      </c>
      <c r="L10" s="13"/>
      <c r="M10" s="13"/>
      <c r="N10" s="13"/>
      <c r="O10" s="13"/>
      <c r="P10" s="152"/>
      <c r="Q10" s="149"/>
      <c r="R10" s="152"/>
      <c r="S10" s="152"/>
      <c r="T10" s="62" t="str">
        <f aca="false">IF(OR($C10="",R10=""),"",IF(R10/IF($R$2="",100,$R$2)&gt;=設定!$I$28,設定!$G$8,IF(R10/IF($R$2="",100,$R$2)&lt;設定!$I$29,設定!$G$10,設定!$G$9)))</f>
        <v/>
      </c>
      <c r="U10" s="62" t="str">
        <f aca="false">IF(OR($C10="",S10=""),"",IF(S10/IF($S$2="",100,$S$2)&gt;=設定!$I$28,設定!$G$8,IF(S10/IF($S$2="",100,$S$2)&lt;設定!$I$29,設定!$G$10,設定!$G$9)))</f>
        <v/>
      </c>
    </row>
    <row r="11" customFormat="false" ht="21" hidden="false" customHeight="true" outlineLevel="0" collapsed="false">
      <c r="A11" s="91" t="str">
        <f aca="false">IF(名簿!$D11="","",名簿!$B11&amp;"")</f>
        <v/>
      </c>
      <c r="B11" s="91" t="str">
        <f aca="false">IF(名簿!$D11="","",名簿!$C11)</f>
        <v/>
      </c>
      <c r="C11" s="59" t="str">
        <f aca="false">IF(名簿!$D11="","",名簿!$D11&amp;IF(名簿!$F11="転出","（転出）",""))</f>
        <v/>
      </c>
      <c r="D11" s="149"/>
      <c r="E11" s="61" t="str">
        <f aca="false">IF(OR($C11="",名簿!$F11="転出"),"",IF($C$2="学級ごと",$A11,IF($C$2="前の単元と同じ",単元06!$E11&amp;"",$D11&amp;"")))</f>
        <v/>
      </c>
      <c r="F11" s="150"/>
      <c r="G11" s="150"/>
      <c r="H11" s="150"/>
      <c r="I11" s="151"/>
      <c r="J11" s="41" t="str">
        <f aca="false">IF($E11="","",$E11&amp;"|"&amp;COUNTIF($E$5:$E11,$E11))</f>
        <v/>
      </c>
      <c r="K11" s="40" t="str">
        <f aca="false">IF($I11="","",LEN($I11))</f>
        <v/>
      </c>
      <c r="L11" s="13"/>
      <c r="M11" s="13"/>
      <c r="N11" s="13"/>
      <c r="O11" s="13"/>
      <c r="P11" s="152"/>
      <c r="Q11" s="149"/>
      <c r="R11" s="152"/>
      <c r="S11" s="152"/>
      <c r="T11" s="62" t="str">
        <f aca="false">IF(OR($C11="",R11=""),"",IF(R11/IF($R$2="",100,$R$2)&gt;=設定!$I$28,設定!$G$8,IF(R11/IF($R$2="",100,$R$2)&lt;設定!$I$29,設定!$G$10,設定!$G$9)))</f>
        <v/>
      </c>
      <c r="U11" s="62" t="str">
        <f aca="false">IF(OR($C11="",S11=""),"",IF(S11/IF($S$2="",100,$S$2)&gt;=設定!$I$28,設定!$G$8,IF(S11/IF($S$2="",100,$S$2)&lt;設定!$I$29,設定!$G$10,設定!$G$9)))</f>
        <v/>
      </c>
    </row>
    <row r="12" customFormat="false" ht="21" hidden="false" customHeight="true" outlineLevel="0" collapsed="false">
      <c r="A12" s="91" t="str">
        <f aca="false">IF(名簿!$D12="","",名簿!$B12&amp;"")</f>
        <v/>
      </c>
      <c r="B12" s="91" t="str">
        <f aca="false">IF(名簿!$D12="","",名簿!$C12)</f>
        <v/>
      </c>
      <c r="C12" s="59" t="str">
        <f aca="false">IF(名簿!$D12="","",名簿!$D12&amp;IF(名簿!$F12="転出","（転出）",""))</f>
        <v/>
      </c>
      <c r="D12" s="149"/>
      <c r="E12" s="61" t="str">
        <f aca="false">IF(OR($C12="",名簿!$F12="転出"),"",IF($C$2="学級ごと",$A12,IF($C$2="前の単元と同じ",単元06!$E12&amp;"",$D12&amp;"")))</f>
        <v/>
      </c>
      <c r="F12" s="150"/>
      <c r="G12" s="150"/>
      <c r="H12" s="150"/>
      <c r="I12" s="151"/>
      <c r="J12" s="41" t="str">
        <f aca="false">IF($E12="","",$E12&amp;"|"&amp;COUNTIF($E$5:$E12,$E12))</f>
        <v/>
      </c>
      <c r="K12" s="40" t="str">
        <f aca="false">IF($I12="","",LEN($I12))</f>
        <v/>
      </c>
      <c r="L12" s="13"/>
      <c r="M12" s="13"/>
      <c r="N12" s="13"/>
      <c r="O12" s="13"/>
      <c r="P12" s="152"/>
      <c r="Q12" s="149"/>
      <c r="R12" s="152"/>
      <c r="S12" s="152"/>
      <c r="T12" s="62" t="str">
        <f aca="false">IF(OR($C12="",R12=""),"",IF(R12/IF($R$2="",100,$R$2)&gt;=設定!$I$28,設定!$G$8,IF(R12/IF($R$2="",100,$R$2)&lt;設定!$I$29,設定!$G$10,設定!$G$9)))</f>
        <v/>
      </c>
      <c r="U12" s="62" t="str">
        <f aca="false">IF(OR($C12="",S12=""),"",IF(S12/IF($S$2="",100,$S$2)&gt;=設定!$I$28,設定!$G$8,IF(S12/IF($S$2="",100,$S$2)&lt;設定!$I$29,設定!$G$10,設定!$G$9)))</f>
        <v/>
      </c>
    </row>
    <row r="13" customFormat="false" ht="21" hidden="false" customHeight="true" outlineLevel="0" collapsed="false">
      <c r="A13" s="91" t="str">
        <f aca="false">IF(名簿!$D13="","",名簿!$B13&amp;"")</f>
        <v/>
      </c>
      <c r="B13" s="91" t="str">
        <f aca="false">IF(名簿!$D13="","",名簿!$C13)</f>
        <v/>
      </c>
      <c r="C13" s="59" t="str">
        <f aca="false">IF(名簿!$D13="","",名簿!$D13&amp;IF(名簿!$F13="転出","（転出）",""))</f>
        <v/>
      </c>
      <c r="D13" s="149"/>
      <c r="E13" s="61" t="str">
        <f aca="false">IF(OR($C13="",名簿!$F13="転出"),"",IF($C$2="学級ごと",$A13,IF($C$2="前の単元と同じ",単元06!$E13&amp;"",$D13&amp;"")))</f>
        <v/>
      </c>
      <c r="F13" s="150"/>
      <c r="G13" s="150"/>
      <c r="H13" s="150"/>
      <c r="I13" s="151"/>
      <c r="J13" s="41" t="str">
        <f aca="false">IF($E13="","",$E13&amp;"|"&amp;COUNTIF($E$5:$E13,$E13))</f>
        <v/>
      </c>
      <c r="K13" s="40" t="str">
        <f aca="false">IF($I13="","",LEN($I13))</f>
        <v/>
      </c>
      <c r="L13" s="13"/>
      <c r="M13" s="13"/>
      <c r="N13" s="13"/>
      <c r="O13" s="13"/>
      <c r="P13" s="152"/>
      <c r="Q13" s="149"/>
      <c r="R13" s="152"/>
      <c r="S13" s="152"/>
      <c r="T13" s="62" t="str">
        <f aca="false">IF(OR($C13="",R13=""),"",IF(R13/IF($R$2="",100,$R$2)&gt;=設定!$I$28,設定!$G$8,IF(R13/IF($R$2="",100,$R$2)&lt;設定!$I$29,設定!$G$10,設定!$G$9)))</f>
        <v/>
      </c>
      <c r="U13" s="62" t="str">
        <f aca="false">IF(OR($C13="",S13=""),"",IF(S13/IF($S$2="",100,$S$2)&gt;=設定!$I$28,設定!$G$8,IF(S13/IF($S$2="",100,$S$2)&lt;設定!$I$29,設定!$G$10,設定!$G$9)))</f>
        <v/>
      </c>
    </row>
    <row r="14" customFormat="false" ht="21" hidden="false" customHeight="true" outlineLevel="0" collapsed="false">
      <c r="A14" s="91" t="str">
        <f aca="false">IF(名簿!$D14="","",名簿!$B14&amp;"")</f>
        <v/>
      </c>
      <c r="B14" s="91" t="str">
        <f aca="false">IF(名簿!$D14="","",名簿!$C14)</f>
        <v/>
      </c>
      <c r="C14" s="59" t="str">
        <f aca="false">IF(名簿!$D14="","",名簿!$D14&amp;IF(名簿!$F14="転出","（転出）",""))</f>
        <v/>
      </c>
      <c r="D14" s="149"/>
      <c r="E14" s="61" t="str">
        <f aca="false">IF(OR($C14="",名簿!$F14="転出"),"",IF($C$2="学級ごと",$A14,IF($C$2="前の単元と同じ",単元06!$E14&amp;"",$D14&amp;"")))</f>
        <v/>
      </c>
      <c r="F14" s="150"/>
      <c r="G14" s="150"/>
      <c r="H14" s="150"/>
      <c r="I14" s="151"/>
      <c r="J14" s="41" t="str">
        <f aca="false">IF($E14="","",$E14&amp;"|"&amp;COUNTIF($E$5:$E14,$E14))</f>
        <v/>
      </c>
      <c r="K14" s="40" t="str">
        <f aca="false">IF($I14="","",LEN($I14))</f>
        <v/>
      </c>
      <c r="L14" s="13"/>
      <c r="M14" s="13"/>
      <c r="N14" s="13"/>
      <c r="O14" s="13"/>
      <c r="P14" s="152"/>
      <c r="Q14" s="149"/>
      <c r="R14" s="152"/>
      <c r="S14" s="152"/>
      <c r="T14" s="62" t="str">
        <f aca="false">IF(OR($C14="",R14=""),"",IF(R14/IF($R$2="",100,$R$2)&gt;=設定!$I$28,設定!$G$8,IF(R14/IF($R$2="",100,$R$2)&lt;設定!$I$29,設定!$G$10,設定!$G$9)))</f>
        <v/>
      </c>
      <c r="U14" s="62" t="str">
        <f aca="false">IF(OR($C14="",S14=""),"",IF(S14/IF($S$2="",100,$S$2)&gt;=設定!$I$28,設定!$G$8,IF(S14/IF($S$2="",100,$S$2)&lt;設定!$I$29,設定!$G$10,設定!$G$9)))</f>
        <v/>
      </c>
    </row>
    <row r="15" customFormat="false" ht="21" hidden="false" customHeight="true" outlineLevel="0" collapsed="false">
      <c r="A15" s="91" t="str">
        <f aca="false">IF(名簿!$D15="","",名簿!$B15&amp;"")</f>
        <v/>
      </c>
      <c r="B15" s="91" t="str">
        <f aca="false">IF(名簿!$D15="","",名簿!$C15)</f>
        <v/>
      </c>
      <c r="C15" s="59" t="str">
        <f aca="false">IF(名簿!$D15="","",名簿!$D15&amp;IF(名簿!$F15="転出","（転出）",""))</f>
        <v/>
      </c>
      <c r="D15" s="149"/>
      <c r="E15" s="61" t="str">
        <f aca="false">IF(OR($C15="",名簿!$F15="転出"),"",IF($C$2="学級ごと",$A15,IF($C$2="前の単元と同じ",単元06!$E15&amp;"",$D15&amp;"")))</f>
        <v/>
      </c>
      <c r="F15" s="150"/>
      <c r="G15" s="150"/>
      <c r="H15" s="150"/>
      <c r="I15" s="151"/>
      <c r="J15" s="41" t="str">
        <f aca="false">IF($E15="","",$E15&amp;"|"&amp;COUNTIF($E$5:$E15,$E15))</f>
        <v/>
      </c>
      <c r="K15" s="40" t="str">
        <f aca="false">IF($I15="","",LEN($I15))</f>
        <v/>
      </c>
      <c r="L15" s="13"/>
      <c r="M15" s="13"/>
      <c r="N15" s="13"/>
      <c r="O15" s="13"/>
      <c r="P15" s="152"/>
      <c r="Q15" s="149"/>
      <c r="R15" s="152"/>
      <c r="S15" s="152"/>
      <c r="T15" s="62" t="str">
        <f aca="false">IF(OR($C15="",R15=""),"",IF(R15/IF($R$2="",100,$R$2)&gt;=設定!$I$28,設定!$G$8,IF(R15/IF($R$2="",100,$R$2)&lt;設定!$I$29,設定!$G$10,設定!$G$9)))</f>
        <v/>
      </c>
      <c r="U15" s="62" t="str">
        <f aca="false">IF(OR($C15="",S15=""),"",IF(S15/IF($S$2="",100,$S$2)&gt;=設定!$I$28,設定!$G$8,IF(S15/IF($S$2="",100,$S$2)&lt;設定!$I$29,設定!$G$10,設定!$G$9)))</f>
        <v/>
      </c>
    </row>
    <row r="16" customFormat="false" ht="21" hidden="false" customHeight="true" outlineLevel="0" collapsed="false">
      <c r="A16" s="91" t="str">
        <f aca="false">IF(名簿!$D16="","",名簿!$B16&amp;"")</f>
        <v/>
      </c>
      <c r="B16" s="91" t="str">
        <f aca="false">IF(名簿!$D16="","",名簿!$C16)</f>
        <v/>
      </c>
      <c r="C16" s="59" t="str">
        <f aca="false">IF(名簿!$D16="","",名簿!$D16&amp;IF(名簿!$F16="転出","（転出）",""))</f>
        <v/>
      </c>
      <c r="D16" s="149"/>
      <c r="E16" s="61" t="str">
        <f aca="false">IF(OR($C16="",名簿!$F16="転出"),"",IF($C$2="学級ごと",$A16,IF($C$2="前の単元と同じ",単元06!$E16&amp;"",$D16&amp;"")))</f>
        <v/>
      </c>
      <c r="F16" s="150"/>
      <c r="G16" s="150"/>
      <c r="H16" s="150"/>
      <c r="I16" s="151"/>
      <c r="J16" s="41" t="str">
        <f aca="false">IF($E16="","",$E16&amp;"|"&amp;COUNTIF($E$5:$E16,$E16))</f>
        <v/>
      </c>
      <c r="K16" s="40" t="str">
        <f aca="false">IF($I16="","",LEN($I16))</f>
        <v/>
      </c>
      <c r="L16" s="13"/>
      <c r="M16" s="13"/>
      <c r="N16" s="13"/>
      <c r="O16" s="13"/>
      <c r="P16" s="152"/>
      <c r="Q16" s="149"/>
      <c r="R16" s="152"/>
      <c r="S16" s="152"/>
      <c r="T16" s="62" t="str">
        <f aca="false">IF(OR($C16="",R16=""),"",IF(R16/IF($R$2="",100,$R$2)&gt;=設定!$I$28,設定!$G$8,IF(R16/IF($R$2="",100,$R$2)&lt;設定!$I$29,設定!$G$10,設定!$G$9)))</f>
        <v/>
      </c>
      <c r="U16" s="62" t="str">
        <f aca="false">IF(OR($C16="",S16=""),"",IF(S16/IF($S$2="",100,$S$2)&gt;=設定!$I$28,設定!$G$8,IF(S16/IF($S$2="",100,$S$2)&lt;設定!$I$29,設定!$G$10,設定!$G$9)))</f>
        <v/>
      </c>
    </row>
    <row r="17" customFormat="false" ht="21" hidden="false" customHeight="true" outlineLevel="0" collapsed="false">
      <c r="A17" s="91" t="str">
        <f aca="false">IF(名簿!$D17="","",名簿!$B17&amp;"")</f>
        <v/>
      </c>
      <c r="B17" s="91" t="str">
        <f aca="false">IF(名簿!$D17="","",名簿!$C17)</f>
        <v/>
      </c>
      <c r="C17" s="59" t="str">
        <f aca="false">IF(名簿!$D17="","",名簿!$D17&amp;IF(名簿!$F17="転出","（転出）",""))</f>
        <v/>
      </c>
      <c r="D17" s="149"/>
      <c r="E17" s="61" t="str">
        <f aca="false">IF(OR($C17="",名簿!$F17="転出"),"",IF($C$2="学級ごと",$A17,IF($C$2="前の単元と同じ",単元06!$E17&amp;"",$D17&amp;"")))</f>
        <v/>
      </c>
      <c r="F17" s="150"/>
      <c r="G17" s="150"/>
      <c r="H17" s="150"/>
      <c r="I17" s="151"/>
      <c r="J17" s="41" t="str">
        <f aca="false">IF($E17="","",$E17&amp;"|"&amp;COUNTIF($E$5:$E17,$E17))</f>
        <v/>
      </c>
      <c r="K17" s="40" t="str">
        <f aca="false">IF($I17="","",LEN($I17))</f>
        <v/>
      </c>
      <c r="L17" s="13"/>
      <c r="M17" s="13"/>
      <c r="N17" s="13"/>
      <c r="O17" s="13"/>
      <c r="P17" s="152"/>
      <c r="Q17" s="149"/>
      <c r="R17" s="152"/>
      <c r="S17" s="152"/>
      <c r="T17" s="62" t="str">
        <f aca="false">IF(OR($C17="",R17=""),"",IF(R17/IF($R$2="",100,$R$2)&gt;=設定!$I$28,設定!$G$8,IF(R17/IF($R$2="",100,$R$2)&lt;設定!$I$29,設定!$G$10,設定!$G$9)))</f>
        <v/>
      </c>
      <c r="U17" s="62" t="str">
        <f aca="false">IF(OR($C17="",S17=""),"",IF(S17/IF($S$2="",100,$S$2)&gt;=設定!$I$28,設定!$G$8,IF(S17/IF($S$2="",100,$S$2)&lt;設定!$I$29,設定!$G$10,設定!$G$9)))</f>
        <v/>
      </c>
    </row>
    <row r="18" customFormat="false" ht="21" hidden="false" customHeight="true" outlineLevel="0" collapsed="false">
      <c r="A18" s="91" t="str">
        <f aca="false">IF(名簿!$D18="","",名簿!$B18&amp;"")</f>
        <v/>
      </c>
      <c r="B18" s="91" t="str">
        <f aca="false">IF(名簿!$D18="","",名簿!$C18)</f>
        <v/>
      </c>
      <c r="C18" s="59" t="str">
        <f aca="false">IF(名簿!$D18="","",名簿!$D18&amp;IF(名簿!$F18="転出","（転出）",""))</f>
        <v/>
      </c>
      <c r="D18" s="149"/>
      <c r="E18" s="61" t="str">
        <f aca="false">IF(OR($C18="",名簿!$F18="転出"),"",IF($C$2="学級ごと",$A18,IF($C$2="前の単元と同じ",単元06!$E18&amp;"",$D18&amp;"")))</f>
        <v/>
      </c>
      <c r="F18" s="150"/>
      <c r="G18" s="150"/>
      <c r="H18" s="150"/>
      <c r="I18" s="151"/>
      <c r="J18" s="41" t="str">
        <f aca="false">IF($E18="","",$E18&amp;"|"&amp;COUNTIF($E$5:$E18,$E18))</f>
        <v/>
      </c>
      <c r="K18" s="40" t="str">
        <f aca="false">IF($I18="","",LEN($I18))</f>
        <v/>
      </c>
      <c r="L18" s="13"/>
      <c r="M18" s="13"/>
      <c r="N18" s="13"/>
      <c r="O18" s="13"/>
      <c r="P18" s="152"/>
      <c r="Q18" s="149"/>
      <c r="R18" s="152"/>
      <c r="S18" s="152"/>
      <c r="T18" s="62" t="str">
        <f aca="false">IF(OR($C18="",R18=""),"",IF(R18/IF($R$2="",100,$R$2)&gt;=設定!$I$28,設定!$G$8,IF(R18/IF($R$2="",100,$R$2)&lt;設定!$I$29,設定!$G$10,設定!$G$9)))</f>
        <v/>
      </c>
      <c r="U18" s="62" t="str">
        <f aca="false">IF(OR($C18="",S18=""),"",IF(S18/IF($S$2="",100,$S$2)&gt;=設定!$I$28,設定!$G$8,IF(S18/IF($S$2="",100,$S$2)&lt;設定!$I$29,設定!$G$10,設定!$G$9)))</f>
        <v/>
      </c>
    </row>
    <row r="19" customFormat="false" ht="21" hidden="false" customHeight="true" outlineLevel="0" collapsed="false">
      <c r="A19" s="91" t="str">
        <f aca="false">IF(名簿!$D19="","",名簿!$B19&amp;"")</f>
        <v/>
      </c>
      <c r="B19" s="91" t="str">
        <f aca="false">IF(名簿!$D19="","",名簿!$C19)</f>
        <v/>
      </c>
      <c r="C19" s="59" t="str">
        <f aca="false">IF(名簿!$D19="","",名簿!$D19&amp;IF(名簿!$F19="転出","（転出）",""))</f>
        <v/>
      </c>
      <c r="D19" s="149"/>
      <c r="E19" s="61" t="str">
        <f aca="false">IF(OR($C19="",名簿!$F19="転出"),"",IF($C$2="学級ごと",$A19,IF($C$2="前の単元と同じ",単元06!$E19&amp;"",$D19&amp;"")))</f>
        <v/>
      </c>
      <c r="F19" s="150"/>
      <c r="G19" s="150"/>
      <c r="H19" s="150"/>
      <c r="I19" s="151"/>
      <c r="J19" s="41" t="str">
        <f aca="false">IF($E19="","",$E19&amp;"|"&amp;COUNTIF($E$5:$E19,$E19))</f>
        <v/>
      </c>
      <c r="K19" s="40" t="str">
        <f aca="false">IF($I19="","",LEN($I19))</f>
        <v/>
      </c>
      <c r="L19" s="13"/>
      <c r="M19" s="13"/>
      <c r="N19" s="13"/>
      <c r="O19" s="13"/>
      <c r="P19" s="152"/>
      <c r="Q19" s="149"/>
      <c r="R19" s="152"/>
      <c r="S19" s="152"/>
      <c r="T19" s="62" t="str">
        <f aca="false">IF(OR($C19="",R19=""),"",IF(R19/IF($R$2="",100,$R$2)&gt;=設定!$I$28,設定!$G$8,IF(R19/IF($R$2="",100,$R$2)&lt;設定!$I$29,設定!$G$10,設定!$G$9)))</f>
        <v/>
      </c>
      <c r="U19" s="62" t="str">
        <f aca="false">IF(OR($C19="",S19=""),"",IF(S19/IF($S$2="",100,$S$2)&gt;=設定!$I$28,設定!$G$8,IF(S19/IF($S$2="",100,$S$2)&lt;設定!$I$29,設定!$G$10,設定!$G$9)))</f>
        <v/>
      </c>
    </row>
    <row r="20" customFormat="false" ht="21" hidden="false" customHeight="true" outlineLevel="0" collapsed="false">
      <c r="A20" s="91" t="str">
        <f aca="false">IF(名簿!$D20="","",名簿!$B20&amp;"")</f>
        <v/>
      </c>
      <c r="B20" s="91" t="str">
        <f aca="false">IF(名簿!$D20="","",名簿!$C20)</f>
        <v/>
      </c>
      <c r="C20" s="59" t="str">
        <f aca="false">IF(名簿!$D20="","",名簿!$D20&amp;IF(名簿!$F20="転出","（転出）",""))</f>
        <v/>
      </c>
      <c r="D20" s="149"/>
      <c r="E20" s="61" t="str">
        <f aca="false">IF(OR($C20="",名簿!$F20="転出"),"",IF($C$2="学級ごと",$A20,IF($C$2="前の単元と同じ",単元06!$E20&amp;"",$D20&amp;"")))</f>
        <v/>
      </c>
      <c r="F20" s="150"/>
      <c r="G20" s="150"/>
      <c r="H20" s="150"/>
      <c r="I20" s="151"/>
      <c r="J20" s="41" t="str">
        <f aca="false">IF($E20="","",$E20&amp;"|"&amp;COUNTIF($E$5:$E20,$E20))</f>
        <v/>
      </c>
      <c r="K20" s="40" t="str">
        <f aca="false">IF($I20="","",LEN($I20))</f>
        <v/>
      </c>
      <c r="L20" s="13"/>
      <c r="M20" s="13"/>
      <c r="N20" s="13"/>
      <c r="O20" s="13"/>
      <c r="P20" s="152"/>
      <c r="Q20" s="149"/>
      <c r="R20" s="152"/>
      <c r="S20" s="152"/>
      <c r="T20" s="62" t="str">
        <f aca="false">IF(OR($C20="",R20=""),"",IF(R20/IF($R$2="",100,$R$2)&gt;=設定!$I$28,設定!$G$8,IF(R20/IF($R$2="",100,$R$2)&lt;設定!$I$29,設定!$G$10,設定!$G$9)))</f>
        <v/>
      </c>
      <c r="U20" s="62" t="str">
        <f aca="false">IF(OR($C20="",S20=""),"",IF(S20/IF($S$2="",100,$S$2)&gt;=設定!$I$28,設定!$G$8,IF(S20/IF($S$2="",100,$S$2)&lt;設定!$I$29,設定!$G$10,設定!$G$9)))</f>
        <v/>
      </c>
    </row>
    <row r="21" customFormat="false" ht="21" hidden="false" customHeight="true" outlineLevel="0" collapsed="false">
      <c r="A21" s="91" t="str">
        <f aca="false">IF(名簿!$D21="","",名簿!$B21&amp;"")</f>
        <v/>
      </c>
      <c r="B21" s="91" t="str">
        <f aca="false">IF(名簿!$D21="","",名簿!$C21)</f>
        <v/>
      </c>
      <c r="C21" s="59" t="str">
        <f aca="false">IF(名簿!$D21="","",名簿!$D21&amp;IF(名簿!$F21="転出","（転出）",""))</f>
        <v/>
      </c>
      <c r="D21" s="149"/>
      <c r="E21" s="61" t="str">
        <f aca="false">IF(OR($C21="",名簿!$F21="転出"),"",IF($C$2="学級ごと",$A21,IF($C$2="前の単元と同じ",単元06!$E21&amp;"",$D21&amp;"")))</f>
        <v/>
      </c>
      <c r="F21" s="150"/>
      <c r="G21" s="150"/>
      <c r="H21" s="150"/>
      <c r="I21" s="151"/>
      <c r="J21" s="41" t="str">
        <f aca="false">IF($E21="","",$E21&amp;"|"&amp;COUNTIF($E$5:$E21,$E21))</f>
        <v/>
      </c>
      <c r="K21" s="40" t="str">
        <f aca="false">IF($I21="","",LEN($I21))</f>
        <v/>
      </c>
      <c r="L21" s="13"/>
      <c r="M21" s="13"/>
      <c r="N21" s="13"/>
      <c r="O21" s="13"/>
      <c r="P21" s="152"/>
      <c r="Q21" s="149"/>
      <c r="R21" s="152"/>
      <c r="S21" s="152"/>
      <c r="T21" s="62" t="str">
        <f aca="false">IF(OR($C21="",R21=""),"",IF(R21/IF($R$2="",100,$R$2)&gt;=設定!$I$28,設定!$G$8,IF(R21/IF($R$2="",100,$R$2)&lt;設定!$I$29,設定!$G$10,設定!$G$9)))</f>
        <v/>
      </c>
      <c r="U21" s="62" t="str">
        <f aca="false">IF(OR($C21="",S21=""),"",IF(S21/IF($S$2="",100,$S$2)&gt;=設定!$I$28,設定!$G$8,IF(S21/IF($S$2="",100,$S$2)&lt;設定!$I$29,設定!$G$10,設定!$G$9)))</f>
        <v/>
      </c>
    </row>
    <row r="22" customFormat="false" ht="21" hidden="false" customHeight="true" outlineLevel="0" collapsed="false">
      <c r="A22" s="91" t="str">
        <f aca="false">IF(名簿!$D22="","",名簿!$B22&amp;"")</f>
        <v/>
      </c>
      <c r="B22" s="91" t="str">
        <f aca="false">IF(名簿!$D22="","",名簿!$C22)</f>
        <v/>
      </c>
      <c r="C22" s="59" t="str">
        <f aca="false">IF(名簿!$D22="","",名簿!$D22&amp;IF(名簿!$F22="転出","（転出）",""))</f>
        <v/>
      </c>
      <c r="D22" s="149"/>
      <c r="E22" s="61" t="str">
        <f aca="false">IF(OR($C22="",名簿!$F22="転出"),"",IF($C$2="学級ごと",$A22,IF($C$2="前の単元と同じ",単元06!$E22&amp;"",$D22&amp;"")))</f>
        <v/>
      </c>
      <c r="F22" s="150"/>
      <c r="G22" s="150"/>
      <c r="H22" s="150"/>
      <c r="I22" s="151"/>
      <c r="J22" s="41" t="str">
        <f aca="false">IF($E22="","",$E22&amp;"|"&amp;COUNTIF($E$5:$E22,$E22))</f>
        <v/>
      </c>
      <c r="K22" s="40" t="str">
        <f aca="false">IF($I22="","",LEN($I22))</f>
        <v/>
      </c>
      <c r="L22" s="13"/>
      <c r="M22" s="13"/>
      <c r="N22" s="13"/>
      <c r="O22" s="13"/>
      <c r="P22" s="152"/>
      <c r="Q22" s="149"/>
      <c r="R22" s="152"/>
      <c r="S22" s="152"/>
      <c r="T22" s="62" t="str">
        <f aca="false">IF(OR($C22="",R22=""),"",IF(R22/IF($R$2="",100,$R$2)&gt;=設定!$I$28,設定!$G$8,IF(R22/IF($R$2="",100,$R$2)&lt;設定!$I$29,設定!$G$10,設定!$G$9)))</f>
        <v/>
      </c>
      <c r="U22" s="62" t="str">
        <f aca="false">IF(OR($C22="",S22=""),"",IF(S22/IF($S$2="",100,$S$2)&gt;=設定!$I$28,設定!$G$8,IF(S22/IF($S$2="",100,$S$2)&lt;設定!$I$29,設定!$G$10,設定!$G$9)))</f>
        <v/>
      </c>
    </row>
    <row r="23" customFormat="false" ht="21" hidden="false" customHeight="true" outlineLevel="0" collapsed="false">
      <c r="A23" s="91" t="str">
        <f aca="false">IF(名簿!$D23="","",名簿!$B23&amp;"")</f>
        <v/>
      </c>
      <c r="B23" s="91" t="str">
        <f aca="false">IF(名簿!$D23="","",名簿!$C23)</f>
        <v/>
      </c>
      <c r="C23" s="59" t="str">
        <f aca="false">IF(名簿!$D23="","",名簿!$D23&amp;IF(名簿!$F23="転出","（転出）",""))</f>
        <v/>
      </c>
      <c r="D23" s="149"/>
      <c r="E23" s="61" t="str">
        <f aca="false">IF(OR($C23="",名簿!$F23="転出"),"",IF($C$2="学級ごと",$A23,IF($C$2="前の単元と同じ",単元06!$E23&amp;"",$D23&amp;"")))</f>
        <v/>
      </c>
      <c r="F23" s="150"/>
      <c r="G23" s="150"/>
      <c r="H23" s="150"/>
      <c r="I23" s="151"/>
      <c r="J23" s="41" t="str">
        <f aca="false">IF($E23="","",$E23&amp;"|"&amp;COUNTIF($E$5:$E23,$E23))</f>
        <v/>
      </c>
      <c r="K23" s="40" t="str">
        <f aca="false">IF($I23="","",LEN($I23))</f>
        <v/>
      </c>
      <c r="L23" s="13"/>
      <c r="M23" s="13"/>
      <c r="N23" s="13"/>
      <c r="O23" s="13"/>
      <c r="P23" s="152"/>
      <c r="Q23" s="149"/>
      <c r="R23" s="152"/>
      <c r="S23" s="152"/>
      <c r="T23" s="62" t="str">
        <f aca="false">IF(OR($C23="",R23=""),"",IF(R23/IF($R$2="",100,$R$2)&gt;=設定!$I$28,設定!$G$8,IF(R23/IF($R$2="",100,$R$2)&lt;設定!$I$29,設定!$G$10,設定!$G$9)))</f>
        <v/>
      </c>
      <c r="U23" s="62" t="str">
        <f aca="false">IF(OR($C23="",S23=""),"",IF(S23/IF($S$2="",100,$S$2)&gt;=設定!$I$28,設定!$G$8,IF(S23/IF($S$2="",100,$S$2)&lt;設定!$I$29,設定!$G$10,設定!$G$9)))</f>
        <v/>
      </c>
    </row>
    <row r="24" customFormat="false" ht="21" hidden="false" customHeight="true" outlineLevel="0" collapsed="false">
      <c r="A24" s="91" t="str">
        <f aca="false">IF(名簿!$D24="","",名簿!$B24&amp;"")</f>
        <v/>
      </c>
      <c r="B24" s="91" t="str">
        <f aca="false">IF(名簿!$D24="","",名簿!$C24)</f>
        <v/>
      </c>
      <c r="C24" s="59" t="str">
        <f aca="false">IF(名簿!$D24="","",名簿!$D24&amp;IF(名簿!$F24="転出","（転出）",""))</f>
        <v/>
      </c>
      <c r="D24" s="149"/>
      <c r="E24" s="61" t="str">
        <f aca="false">IF(OR($C24="",名簿!$F24="転出"),"",IF($C$2="学級ごと",$A24,IF($C$2="前の単元と同じ",単元06!$E24&amp;"",$D24&amp;"")))</f>
        <v/>
      </c>
      <c r="F24" s="150"/>
      <c r="G24" s="150"/>
      <c r="H24" s="150"/>
      <c r="I24" s="151"/>
      <c r="J24" s="41" t="str">
        <f aca="false">IF($E24="","",$E24&amp;"|"&amp;COUNTIF($E$5:$E24,$E24))</f>
        <v/>
      </c>
      <c r="K24" s="40" t="str">
        <f aca="false">IF($I24="","",LEN($I24))</f>
        <v/>
      </c>
      <c r="L24" s="13"/>
      <c r="M24" s="13"/>
      <c r="N24" s="13"/>
      <c r="O24" s="13"/>
      <c r="P24" s="152"/>
      <c r="Q24" s="149"/>
      <c r="R24" s="152"/>
      <c r="S24" s="152"/>
      <c r="T24" s="62" t="str">
        <f aca="false">IF(OR($C24="",R24=""),"",IF(R24/IF($R$2="",100,$R$2)&gt;=設定!$I$28,設定!$G$8,IF(R24/IF($R$2="",100,$R$2)&lt;設定!$I$29,設定!$G$10,設定!$G$9)))</f>
        <v/>
      </c>
      <c r="U24" s="62" t="str">
        <f aca="false">IF(OR($C24="",S24=""),"",IF(S24/IF($S$2="",100,$S$2)&gt;=設定!$I$28,設定!$G$8,IF(S24/IF($S$2="",100,$S$2)&lt;設定!$I$29,設定!$G$10,設定!$G$9)))</f>
        <v/>
      </c>
    </row>
    <row r="25" customFormat="false" ht="21" hidden="false" customHeight="true" outlineLevel="0" collapsed="false">
      <c r="A25" s="91" t="str">
        <f aca="false">IF(名簿!$D25="","",名簿!$B25&amp;"")</f>
        <v/>
      </c>
      <c r="B25" s="91" t="str">
        <f aca="false">IF(名簿!$D25="","",名簿!$C25)</f>
        <v/>
      </c>
      <c r="C25" s="59" t="str">
        <f aca="false">IF(名簿!$D25="","",名簿!$D25&amp;IF(名簿!$F25="転出","（転出）",""))</f>
        <v/>
      </c>
      <c r="D25" s="149"/>
      <c r="E25" s="61" t="str">
        <f aca="false">IF(OR($C25="",名簿!$F25="転出"),"",IF($C$2="学級ごと",$A25,IF($C$2="前の単元と同じ",単元06!$E25&amp;"",$D25&amp;"")))</f>
        <v/>
      </c>
      <c r="F25" s="150"/>
      <c r="G25" s="150"/>
      <c r="H25" s="150"/>
      <c r="I25" s="151"/>
      <c r="J25" s="41" t="str">
        <f aca="false">IF($E25="","",$E25&amp;"|"&amp;COUNTIF($E$5:$E25,$E25))</f>
        <v/>
      </c>
      <c r="K25" s="40" t="str">
        <f aca="false">IF($I25="","",LEN($I25))</f>
        <v/>
      </c>
      <c r="L25" s="13"/>
      <c r="M25" s="13"/>
      <c r="N25" s="13"/>
      <c r="O25" s="13"/>
      <c r="P25" s="152"/>
      <c r="Q25" s="149"/>
      <c r="R25" s="152"/>
      <c r="S25" s="152"/>
      <c r="T25" s="62" t="str">
        <f aca="false">IF(OR($C25="",R25=""),"",IF(R25/IF($R$2="",100,$R$2)&gt;=設定!$I$28,設定!$G$8,IF(R25/IF($R$2="",100,$R$2)&lt;設定!$I$29,設定!$G$10,設定!$G$9)))</f>
        <v/>
      </c>
      <c r="U25" s="62" t="str">
        <f aca="false">IF(OR($C25="",S25=""),"",IF(S25/IF($S$2="",100,$S$2)&gt;=設定!$I$28,設定!$G$8,IF(S25/IF($S$2="",100,$S$2)&lt;設定!$I$29,設定!$G$10,設定!$G$9)))</f>
        <v/>
      </c>
    </row>
    <row r="26" customFormat="false" ht="21" hidden="false" customHeight="true" outlineLevel="0" collapsed="false">
      <c r="A26" s="91" t="str">
        <f aca="false">IF(名簿!$D26="","",名簿!$B26&amp;"")</f>
        <v/>
      </c>
      <c r="B26" s="91" t="str">
        <f aca="false">IF(名簿!$D26="","",名簿!$C26)</f>
        <v/>
      </c>
      <c r="C26" s="59" t="str">
        <f aca="false">IF(名簿!$D26="","",名簿!$D26&amp;IF(名簿!$F26="転出","（転出）",""))</f>
        <v/>
      </c>
      <c r="D26" s="149"/>
      <c r="E26" s="61" t="str">
        <f aca="false">IF(OR($C26="",名簿!$F26="転出"),"",IF($C$2="学級ごと",$A26,IF($C$2="前の単元と同じ",単元06!$E26&amp;"",$D26&amp;"")))</f>
        <v/>
      </c>
      <c r="F26" s="150"/>
      <c r="G26" s="150"/>
      <c r="H26" s="150"/>
      <c r="I26" s="151"/>
      <c r="J26" s="41" t="str">
        <f aca="false">IF($E26="","",$E26&amp;"|"&amp;COUNTIF($E$5:$E26,$E26))</f>
        <v/>
      </c>
      <c r="K26" s="40" t="str">
        <f aca="false">IF($I26="","",LEN($I26))</f>
        <v/>
      </c>
      <c r="L26" s="13"/>
      <c r="M26" s="13"/>
      <c r="N26" s="13"/>
      <c r="O26" s="13"/>
      <c r="P26" s="152"/>
      <c r="Q26" s="149"/>
      <c r="R26" s="152"/>
      <c r="S26" s="152"/>
      <c r="T26" s="62" t="str">
        <f aca="false">IF(OR($C26="",R26=""),"",IF(R26/IF($R$2="",100,$R$2)&gt;=設定!$I$28,設定!$G$8,IF(R26/IF($R$2="",100,$R$2)&lt;設定!$I$29,設定!$G$10,設定!$G$9)))</f>
        <v/>
      </c>
      <c r="U26" s="62" t="str">
        <f aca="false">IF(OR($C26="",S26=""),"",IF(S26/IF($S$2="",100,$S$2)&gt;=設定!$I$28,設定!$G$8,IF(S26/IF($S$2="",100,$S$2)&lt;設定!$I$29,設定!$G$10,設定!$G$9)))</f>
        <v/>
      </c>
    </row>
    <row r="27" customFormat="false" ht="21" hidden="false" customHeight="true" outlineLevel="0" collapsed="false">
      <c r="A27" s="91" t="str">
        <f aca="false">IF(名簿!$D27="","",名簿!$B27&amp;"")</f>
        <v/>
      </c>
      <c r="B27" s="91" t="str">
        <f aca="false">IF(名簿!$D27="","",名簿!$C27)</f>
        <v/>
      </c>
      <c r="C27" s="59" t="str">
        <f aca="false">IF(名簿!$D27="","",名簿!$D27&amp;IF(名簿!$F27="転出","（転出）",""))</f>
        <v/>
      </c>
      <c r="D27" s="149"/>
      <c r="E27" s="61" t="str">
        <f aca="false">IF(OR($C27="",名簿!$F27="転出"),"",IF($C$2="学級ごと",$A27,IF($C$2="前の単元と同じ",単元06!$E27&amp;"",$D27&amp;"")))</f>
        <v/>
      </c>
      <c r="F27" s="150"/>
      <c r="G27" s="150"/>
      <c r="H27" s="150"/>
      <c r="I27" s="151"/>
      <c r="J27" s="41" t="str">
        <f aca="false">IF($E27="","",$E27&amp;"|"&amp;COUNTIF($E$5:$E27,$E27))</f>
        <v/>
      </c>
      <c r="K27" s="40" t="str">
        <f aca="false">IF($I27="","",LEN($I27))</f>
        <v/>
      </c>
      <c r="L27" s="13"/>
      <c r="M27" s="13"/>
      <c r="N27" s="13"/>
      <c r="O27" s="13"/>
      <c r="P27" s="152"/>
      <c r="Q27" s="149"/>
      <c r="R27" s="152"/>
      <c r="S27" s="152"/>
      <c r="T27" s="62" t="str">
        <f aca="false">IF(OR($C27="",R27=""),"",IF(R27/IF($R$2="",100,$R$2)&gt;=設定!$I$28,設定!$G$8,IF(R27/IF($R$2="",100,$R$2)&lt;設定!$I$29,設定!$G$10,設定!$G$9)))</f>
        <v/>
      </c>
      <c r="U27" s="62" t="str">
        <f aca="false">IF(OR($C27="",S27=""),"",IF(S27/IF($S$2="",100,$S$2)&gt;=設定!$I$28,設定!$G$8,IF(S27/IF($S$2="",100,$S$2)&lt;設定!$I$29,設定!$G$10,設定!$G$9)))</f>
        <v/>
      </c>
    </row>
    <row r="28" customFormat="false" ht="21" hidden="false" customHeight="true" outlineLevel="0" collapsed="false">
      <c r="A28" s="91" t="str">
        <f aca="false">IF(名簿!$D28="","",名簿!$B28&amp;"")</f>
        <v/>
      </c>
      <c r="B28" s="91" t="str">
        <f aca="false">IF(名簿!$D28="","",名簿!$C28)</f>
        <v/>
      </c>
      <c r="C28" s="59" t="str">
        <f aca="false">IF(名簿!$D28="","",名簿!$D28&amp;IF(名簿!$F28="転出","（転出）",""))</f>
        <v/>
      </c>
      <c r="D28" s="149"/>
      <c r="E28" s="61" t="str">
        <f aca="false">IF(OR($C28="",名簿!$F28="転出"),"",IF($C$2="学級ごと",$A28,IF($C$2="前の単元と同じ",単元06!$E28&amp;"",$D28&amp;"")))</f>
        <v/>
      </c>
      <c r="F28" s="150"/>
      <c r="G28" s="150"/>
      <c r="H28" s="150"/>
      <c r="I28" s="151"/>
      <c r="J28" s="41" t="str">
        <f aca="false">IF($E28="","",$E28&amp;"|"&amp;COUNTIF($E$5:$E28,$E28))</f>
        <v/>
      </c>
      <c r="K28" s="40" t="str">
        <f aca="false">IF($I28="","",LEN($I28))</f>
        <v/>
      </c>
      <c r="L28" s="13"/>
      <c r="M28" s="13"/>
      <c r="N28" s="13"/>
      <c r="O28" s="13"/>
      <c r="P28" s="152"/>
      <c r="Q28" s="149"/>
      <c r="R28" s="152"/>
      <c r="S28" s="152"/>
      <c r="T28" s="62" t="str">
        <f aca="false">IF(OR($C28="",R28=""),"",IF(R28/IF($R$2="",100,$R$2)&gt;=設定!$I$28,設定!$G$8,IF(R28/IF($R$2="",100,$R$2)&lt;設定!$I$29,設定!$G$10,設定!$G$9)))</f>
        <v/>
      </c>
      <c r="U28" s="62" t="str">
        <f aca="false">IF(OR($C28="",S28=""),"",IF(S28/IF($S$2="",100,$S$2)&gt;=設定!$I$28,設定!$G$8,IF(S28/IF($S$2="",100,$S$2)&lt;設定!$I$29,設定!$G$10,設定!$G$9)))</f>
        <v/>
      </c>
    </row>
    <row r="29" customFormat="false" ht="21" hidden="false" customHeight="true" outlineLevel="0" collapsed="false">
      <c r="A29" s="91" t="str">
        <f aca="false">IF(名簿!$D29="","",名簿!$B29&amp;"")</f>
        <v/>
      </c>
      <c r="B29" s="91" t="str">
        <f aca="false">IF(名簿!$D29="","",名簿!$C29)</f>
        <v/>
      </c>
      <c r="C29" s="59" t="str">
        <f aca="false">IF(名簿!$D29="","",名簿!$D29&amp;IF(名簿!$F29="転出","（転出）",""))</f>
        <v/>
      </c>
      <c r="D29" s="149"/>
      <c r="E29" s="61" t="str">
        <f aca="false">IF(OR($C29="",名簿!$F29="転出"),"",IF($C$2="学級ごと",$A29,IF($C$2="前の単元と同じ",単元06!$E29&amp;"",$D29&amp;"")))</f>
        <v/>
      </c>
      <c r="F29" s="150"/>
      <c r="G29" s="150"/>
      <c r="H29" s="150"/>
      <c r="I29" s="151"/>
      <c r="J29" s="41" t="str">
        <f aca="false">IF($E29="","",$E29&amp;"|"&amp;COUNTIF($E$5:$E29,$E29))</f>
        <v/>
      </c>
      <c r="K29" s="40" t="str">
        <f aca="false">IF($I29="","",LEN($I29))</f>
        <v/>
      </c>
      <c r="L29" s="13"/>
      <c r="M29" s="13"/>
      <c r="N29" s="13"/>
      <c r="O29" s="13"/>
      <c r="P29" s="152"/>
      <c r="Q29" s="149"/>
      <c r="R29" s="152"/>
      <c r="S29" s="152"/>
      <c r="T29" s="62" t="str">
        <f aca="false">IF(OR($C29="",R29=""),"",IF(R29/IF($R$2="",100,$R$2)&gt;=設定!$I$28,設定!$G$8,IF(R29/IF($R$2="",100,$R$2)&lt;設定!$I$29,設定!$G$10,設定!$G$9)))</f>
        <v/>
      </c>
      <c r="U29" s="62" t="str">
        <f aca="false">IF(OR($C29="",S29=""),"",IF(S29/IF($S$2="",100,$S$2)&gt;=設定!$I$28,設定!$G$8,IF(S29/IF($S$2="",100,$S$2)&lt;設定!$I$29,設定!$G$10,設定!$G$9)))</f>
        <v/>
      </c>
    </row>
    <row r="30" customFormat="false" ht="21" hidden="false" customHeight="true" outlineLevel="0" collapsed="false">
      <c r="A30" s="91" t="str">
        <f aca="false">IF(名簿!$D30="","",名簿!$B30&amp;"")</f>
        <v/>
      </c>
      <c r="B30" s="91" t="str">
        <f aca="false">IF(名簿!$D30="","",名簿!$C30)</f>
        <v/>
      </c>
      <c r="C30" s="59" t="str">
        <f aca="false">IF(名簿!$D30="","",名簿!$D30&amp;IF(名簿!$F30="転出","（転出）",""))</f>
        <v/>
      </c>
      <c r="D30" s="149"/>
      <c r="E30" s="61" t="str">
        <f aca="false">IF(OR($C30="",名簿!$F30="転出"),"",IF($C$2="学級ごと",$A30,IF($C$2="前の単元と同じ",単元06!$E30&amp;"",$D30&amp;"")))</f>
        <v/>
      </c>
      <c r="F30" s="150"/>
      <c r="G30" s="150"/>
      <c r="H30" s="150"/>
      <c r="I30" s="151"/>
      <c r="J30" s="41" t="str">
        <f aca="false">IF($E30="","",$E30&amp;"|"&amp;COUNTIF($E$5:$E30,$E30))</f>
        <v/>
      </c>
      <c r="K30" s="40" t="str">
        <f aca="false">IF($I30="","",LEN($I30))</f>
        <v/>
      </c>
      <c r="L30" s="13"/>
      <c r="M30" s="13"/>
      <c r="N30" s="13"/>
      <c r="O30" s="13"/>
      <c r="P30" s="152"/>
      <c r="Q30" s="149"/>
      <c r="R30" s="152"/>
      <c r="S30" s="152"/>
      <c r="T30" s="62" t="str">
        <f aca="false">IF(OR($C30="",R30=""),"",IF(R30/IF($R$2="",100,$R$2)&gt;=設定!$I$28,設定!$G$8,IF(R30/IF($R$2="",100,$R$2)&lt;設定!$I$29,設定!$G$10,設定!$G$9)))</f>
        <v/>
      </c>
      <c r="U30" s="62" t="str">
        <f aca="false">IF(OR($C30="",S30=""),"",IF(S30/IF($S$2="",100,$S$2)&gt;=設定!$I$28,設定!$G$8,IF(S30/IF($S$2="",100,$S$2)&lt;設定!$I$29,設定!$G$10,設定!$G$9)))</f>
        <v/>
      </c>
    </row>
    <row r="31" customFormat="false" ht="21" hidden="false" customHeight="true" outlineLevel="0" collapsed="false">
      <c r="A31" s="91" t="str">
        <f aca="false">IF(名簿!$D31="","",名簿!$B31&amp;"")</f>
        <v/>
      </c>
      <c r="B31" s="91" t="str">
        <f aca="false">IF(名簿!$D31="","",名簿!$C31)</f>
        <v/>
      </c>
      <c r="C31" s="59" t="str">
        <f aca="false">IF(名簿!$D31="","",名簿!$D31&amp;IF(名簿!$F31="転出","（転出）",""))</f>
        <v/>
      </c>
      <c r="D31" s="149"/>
      <c r="E31" s="61" t="str">
        <f aca="false">IF(OR($C31="",名簿!$F31="転出"),"",IF($C$2="学級ごと",$A31,IF($C$2="前の単元と同じ",単元06!$E31&amp;"",$D31&amp;"")))</f>
        <v/>
      </c>
      <c r="F31" s="150"/>
      <c r="G31" s="150"/>
      <c r="H31" s="150"/>
      <c r="I31" s="151"/>
      <c r="J31" s="41" t="str">
        <f aca="false">IF($E31="","",$E31&amp;"|"&amp;COUNTIF($E$5:$E31,$E31))</f>
        <v/>
      </c>
      <c r="K31" s="40" t="str">
        <f aca="false">IF($I31="","",LEN($I31))</f>
        <v/>
      </c>
      <c r="L31" s="13"/>
      <c r="M31" s="13"/>
      <c r="N31" s="13"/>
      <c r="O31" s="13"/>
      <c r="P31" s="152"/>
      <c r="Q31" s="149"/>
      <c r="R31" s="152"/>
      <c r="S31" s="152"/>
      <c r="T31" s="62" t="str">
        <f aca="false">IF(OR($C31="",R31=""),"",IF(R31/IF($R$2="",100,$R$2)&gt;=設定!$I$28,設定!$G$8,IF(R31/IF($R$2="",100,$R$2)&lt;設定!$I$29,設定!$G$10,設定!$G$9)))</f>
        <v/>
      </c>
      <c r="U31" s="62" t="str">
        <f aca="false">IF(OR($C31="",S31=""),"",IF(S31/IF($S$2="",100,$S$2)&gt;=設定!$I$28,設定!$G$8,IF(S31/IF($S$2="",100,$S$2)&lt;設定!$I$29,設定!$G$10,設定!$G$9)))</f>
        <v/>
      </c>
    </row>
    <row r="32" customFormat="false" ht="21" hidden="false" customHeight="true" outlineLevel="0" collapsed="false">
      <c r="A32" s="91" t="str">
        <f aca="false">IF(名簿!$D32="","",名簿!$B32&amp;"")</f>
        <v/>
      </c>
      <c r="B32" s="91" t="str">
        <f aca="false">IF(名簿!$D32="","",名簿!$C32)</f>
        <v/>
      </c>
      <c r="C32" s="59" t="str">
        <f aca="false">IF(名簿!$D32="","",名簿!$D32&amp;IF(名簿!$F32="転出","（転出）",""))</f>
        <v/>
      </c>
      <c r="D32" s="149"/>
      <c r="E32" s="61" t="str">
        <f aca="false">IF(OR($C32="",名簿!$F32="転出"),"",IF($C$2="学級ごと",$A32,IF($C$2="前の単元と同じ",単元06!$E32&amp;"",$D32&amp;"")))</f>
        <v/>
      </c>
      <c r="F32" s="150"/>
      <c r="G32" s="150"/>
      <c r="H32" s="150"/>
      <c r="I32" s="151"/>
      <c r="J32" s="41" t="str">
        <f aca="false">IF($E32="","",$E32&amp;"|"&amp;COUNTIF($E$5:$E32,$E32))</f>
        <v/>
      </c>
      <c r="K32" s="40" t="str">
        <f aca="false">IF($I32="","",LEN($I32))</f>
        <v/>
      </c>
      <c r="L32" s="13"/>
      <c r="M32" s="13"/>
      <c r="N32" s="13"/>
      <c r="O32" s="13"/>
      <c r="P32" s="152"/>
      <c r="Q32" s="149"/>
      <c r="R32" s="152"/>
      <c r="S32" s="152"/>
      <c r="T32" s="62" t="str">
        <f aca="false">IF(OR($C32="",R32=""),"",IF(R32/IF($R$2="",100,$R$2)&gt;=設定!$I$28,設定!$G$8,IF(R32/IF($R$2="",100,$R$2)&lt;設定!$I$29,設定!$G$10,設定!$G$9)))</f>
        <v/>
      </c>
      <c r="U32" s="62" t="str">
        <f aca="false">IF(OR($C32="",S32=""),"",IF(S32/IF($S$2="",100,$S$2)&gt;=設定!$I$28,設定!$G$8,IF(S32/IF($S$2="",100,$S$2)&lt;設定!$I$29,設定!$G$10,設定!$G$9)))</f>
        <v/>
      </c>
    </row>
    <row r="33" customFormat="false" ht="21" hidden="false" customHeight="true" outlineLevel="0" collapsed="false">
      <c r="A33" s="91" t="str">
        <f aca="false">IF(名簿!$D33="","",名簿!$B33&amp;"")</f>
        <v/>
      </c>
      <c r="B33" s="91" t="str">
        <f aca="false">IF(名簿!$D33="","",名簿!$C33)</f>
        <v/>
      </c>
      <c r="C33" s="59" t="str">
        <f aca="false">IF(名簿!$D33="","",名簿!$D33&amp;IF(名簿!$F33="転出","（転出）",""))</f>
        <v/>
      </c>
      <c r="D33" s="149"/>
      <c r="E33" s="61" t="str">
        <f aca="false">IF(OR($C33="",名簿!$F33="転出"),"",IF($C$2="学級ごと",$A33,IF($C$2="前の単元と同じ",単元06!$E33&amp;"",$D33&amp;"")))</f>
        <v/>
      </c>
      <c r="F33" s="150"/>
      <c r="G33" s="150"/>
      <c r="H33" s="150"/>
      <c r="I33" s="151"/>
      <c r="J33" s="41" t="str">
        <f aca="false">IF($E33="","",$E33&amp;"|"&amp;COUNTIF($E$5:$E33,$E33))</f>
        <v/>
      </c>
      <c r="K33" s="40" t="str">
        <f aca="false">IF($I33="","",LEN($I33))</f>
        <v/>
      </c>
      <c r="L33" s="13"/>
      <c r="M33" s="13"/>
      <c r="N33" s="13"/>
      <c r="O33" s="13"/>
      <c r="P33" s="152"/>
      <c r="Q33" s="149"/>
      <c r="R33" s="152"/>
      <c r="S33" s="152"/>
      <c r="T33" s="62" t="str">
        <f aca="false">IF(OR($C33="",R33=""),"",IF(R33/IF($R$2="",100,$R$2)&gt;=設定!$I$28,設定!$G$8,IF(R33/IF($R$2="",100,$R$2)&lt;設定!$I$29,設定!$G$10,設定!$G$9)))</f>
        <v/>
      </c>
      <c r="U33" s="62" t="str">
        <f aca="false">IF(OR($C33="",S33=""),"",IF(S33/IF($S$2="",100,$S$2)&gt;=設定!$I$28,設定!$G$8,IF(S33/IF($S$2="",100,$S$2)&lt;設定!$I$29,設定!$G$10,設定!$G$9)))</f>
        <v/>
      </c>
    </row>
    <row r="34" customFormat="false" ht="21" hidden="false" customHeight="true" outlineLevel="0" collapsed="false">
      <c r="A34" s="91" t="str">
        <f aca="false">IF(名簿!$D34="","",名簿!$B34&amp;"")</f>
        <v/>
      </c>
      <c r="B34" s="91" t="str">
        <f aca="false">IF(名簿!$D34="","",名簿!$C34)</f>
        <v/>
      </c>
      <c r="C34" s="59" t="str">
        <f aca="false">IF(名簿!$D34="","",名簿!$D34&amp;IF(名簿!$F34="転出","（転出）",""))</f>
        <v/>
      </c>
      <c r="D34" s="149"/>
      <c r="E34" s="61" t="str">
        <f aca="false">IF(OR($C34="",名簿!$F34="転出"),"",IF($C$2="学級ごと",$A34,IF($C$2="前の単元と同じ",単元06!$E34&amp;"",$D34&amp;"")))</f>
        <v/>
      </c>
      <c r="F34" s="150"/>
      <c r="G34" s="150"/>
      <c r="H34" s="150"/>
      <c r="I34" s="151"/>
      <c r="J34" s="41" t="str">
        <f aca="false">IF($E34="","",$E34&amp;"|"&amp;COUNTIF($E$5:$E34,$E34))</f>
        <v/>
      </c>
      <c r="K34" s="40" t="str">
        <f aca="false">IF($I34="","",LEN($I34))</f>
        <v/>
      </c>
      <c r="L34" s="13"/>
      <c r="M34" s="13"/>
      <c r="N34" s="13"/>
      <c r="O34" s="13"/>
      <c r="P34" s="152"/>
      <c r="Q34" s="149"/>
      <c r="R34" s="152"/>
      <c r="S34" s="152"/>
      <c r="T34" s="62" t="str">
        <f aca="false">IF(OR($C34="",R34=""),"",IF(R34/IF($R$2="",100,$R$2)&gt;=設定!$I$28,設定!$G$8,IF(R34/IF($R$2="",100,$R$2)&lt;設定!$I$29,設定!$G$10,設定!$G$9)))</f>
        <v/>
      </c>
      <c r="U34" s="62" t="str">
        <f aca="false">IF(OR($C34="",S34=""),"",IF(S34/IF($S$2="",100,$S$2)&gt;=設定!$I$28,設定!$G$8,IF(S34/IF($S$2="",100,$S$2)&lt;設定!$I$29,設定!$G$10,設定!$G$9)))</f>
        <v/>
      </c>
    </row>
    <row r="35" customFormat="false" ht="21" hidden="false" customHeight="true" outlineLevel="0" collapsed="false">
      <c r="A35" s="91" t="str">
        <f aca="false">IF(名簿!$D35="","",名簿!$B35&amp;"")</f>
        <v/>
      </c>
      <c r="B35" s="91" t="str">
        <f aca="false">IF(名簿!$D35="","",名簿!$C35)</f>
        <v/>
      </c>
      <c r="C35" s="59" t="str">
        <f aca="false">IF(名簿!$D35="","",名簿!$D35&amp;IF(名簿!$F35="転出","（転出）",""))</f>
        <v/>
      </c>
      <c r="D35" s="149"/>
      <c r="E35" s="61" t="str">
        <f aca="false">IF(OR($C35="",名簿!$F35="転出"),"",IF($C$2="学級ごと",$A35,IF($C$2="前の単元と同じ",単元06!$E35&amp;"",$D35&amp;"")))</f>
        <v/>
      </c>
      <c r="F35" s="150"/>
      <c r="G35" s="150"/>
      <c r="H35" s="150"/>
      <c r="I35" s="151"/>
      <c r="J35" s="41" t="str">
        <f aca="false">IF($E35="","",$E35&amp;"|"&amp;COUNTIF($E$5:$E35,$E35))</f>
        <v/>
      </c>
      <c r="K35" s="40" t="str">
        <f aca="false">IF($I35="","",LEN($I35))</f>
        <v/>
      </c>
      <c r="L35" s="13"/>
      <c r="M35" s="13"/>
      <c r="N35" s="13"/>
      <c r="O35" s="13"/>
      <c r="P35" s="152"/>
      <c r="Q35" s="149"/>
      <c r="R35" s="152"/>
      <c r="S35" s="152"/>
      <c r="T35" s="62" t="str">
        <f aca="false">IF(OR($C35="",R35=""),"",IF(R35/IF($R$2="",100,$R$2)&gt;=設定!$I$28,設定!$G$8,IF(R35/IF($R$2="",100,$R$2)&lt;設定!$I$29,設定!$G$10,設定!$G$9)))</f>
        <v/>
      </c>
      <c r="U35" s="62" t="str">
        <f aca="false">IF(OR($C35="",S35=""),"",IF(S35/IF($S$2="",100,$S$2)&gt;=設定!$I$28,設定!$G$8,IF(S35/IF($S$2="",100,$S$2)&lt;設定!$I$29,設定!$G$10,設定!$G$9)))</f>
        <v/>
      </c>
    </row>
    <row r="36" customFormat="false" ht="21" hidden="false" customHeight="true" outlineLevel="0" collapsed="false">
      <c r="A36" s="91" t="str">
        <f aca="false">IF(名簿!$D36="","",名簿!$B36&amp;"")</f>
        <v/>
      </c>
      <c r="B36" s="91" t="str">
        <f aca="false">IF(名簿!$D36="","",名簿!$C36)</f>
        <v/>
      </c>
      <c r="C36" s="59" t="str">
        <f aca="false">IF(名簿!$D36="","",名簿!$D36&amp;IF(名簿!$F36="転出","（転出）",""))</f>
        <v/>
      </c>
      <c r="D36" s="149"/>
      <c r="E36" s="61" t="str">
        <f aca="false">IF(OR($C36="",名簿!$F36="転出"),"",IF($C$2="学級ごと",$A36,IF($C$2="前の単元と同じ",単元06!$E36&amp;"",$D36&amp;"")))</f>
        <v/>
      </c>
      <c r="F36" s="150"/>
      <c r="G36" s="150"/>
      <c r="H36" s="150"/>
      <c r="I36" s="151"/>
      <c r="J36" s="41" t="str">
        <f aca="false">IF($E36="","",$E36&amp;"|"&amp;COUNTIF($E$5:$E36,$E36))</f>
        <v/>
      </c>
      <c r="K36" s="40" t="str">
        <f aca="false">IF($I36="","",LEN($I36))</f>
        <v/>
      </c>
      <c r="L36" s="13"/>
      <c r="M36" s="13"/>
      <c r="N36" s="13"/>
      <c r="O36" s="13"/>
      <c r="P36" s="152"/>
      <c r="Q36" s="149"/>
      <c r="R36" s="152"/>
      <c r="S36" s="152"/>
      <c r="T36" s="62" t="str">
        <f aca="false">IF(OR($C36="",R36=""),"",IF(R36/IF($R$2="",100,$R$2)&gt;=設定!$I$28,設定!$G$8,IF(R36/IF($R$2="",100,$R$2)&lt;設定!$I$29,設定!$G$10,設定!$G$9)))</f>
        <v/>
      </c>
      <c r="U36" s="62" t="str">
        <f aca="false">IF(OR($C36="",S36=""),"",IF(S36/IF($S$2="",100,$S$2)&gt;=設定!$I$28,設定!$G$8,IF(S36/IF($S$2="",100,$S$2)&lt;設定!$I$29,設定!$G$10,設定!$G$9)))</f>
        <v/>
      </c>
    </row>
    <row r="37" customFormat="false" ht="21" hidden="false" customHeight="true" outlineLevel="0" collapsed="false">
      <c r="A37" s="91" t="str">
        <f aca="false">IF(名簿!$D37="","",名簿!$B37&amp;"")</f>
        <v/>
      </c>
      <c r="B37" s="91" t="str">
        <f aca="false">IF(名簿!$D37="","",名簿!$C37)</f>
        <v/>
      </c>
      <c r="C37" s="59" t="str">
        <f aca="false">IF(名簿!$D37="","",名簿!$D37&amp;IF(名簿!$F37="転出","（転出）",""))</f>
        <v/>
      </c>
      <c r="D37" s="149"/>
      <c r="E37" s="61" t="str">
        <f aca="false">IF(OR($C37="",名簿!$F37="転出"),"",IF($C$2="学級ごと",$A37,IF($C$2="前の単元と同じ",単元06!$E37&amp;"",$D37&amp;"")))</f>
        <v/>
      </c>
      <c r="F37" s="150"/>
      <c r="G37" s="150"/>
      <c r="H37" s="150"/>
      <c r="I37" s="151"/>
      <c r="J37" s="41" t="str">
        <f aca="false">IF($E37="","",$E37&amp;"|"&amp;COUNTIF($E$5:$E37,$E37))</f>
        <v/>
      </c>
      <c r="K37" s="40" t="str">
        <f aca="false">IF($I37="","",LEN($I37))</f>
        <v/>
      </c>
      <c r="L37" s="13"/>
      <c r="M37" s="13"/>
      <c r="N37" s="13"/>
      <c r="O37" s="13"/>
      <c r="P37" s="152"/>
      <c r="Q37" s="149"/>
      <c r="R37" s="152"/>
      <c r="S37" s="152"/>
      <c r="T37" s="62" t="str">
        <f aca="false">IF(OR($C37="",R37=""),"",IF(R37/IF($R$2="",100,$R$2)&gt;=設定!$I$28,設定!$G$8,IF(R37/IF($R$2="",100,$R$2)&lt;設定!$I$29,設定!$G$10,設定!$G$9)))</f>
        <v/>
      </c>
      <c r="U37" s="62" t="str">
        <f aca="false">IF(OR($C37="",S37=""),"",IF(S37/IF($S$2="",100,$S$2)&gt;=設定!$I$28,設定!$G$8,IF(S37/IF($S$2="",100,$S$2)&lt;設定!$I$29,設定!$G$10,設定!$G$9)))</f>
        <v/>
      </c>
    </row>
    <row r="38" customFormat="false" ht="21" hidden="false" customHeight="true" outlineLevel="0" collapsed="false">
      <c r="A38" s="91" t="str">
        <f aca="false">IF(名簿!$D38="","",名簿!$B38&amp;"")</f>
        <v/>
      </c>
      <c r="B38" s="91" t="str">
        <f aca="false">IF(名簿!$D38="","",名簿!$C38)</f>
        <v/>
      </c>
      <c r="C38" s="59" t="str">
        <f aca="false">IF(名簿!$D38="","",名簿!$D38&amp;IF(名簿!$F38="転出","（転出）",""))</f>
        <v/>
      </c>
      <c r="D38" s="149"/>
      <c r="E38" s="61" t="str">
        <f aca="false">IF(OR($C38="",名簿!$F38="転出"),"",IF($C$2="学級ごと",$A38,IF($C$2="前の単元と同じ",単元06!$E38&amp;"",$D38&amp;"")))</f>
        <v/>
      </c>
      <c r="F38" s="150"/>
      <c r="G38" s="150"/>
      <c r="H38" s="150"/>
      <c r="I38" s="151"/>
      <c r="J38" s="41" t="str">
        <f aca="false">IF($E38="","",$E38&amp;"|"&amp;COUNTIF($E$5:$E38,$E38))</f>
        <v/>
      </c>
      <c r="K38" s="40" t="str">
        <f aca="false">IF($I38="","",LEN($I38))</f>
        <v/>
      </c>
      <c r="L38" s="13"/>
      <c r="M38" s="13"/>
      <c r="N38" s="13"/>
      <c r="O38" s="13"/>
      <c r="P38" s="152"/>
      <c r="Q38" s="149"/>
      <c r="R38" s="152"/>
      <c r="S38" s="152"/>
      <c r="T38" s="62" t="str">
        <f aca="false">IF(OR($C38="",R38=""),"",IF(R38/IF($R$2="",100,$R$2)&gt;=設定!$I$28,設定!$G$8,IF(R38/IF($R$2="",100,$R$2)&lt;設定!$I$29,設定!$G$10,設定!$G$9)))</f>
        <v/>
      </c>
      <c r="U38" s="62" t="str">
        <f aca="false">IF(OR($C38="",S38=""),"",IF(S38/IF($S$2="",100,$S$2)&gt;=設定!$I$28,設定!$G$8,IF(S38/IF($S$2="",100,$S$2)&lt;設定!$I$29,設定!$G$10,設定!$G$9)))</f>
        <v/>
      </c>
    </row>
    <row r="39" customFormat="false" ht="21" hidden="false" customHeight="true" outlineLevel="0" collapsed="false">
      <c r="A39" s="91" t="str">
        <f aca="false">IF(名簿!$D39="","",名簿!$B39&amp;"")</f>
        <v/>
      </c>
      <c r="B39" s="91" t="str">
        <f aca="false">IF(名簿!$D39="","",名簿!$C39)</f>
        <v/>
      </c>
      <c r="C39" s="59" t="str">
        <f aca="false">IF(名簿!$D39="","",名簿!$D39&amp;IF(名簿!$F39="転出","（転出）",""))</f>
        <v/>
      </c>
      <c r="D39" s="149"/>
      <c r="E39" s="61" t="str">
        <f aca="false">IF(OR($C39="",名簿!$F39="転出"),"",IF($C$2="学級ごと",$A39,IF($C$2="前の単元と同じ",単元06!$E39&amp;"",$D39&amp;"")))</f>
        <v/>
      </c>
      <c r="F39" s="150"/>
      <c r="G39" s="150"/>
      <c r="H39" s="150"/>
      <c r="I39" s="151"/>
      <c r="J39" s="41" t="str">
        <f aca="false">IF($E39="","",$E39&amp;"|"&amp;COUNTIF($E$5:$E39,$E39))</f>
        <v/>
      </c>
      <c r="K39" s="40" t="str">
        <f aca="false">IF($I39="","",LEN($I39))</f>
        <v/>
      </c>
      <c r="L39" s="13"/>
      <c r="M39" s="13"/>
      <c r="N39" s="13"/>
      <c r="O39" s="13"/>
      <c r="P39" s="152"/>
      <c r="Q39" s="149"/>
      <c r="R39" s="152"/>
      <c r="S39" s="152"/>
      <c r="T39" s="62" t="str">
        <f aca="false">IF(OR($C39="",R39=""),"",IF(R39/IF($R$2="",100,$R$2)&gt;=設定!$I$28,設定!$G$8,IF(R39/IF($R$2="",100,$R$2)&lt;設定!$I$29,設定!$G$10,設定!$G$9)))</f>
        <v/>
      </c>
      <c r="U39" s="62" t="str">
        <f aca="false">IF(OR($C39="",S39=""),"",IF(S39/IF($S$2="",100,$S$2)&gt;=設定!$I$28,設定!$G$8,IF(S39/IF($S$2="",100,$S$2)&lt;設定!$I$29,設定!$G$10,設定!$G$9)))</f>
        <v/>
      </c>
    </row>
    <row r="40" customFormat="false" ht="21" hidden="false" customHeight="true" outlineLevel="0" collapsed="false">
      <c r="A40" s="91" t="str">
        <f aca="false">IF(名簿!$D40="","",名簿!$B40&amp;"")</f>
        <v/>
      </c>
      <c r="B40" s="91" t="str">
        <f aca="false">IF(名簿!$D40="","",名簿!$C40)</f>
        <v/>
      </c>
      <c r="C40" s="59" t="str">
        <f aca="false">IF(名簿!$D40="","",名簿!$D40&amp;IF(名簿!$F40="転出","（転出）",""))</f>
        <v/>
      </c>
      <c r="D40" s="149"/>
      <c r="E40" s="61" t="str">
        <f aca="false">IF(OR($C40="",名簿!$F40="転出"),"",IF($C$2="学級ごと",$A40,IF($C$2="前の単元と同じ",単元06!$E40&amp;"",$D40&amp;"")))</f>
        <v/>
      </c>
      <c r="F40" s="150"/>
      <c r="G40" s="150"/>
      <c r="H40" s="150"/>
      <c r="I40" s="151"/>
      <c r="J40" s="41" t="str">
        <f aca="false">IF($E40="","",$E40&amp;"|"&amp;COUNTIF($E$5:$E40,$E40))</f>
        <v/>
      </c>
      <c r="K40" s="40" t="str">
        <f aca="false">IF($I40="","",LEN($I40))</f>
        <v/>
      </c>
      <c r="L40" s="13"/>
      <c r="M40" s="13"/>
      <c r="N40" s="13"/>
      <c r="O40" s="13"/>
      <c r="P40" s="152"/>
      <c r="Q40" s="149"/>
      <c r="R40" s="152"/>
      <c r="S40" s="152"/>
      <c r="T40" s="62" t="str">
        <f aca="false">IF(OR($C40="",R40=""),"",IF(R40/IF($R$2="",100,$R$2)&gt;=設定!$I$28,設定!$G$8,IF(R40/IF($R$2="",100,$R$2)&lt;設定!$I$29,設定!$G$10,設定!$G$9)))</f>
        <v/>
      </c>
      <c r="U40" s="62" t="str">
        <f aca="false">IF(OR($C40="",S40=""),"",IF(S40/IF($S$2="",100,$S$2)&gt;=設定!$I$28,設定!$G$8,IF(S40/IF($S$2="",100,$S$2)&lt;設定!$I$29,設定!$G$10,設定!$G$9)))</f>
        <v/>
      </c>
    </row>
    <row r="41" customFormat="false" ht="21" hidden="false" customHeight="true" outlineLevel="0" collapsed="false">
      <c r="A41" s="91" t="str">
        <f aca="false">IF(名簿!$D41="","",名簿!$B41&amp;"")</f>
        <v/>
      </c>
      <c r="B41" s="91" t="str">
        <f aca="false">IF(名簿!$D41="","",名簿!$C41)</f>
        <v/>
      </c>
      <c r="C41" s="59" t="str">
        <f aca="false">IF(名簿!$D41="","",名簿!$D41&amp;IF(名簿!$F41="転出","（転出）",""))</f>
        <v/>
      </c>
      <c r="D41" s="149"/>
      <c r="E41" s="61" t="str">
        <f aca="false">IF(OR($C41="",名簿!$F41="転出"),"",IF($C$2="学級ごと",$A41,IF($C$2="前の単元と同じ",単元06!$E41&amp;"",$D41&amp;"")))</f>
        <v/>
      </c>
      <c r="F41" s="150"/>
      <c r="G41" s="150"/>
      <c r="H41" s="150"/>
      <c r="I41" s="151"/>
      <c r="J41" s="41" t="str">
        <f aca="false">IF($E41="","",$E41&amp;"|"&amp;COUNTIF($E$5:$E41,$E41))</f>
        <v/>
      </c>
      <c r="K41" s="40" t="str">
        <f aca="false">IF($I41="","",LEN($I41))</f>
        <v/>
      </c>
      <c r="L41" s="13"/>
      <c r="M41" s="13"/>
      <c r="N41" s="13"/>
      <c r="O41" s="13"/>
      <c r="P41" s="152"/>
      <c r="Q41" s="149"/>
      <c r="R41" s="152"/>
      <c r="S41" s="152"/>
      <c r="T41" s="62" t="str">
        <f aca="false">IF(OR($C41="",R41=""),"",IF(R41/IF($R$2="",100,$R$2)&gt;=設定!$I$28,設定!$G$8,IF(R41/IF($R$2="",100,$R$2)&lt;設定!$I$29,設定!$G$10,設定!$G$9)))</f>
        <v/>
      </c>
      <c r="U41" s="62" t="str">
        <f aca="false">IF(OR($C41="",S41=""),"",IF(S41/IF($S$2="",100,$S$2)&gt;=設定!$I$28,設定!$G$8,IF(S41/IF($S$2="",100,$S$2)&lt;設定!$I$29,設定!$G$10,設定!$G$9)))</f>
        <v/>
      </c>
    </row>
    <row r="42" customFormat="false" ht="21" hidden="false" customHeight="true" outlineLevel="0" collapsed="false">
      <c r="A42" s="91" t="str">
        <f aca="false">IF(名簿!$D42="","",名簿!$B42&amp;"")</f>
        <v/>
      </c>
      <c r="B42" s="91" t="str">
        <f aca="false">IF(名簿!$D42="","",名簿!$C42)</f>
        <v/>
      </c>
      <c r="C42" s="59" t="str">
        <f aca="false">IF(名簿!$D42="","",名簿!$D42&amp;IF(名簿!$F42="転出","（転出）",""))</f>
        <v/>
      </c>
      <c r="D42" s="149"/>
      <c r="E42" s="61" t="str">
        <f aca="false">IF(OR($C42="",名簿!$F42="転出"),"",IF($C$2="学級ごと",$A42,IF($C$2="前の単元と同じ",単元06!$E42&amp;"",$D42&amp;"")))</f>
        <v/>
      </c>
      <c r="F42" s="150"/>
      <c r="G42" s="150"/>
      <c r="H42" s="150"/>
      <c r="I42" s="151"/>
      <c r="J42" s="41" t="str">
        <f aca="false">IF($E42="","",$E42&amp;"|"&amp;COUNTIF($E$5:$E42,$E42))</f>
        <v/>
      </c>
      <c r="K42" s="40" t="str">
        <f aca="false">IF($I42="","",LEN($I42))</f>
        <v/>
      </c>
      <c r="L42" s="13"/>
      <c r="M42" s="13"/>
      <c r="N42" s="13"/>
      <c r="O42" s="13"/>
      <c r="P42" s="152"/>
      <c r="Q42" s="149"/>
      <c r="R42" s="152"/>
      <c r="S42" s="152"/>
      <c r="T42" s="62" t="str">
        <f aca="false">IF(OR($C42="",R42=""),"",IF(R42/IF($R$2="",100,$R$2)&gt;=設定!$I$28,設定!$G$8,IF(R42/IF($R$2="",100,$R$2)&lt;設定!$I$29,設定!$G$10,設定!$G$9)))</f>
        <v/>
      </c>
      <c r="U42" s="62" t="str">
        <f aca="false">IF(OR($C42="",S42=""),"",IF(S42/IF($S$2="",100,$S$2)&gt;=設定!$I$28,設定!$G$8,IF(S42/IF($S$2="",100,$S$2)&lt;設定!$I$29,設定!$G$10,設定!$G$9)))</f>
        <v/>
      </c>
    </row>
    <row r="43" customFormat="false" ht="21" hidden="false" customHeight="true" outlineLevel="0" collapsed="false">
      <c r="A43" s="91" t="str">
        <f aca="false">IF(名簿!$D43="","",名簿!$B43&amp;"")</f>
        <v/>
      </c>
      <c r="B43" s="91" t="str">
        <f aca="false">IF(名簿!$D43="","",名簿!$C43)</f>
        <v/>
      </c>
      <c r="C43" s="59" t="str">
        <f aca="false">IF(名簿!$D43="","",名簿!$D43&amp;IF(名簿!$F43="転出","（転出）",""))</f>
        <v/>
      </c>
      <c r="D43" s="149"/>
      <c r="E43" s="61" t="str">
        <f aca="false">IF(OR($C43="",名簿!$F43="転出"),"",IF($C$2="学級ごと",$A43,IF($C$2="前の単元と同じ",単元06!$E43&amp;"",$D43&amp;"")))</f>
        <v/>
      </c>
      <c r="F43" s="150"/>
      <c r="G43" s="150"/>
      <c r="H43" s="150"/>
      <c r="I43" s="151"/>
      <c r="J43" s="41" t="str">
        <f aca="false">IF($E43="","",$E43&amp;"|"&amp;COUNTIF($E$5:$E43,$E43))</f>
        <v/>
      </c>
      <c r="K43" s="40" t="str">
        <f aca="false">IF($I43="","",LEN($I43))</f>
        <v/>
      </c>
      <c r="L43" s="13"/>
      <c r="M43" s="13"/>
      <c r="N43" s="13"/>
      <c r="O43" s="13"/>
      <c r="P43" s="152"/>
      <c r="Q43" s="149"/>
      <c r="R43" s="152"/>
      <c r="S43" s="152"/>
      <c r="T43" s="62" t="str">
        <f aca="false">IF(OR($C43="",R43=""),"",IF(R43/IF($R$2="",100,$R$2)&gt;=設定!$I$28,設定!$G$8,IF(R43/IF($R$2="",100,$R$2)&lt;設定!$I$29,設定!$G$10,設定!$G$9)))</f>
        <v/>
      </c>
      <c r="U43" s="62" t="str">
        <f aca="false">IF(OR($C43="",S43=""),"",IF(S43/IF($S$2="",100,$S$2)&gt;=設定!$I$28,設定!$G$8,IF(S43/IF($S$2="",100,$S$2)&lt;設定!$I$29,設定!$G$10,設定!$G$9)))</f>
        <v/>
      </c>
    </row>
    <row r="44" customFormat="false" ht="21" hidden="false" customHeight="true" outlineLevel="0" collapsed="false">
      <c r="A44" s="91" t="str">
        <f aca="false">IF(名簿!$D44="","",名簿!$B44&amp;"")</f>
        <v/>
      </c>
      <c r="B44" s="91" t="str">
        <f aca="false">IF(名簿!$D44="","",名簿!$C44)</f>
        <v/>
      </c>
      <c r="C44" s="59" t="str">
        <f aca="false">IF(名簿!$D44="","",名簿!$D44&amp;IF(名簿!$F44="転出","（転出）",""))</f>
        <v/>
      </c>
      <c r="D44" s="149"/>
      <c r="E44" s="61" t="str">
        <f aca="false">IF(OR($C44="",名簿!$F44="転出"),"",IF($C$2="学級ごと",$A44,IF($C$2="前の単元と同じ",単元06!$E44&amp;"",$D44&amp;"")))</f>
        <v/>
      </c>
      <c r="F44" s="150"/>
      <c r="G44" s="150"/>
      <c r="H44" s="150"/>
      <c r="I44" s="151"/>
      <c r="J44" s="41" t="str">
        <f aca="false">IF($E44="","",$E44&amp;"|"&amp;COUNTIF($E$5:$E44,$E44))</f>
        <v/>
      </c>
      <c r="K44" s="40" t="str">
        <f aca="false">IF($I44="","",LEN($I44))</f>
        <v/>
      </c>
      <c r="L44" s="13"/>
      <c r="M44" s="13"/>
      <c r="N44" s="13"/>
      <c r="O44" s="13"/>
      <c r="P44" s="152"/>
      <c r="Q44" s="149"/>
      <c r="R44" s="152"/>
      <c r="S44" s="152"/>
      <c r="T44" s="62" t="str">
        <f aca="false">IF(OR($C44="",R44=""),"",IF(R44/IF($R$2="",100,$R$2)&gt;=設定!$I$28,設定!$G$8,IF(R44/IF($R$2="",100,$R$2)&lt;設定!$I$29,設定!$G$10,設定!$G$9)))</f>
        <v/>
      </c>
      <c r="U44" s="62" t="str">
        <f aca="false">IF(OR($C44="",S44=""),"",IF(S44/IF($S$2="",100,$S$2)&gt;=設定!$I$28,設定!$G$8,IF(S44/IF($S$2="",100,$S$2)&lt;設定!$I$29,設定!$G$10,設定!$G$9)))</f>
        <v/>
      </c>
    </row>
    <row r="45" customFormat="false" ht="21" hidden="false" customHeight="true" outlineLevel="0" collapsed="false">
      <c r="A45" s="91" t="str">
        <f aca="false">IF(名簿!$D45="","",名簿!$B45&amp;"")</f>
        <v/>
      </c>
      <c r="B45" s="91" t="str">
        <f aca="false">IF(名簿!$D45="","",名簿!$C45)</f>
        <v/>
      </c>
      <c r="C45" s="59" t="str">
        <f aca="false">IF(名簿!$D45="","",名簿!$D45&amp;IF(名簿!$F45="転出","（転出）",""))</f>
        <v/>
      </c>
      <c r="D45" s="149"/>
      <c r="E45" s="61" t="str">
        <f aca="false">IF(OR($C45="",名簿!$F45="転出"),"",IF($C$2="学級ごと",$A45,IF($C$2="前の単元と同じ",単元06!$E45&amp;"",$D45&amp;"")))</f>
        <v/>
      </c>
      <c r="F45" s="150"/>
      <c r="G45" s="150"/>
      <c r="H45" s="150"/>
      <c r="I45" s="151"/>
      <c r="J45" s="41" t="str">
        <f aca="false">IF($E45="","",$E45&amp;"|"&amp;COUNTIF($E$5:$E45,$E45))</f>
        <v/>
      </c>
      <c r="K45" s="40" t="str">
        <f aca="false">IF($I45="","",LEN($I45))</f>
        <v/>
      </c>
      <c r="L45" s="13"/>
      <c r="M45" s="13"/>
      <c r="N45" s="13"/>
      <c r="O45" s="13"/>
      <c r="P45" s="152"/>
      <c r="Q45" s="149"/>
      <c r="R45" s="152"/>
      <c r="S45" s="152"/>
      <c r="T45" s="62" t="str">
        <f aca="false">IF(OR($C45="",R45=""),"",IF(R45/IF($R$2="",100,$R$2)&gt;=設定!$I$28,設定!$G$8,IF(R45/IF($R$2="",100,$R$2)&lt;設定!$I$29,設定!$G$10,設定!$G$9)))</f>
        <v/>
      </c>
      <c r="U45" s="62" t="str">
        <f aca="false">IF(OR($C45="",S45=""),"",IF(S45/IF($S$2="",100,$S$2)&gt;=設定!$I$28,設定!$G$8,IF(S45/IF($S$2="",100,$S$2)&lt;設定!$I$29,設定!$G$10,設定!$G$9)))</f>
        <v/>
      </c>
    </row>
    <row r="46" customFormat="false" ht="21" hidden="false" customHeight="true" outlineLevel="0" collapsed="false">
      <c r="A46" s="91" t="str">
        <f aca="false">IF(名簿!$D46="","",名簿!$B46&amp;"")</f>
        <v/>
      </c>
      <c r="B46" s="91" t="str">
        <f aca="false">IF(名簿!$D46="","",名簿!$C46)</f>
        <v/>
      </c>
      <c r="C46" s="59" t="str">
        <f aca="false">IF(名簿!$D46="","",名簿!$D46&amp;IF(名簿!$F46="転出","（転出）",""))</f>
        <v/>
      </c>
      <c r="D46" s="149"/>
      <c r="E46" s="61" t="str">
        <f aca="false">IF(OR($C46="",名簿!$F46="転出"),"",IF($C$2="学級ごと",$A46,IF($C$2="前の単元と同じ",単元06!$E46&amp;"",$D46&amp;"")))</f>
        <v/>
      </c>
      <c r="F46" s="150"/>
      <c r="G46" s="150"/>
      <c r="H46" s="150"/>
      <c r="I46" s="151"/>
      <c r="J46" s="41" t="str">
        <f aca="false">IF($E46="","",$E46&amp;"|"&amp;COUNTIF($E$5:$E46,$E46))</f>
        <v/>
      </c>
      <c r="K46" s="40" t="str">
        <f aca="false">IF($I46="","",LEN($I46))</f>
        <v/>
      </c>
      <c r="L46" s="13"/>
      <c r="M46" s="13"/>
      <c r="N46" s="13"/>
      <c r="O46" s="13"/>
      <c r="P46" s="152"/>
      <c r="Q46" s="149"/>
      <c r="R46" s="152"/>
      <c r="S46" s="152"/>
      <c r="T46" s="62" t="str">
        <f aca="false">IF(OR($C46="",R46=""),"",IF(R46/IF($R$2="",100,$R$2)&gt;=設定!$I$28,設定!$G$8,IF(R46/IF($R$2="",100,$R$2)&lt;設定!$I$29,設定!$G$10,設定!$G$9)))</f>
        <v/>
      </c>
      <c r="U46" s="62" t="str">
        <f aca="false">IF(OR($C46="",S46=""),"",IF(S46/IF($S$2="",100,$S$2)&gt;=設定!$I$28,設定!$G$8,IF(S46/IF($S$2="",100,$S$2)&lt;設定!$I$29,設定!$G$10,設定!$G$9)))</f>
        <v/>
      </c>
    </row>
    <row r="47" customFormat="false" ht="21" hidden="false" customHeight="true" outlineLevel="0" collapsed="false">
      <c r="A47" s="91" t="str">
        <f aca="false">IF(名簿!$D47="","",名簿!$B47&amp;"")</f>
        <v/>
      </c>
      <c r="B47" s="91" t="str">
        <f aca="false">IF(名簿!$D47="","",名簿!$C47)</f>
        <v/>
      </c>
      <c r="C47" s="59" t="str">
        <f aca="false">IF(名簿!$D47="","",名簿!$D47&amp;IF(名簿!$F47="転出","（転出）",""))</f>
        <v/>
      </c>
      <c r="D47" s="149"/>
      <c r="E47" s="61" t="str">
        <f aca="false">IF(OR($C47="",名簿!$F47="転出"),"",IF($C$2="学級ごと",$A47,IF($C$2="前の単元と同じ",単元06!$E47&amp;"",$D47&amp;"")))</f>
        <v/>
      </c>
      <c r="F47" s="150"/>
      <c r="G47" s="150"/>
      <c r="H47" s="150"/>
      <c r="I47" s="151"/>
      <c r="J47" s="41" t="str">
        <f aca="false">IF($E47="","",$E47&amp;"|"&amp;COUNTIF($E$5:$E47,$E47))</f>
        <v/>
      </c>
      <c r="K47" s="40" t="str">
        <f aca="false">IF($I47="","",LEN($I47))</f>
        <v/>
      </c>
      <c r="L47" s="13"/>
      <c r="M47" s="13"/>
      <c r="N47" s="13"/>
      <c r="O47" s="13"/>
      <c r="P47" s="152"/>
      <c r="Q47" s="149"/>
      <c r="R47" s="152"/>
      <c r="S47" s="152"/>
      <c r="T47" s="62" t="str">
        <f aca="false">IF(OR($C47="",R47=""),"",IF(R47/IF($R$2="",100,$R$2)&gt;=設定!$I$28,設定!$G$8,IF(R47/IF($R$2="",100,$R$2)&lt;設定!$I$29,設定!$G$10,設定!$G$9)))</f>
        <v/>
      </c>
      <c r="U47" s="62" t="str">
        <f aca="false">IF(OR($C47="",S47=""),"",IF(S47/IF($S$2="",100,$S$2)&gt;=設定!$I$28,設定!$G$8,IF(S47/IF($S$2="",100,$S$2)&lt;設定!$I$29,設定!$G$10,設定!$G$9)))</f>
        <v/>
      </c>
    </row>
    <row r="48" customFormat="false" ht="21" hidden="false" customHeight="true" outlineLevel="0" collapsed="false">
      <c r="A48" s="91" t="str">
        <f aca="false">IF(名簿!$D48="","",名簿!$B48&amp;"")</f>
        <v/>
      </c>
      <c r="B48" s="91" t="str">
        <f aca="false">IF(名簿!$D48="","",名簿!$C48)</f>
        <v/>
      </c>
      <c r="C48" s="59" t="str">
        <f aca="false">IF(名簿!$D48="","",名簿!$D48&amp;IF(名簿!$F48="転出","（転出）",""))</f>
        <v/>
      </c>
      <c r="D48" s="149"/>
      <c r="E48" s="61" t="str">
        <f aca="false">IF(OR($C48="",名簿!$F48="転出"),"",IF($C$2="学級ごと",$A48,IF($C$2="前の単元と同じ",単元06!$E48&amp;"",$D48&amp;"")))</f>
        <v/>
      </c>
      <c r="F48" s="150"/>
      <c r="G48" s="150"/>
      <c r="H48" s="150"/>
      <c r="I48" s="151"/>
      <c r="J48" s="41" t="str">
        <f aca="false">IF($E48="","",$E48&amp;"|"&amp;COUNTIF($E$5:$E48,$E48))</f>
        <v/>
      </c>
      <c r="K48" s="40" t="str">
        <f aca="false">IF($I48="","",LEN($I48))</f>
        <v/>
      </c>
      <c r="L48" s="13"/>
      <c r="M48" s="13"/>
      <c r="N48" s="13"/>
      <c r="O48" s="13"/>
      <c r="P48" s="152"/>
      <c r="Q48" s="149"/>
      <c r="R48" s="152"/>
      <c r="S48" s="152"/>
      <c r="T48" s="62" t="str">
        <f aca="false">IF(OR($C48="",R48=""),"",IF(R48/IF($R$2="",100,$R$2)&gt;=設定!$I$28,設定!$G$8,IF(R48/IF($R$2="",100,$R$2)&lt;設定!$I$29,設定!$G$10,設定!$G$9)))</f>
        <v/>
      </c>
      <c r="U48" s="62" t="str">
        <f aca="false">IF(OR($C48="",S48=""),"",IF(S48/IF($S$2="",100,$S$2)&gt;=設定!$I$28,設定!$G$8,IF(S48/IF($S$2="",100,$S$2)&lt;設定!$I$29,設定!$G$10,設定!$G$9)))</f>
        <v/>
      </c>
    </row>
    <row r="49" customFormat="false" ht="21" hidden="false" customHeight="true" outlineLevel="0" collapsed="false">
      <c r="A49" s="91" t="str">
        <f aca="false">IF(名簿!$D49="","",名簿!$B49&amp;"")</f>
        <v/>
      </c>
      <c r="B49" s="91" t="str">
        <f aca="false">IF(名簿!$D49="","",名簿!$C49)</f>
        <v/>
      </c>
      <c r="C49" s="59" t="str">
        <f aca="false">IF(名簿!$D49="","",名簿!$D49&amp;IF(名簿!$F49="転出","（転出）",""))</f>
        <v/>
      </c>
      <c r="D49" s="149"/>
      <c r="E49" s="61" t="str">
        <f aca="false">IF(OR($C49="",名簿!$F49="転出"),"",IF($C$2="学級ごと",$A49,IF($C$2="前の単元と同じ",単元06!$E49&amp;"",$D49&amp;"")))</f>
        <v/>
      </c>
      <c r="F49" s="150"/>
      <c r="G49" s="150"/>
      <c r="H49" s="150"/>
      <c r="I49" s="151"/>
      <c r="J49" s="41" t="str">
        <f aca="false">IF($E49="","",$E49&amp;"|"&amp;COUNTIF($E$5:$E49,$E49))</f>
        <v/>
      </c>
      <c r="K49" s="40" t="str">
        <f aca="false">IF($I49="","",LEN($I49))</f>
        <v/>
      </c>
      <c r="L49" s="13"/>
      <c r="M49" s="13"/>
      <c r="N49" s="13"/>
      <c r="O49" s="13"/>
      <c r="P49" s="152"/>
      <c r="Q49" s="149"/>
      <c r="R49" s="152"/>
      <c r="S49" s="152"/>
      <c r="T49" s="62" t="str">
        <f aca="false">IF(OR($C49="",R49=""),"",IF(R49/IF($R$2="",100,$R$2)&gt;=設定!$I$28,設定!$G$8,IF(R49/IF($R$2="",100,$R$2)&lt;設定!$I$29,設定!$G$10,設定!$G$9)))</f>
        <v/>
      </c>
      <c r="U49" s="62" t="str">
        <f aca="false">IF(OR($C49="",S49=""),"",IF(S49/IF($S$2="",100,$S$2)&gt;=設定!$I$28,設定!$G$8,IF(S49/IF($S$2="",100,$S$2)&lt;設定!$I$29,設定!$G$10,設定!$G$9)))</f>
        <v/>
      </c>
    </row>
    <row r="50" customFormat="false" ht="21" hidden="false" customHeight="true" outlineLevel="0" collapsed="false">
      <c r="A50" s="91" t="str">
        <f aca="false">IF(名簿!$D50="","",名簿!$B50&amp;"")</f>
        <v/>
      </c>
      <c r="B50" s="91" t="str">
        <f aca="false">IF(名簿!$D50="","",名簿!$C50)</f>
        <v/>
      </c>
      <c r="C50" s="59" t="str">
        <f aca="false">IF(名簿!$D50="","",名簿!$D50&amp;IF(名簿!$F50="転出","（転出）",""))</f>
        <v/>
      </c>
      <c r="D50" s="149"/>
      <c r="E50" s="61" t="str">
        <f aca="false">IF(OR($C50="",名簿!$F50="転出"),"",IF($C$2="学級ごと",$A50,IF($C$2="前の単元と同じ",単元06!$E50&amp;"",$D50&amp;"")))</f>
        <v/>
      </c>
      <c r="F50" s="150"/>
      <c r="G50" s="150"/>
      <c r="H50" s="150"/>
      <c r="I50" s="151"/>
      <c r="J50" s="41" t="str">
        <f aca="false">IF($E50="","",$E50&amp;"|"&amp;COUNTIF($E$5:$E50,$E50))</f>
        <v/>
      </c>
      <c r="K50" s="40" t="str">
        <f aca="false">IF($I50="","",LEN($I50))</f>
        <v/>
      </c>
      <c r="L50" s="13"/>
      <c r="M50" s="13"/>
      <c r="N50" s="13"/>
      <c r="O50" s="13"/>
      <c r="P50" s="152"/>
      <c r="Q50" s="149"/>
      <c r="R50" s="152"/>
      <c r="S50" s="152"/>
      <c r="T50" s="62" t="str">
        <f aca="false">IF(OR($C50="",R50=""),"",IF(R50/IF($R$2="",100,$R$2)&gt;=設定!$I$28,設定!$G$8,IF(R50/IF($R$2="",100,$R$2)&lt;設定!$I$29,設定!$G$10,設定!$G$9)))</f>
        <v/>
      </c>
      <c r="U50" s="62" t="str">
        <f aca="false">IF(OR($C50="",S50=""),"",IF(S50/IF($S$2="",100,$S$2)&gt;=設定!$I$28,設定!$G$8,IF(S50/IF($S$2="",100,$S$2)&lt;設定!$I$29,設定!$G$10,設定!$G$9)))</f>
        <v/>
      </c>
    </row>
    <row r="51" customFormat="false" ht="21" hidden="false" customHeight="true" outlineLevel="0" collapsed="false">
      <c r="A51" s="91" t="str">
        <f aca="false">IF(名簿!$D51="","",名簿!$B51&amp;"")</f>
        <v/>
      </c>
      <c r="B51" s="91" t="str">
        <f aca="false">IF(名簿!$D51="","",名簿!$C51)</f>
        <v/>
      </c>
      <c r="C51" s="59" t="str">
        <f aca="false">IF(名簿!$D51="","",名簿!$D51&amp;IF(名簿!$F51="転出","（転出）",""))</f>
        <v/>
      </c>
      <c r="D51" s="149"/>
      <c r="E51" s="61" t="str">
        <f aca="false">IF(OR($C51="",名簿!$F51="転出"),"",IF($C$2="学級ごと",$A51,IF($C$2="前の単元と同じ",単元06!$E51&amp;"",$D51&amp;"")))</f>
        <v/>
      </c>
      <c r="F51" s="150"/>
      <c r="G51" s="150"/>
      <c r="H51" s="150"/>
      <c r="I51" s="151"/>
      <c r="J51" s="41" t="str">
        <f aca="false">IF($E51="","",$E51&amp;"|"&amp;COUNTIF($E$5:$E51,$E51))</f>
        <v/>
      </c>
      <c r="K51" s="40" t="str">
        <f aca="false">IF($I51="","",LEN($I51))</f>
        <v/>
      </c>
      <c r="L51" s="13"/>
      <c r="M51" s="13"/>
      <c r="N51" s="13"/>
      <c r="O51" s="13"/>
      <c r="P51" s="152"/>
      <c r="Q51" s="149"/>
      <c r="R51" s="152"/>
      <c r="S51" s="152"/>
      <c r="T51" s="62" t="str">
        <f aca="false">IF(OR($C51="",R51=""),"",IF(R51/IF($R$2="",100,$R$2)&gt;=設定!$I$28,設定!$G$8,IF(R51/IF($R$2="",100,$R$2)&lt;設定!$I$29,設定!$G$10,設定!$G$9)))</f>
        <v/>
      </c>
      <c r="U51" s="62" t="str">
        <f aca="false">IF(OR($C51="",S51=""),"",IF(S51/IF($S$2="",100,$S$2)&gt;=設定!$I$28,設定!$G$8,IF(S51/IF($S$2="",100,$S$2)&lt;設定!$I$29,設定!$G$10,設定!$G$9)))</f>
        <v/>
      </c>
    </row>
    <row r="52" customFormat="false" ht="21" hidden="false" customHeight="true" outlineLevel="0" collapsed="false">
      <c r="A52" s="91" t="str">
        <f aca="false">IF(名簿!$D52="","",名簿!$B52&amp;"")</f>
        <v/>
      </c>
      <c r="B52" s="91" t="str">
        <f aca="false">IF(名簿!$D52="","",名簿!$C52)</f>
        <v/>
      </c>
      <c r="C52" s="59" t="str">
        <f aca="false">IF(名簿!$D52="","",名簿!$D52&amp;IF(名簿!$F52="転出","（転出）",""))</f>
        <v/>
      </c>
      <c r="D52" s="149"/>
      <c r="E52" s="61" t="str">
        <f aca="false">IF(OR($C52="",名簿!$F52="転出"),"",IF($C$2="学級ごと",$A52,IF($C$2="前の単元と同じ",単元06!$E52&amp;"",$D52&amp;"")))</f>
        <v/>
      </c>
      <c r="F52" s="150"/>
      <c r="G52" s="150"/>
      <c r="H52" s="150"/>
      <c r="I52" s="151"/>
      <c r="J52" s="41" t="str">
        <f aca="false">IF($E52="","",$E52&amp;"|"&amp;COUNTIF($E$5:$E52,$E52))</f>
        <v/>
      </c>
      <c r="K52" s="40" t="str">
        <f aca="false">IF($I52="","",LEN($I52))</f>
        <v/>
      </c>
      <c r="L52" s="13"/>
      <c r="M52" s="13"/>
      <c r="N52" s="13"/>
      <c r="O52" s="13"/>
      <c r="P52" s="152"/>
      <c r="Q52" s="149"/>
      <c r="R52" s="152"/>
      <c r="S52" s="152"/>
      <c r="T52" s="62" t="str">
        <f aca="false">IF(OR($C52="",R52=""),"",IF(R52/IF($R$2="",100,$R$2)&gt;=設定!$I$28,設定!$G$8,IF(R52/IF($R$2="",100,$R$2)&lt;設定!$I$29,設定!$G$10,設定!$G$9)))</f>
        <v/>
      </c>
      <c r="U52" s="62" t="str">
        <f aca="false">IF(OR($C52="",S52=""),"",IF(S52/IF($S$2="",100,$S$2)&gt;=設定!$I$28,設定!$G$8,IF(S52/IF($S$2="",100,$S$2)&lt;設定!$I$29,設定!$G$10,設定!$G$9)))</f>
        <v/>
      </c>
    </row>
    <row r="53" customFormat="false" ht="21" hidden="false" customHeight="true" outlineLevel="0" collapsed="false">
      <c r="A53" s="91" t="str">
        <f aca="false">IF(名簿!$D53="","",名簿!$B53&amp;"")</f>
        <v/>
      </c>
      <c r="B53" s="91" t="str">
        <f aca="false">IF(名簿!$D53="","",名簿!$C53)</f>
        <v/>
      </c>
      <c r="C53" s="59" t="str">
        <f aca="false">IF(名簿!$D53="","",名簿!$D53&amp;IF(名簿!$F53="転出","（転出）",""))</f>
        <v/>
      </c>
      <c r="D53" s="149"/>
      <c r="E53" s="61" t="str">
        <f aca="false">IF(OR($C53="",名簿!$F53="転出"),"",IF($C$2="学級ごと",$A53,IF($C$2="前の単元と同じ",単元06!$E53&amp;"",$D53&amp;"")))</f>
        <v/>
      </c>
      <c r="F53" s="150"/>
      <c r="G53" s="150"/>
      <c r="H53" s="150"/>
      <c r="I53" s="151"/>
      <c r="J53" s="41" t="str">
        <f aca="false">IF($E53="","",$E53&amp;"|"&amp;COUNTIF($E$5:$E53,$E53))</f>
        <v/>
      </c>
      <c r="K53" s="40" t="str">
        <f aca="false">IF($I53="","",LEN($I53))</f>
        <v/>
      </c>
      <c r="L53" s="13"/>
      <c r="M53" s="13"/>
      <c r="N53" s="13"/>
      <c r="O53" s="13"/>
      <c r="P53" s="152"/>
      <c r="Q53" s="149"/>
      <c r="R53" s="152"/>
      <c r="S53" s="152"/>
      <c r="T53" s="62" t="str">
        <f aca="false">IF(OR($C53="",R53=""),"",IF(R53/IF($R$2="",100,$R$2)&gt;=設定!$I$28,設定!$G$8,IF(R53/IF($R$2="",100,$R$2)&lt;設定!$I$29,設定!$G$10,設定!$G$9)))</f>
        <v/>
      </c>
      <c r="U53" s="62" t="str">
        <f aca="false">IF(OR($C53="",S53=""),"",IF(S53/IF($S$2="",100,$S$2)&gt;=設定!$I$28,設定!$G$8,IF(S53/IF($S$2="",100,$S$2)&lt;設定!$I$29,設定!$G$10,設定!$G$9)))</f>
        <v/>
      </c>
    </row>
    <row r="54" customFormat="false" ht="21" hidden="false" customHeight="true" outlineLevel="0" collapsed="false">
      <c r="A54" s="91" t="str">
        <f aca="false">IF(名簿!$D54="","",名簿!$B54&amp;"")</f>
        <v/>
      </c>
      <c r="B54" s="91" t="str">
        <f aca="false">IF(名簿!$D54="","",名簿!$C54)</f>
        <v/>
      </c>
      <c r="C54" s="59" t="str">
        <f aca="false">IF(名簿!$D54="","",名簿!$D54&amp;IF(名簿!$F54="転出","（転出）",""))</f>
        <v/>
      </c>
      <c r="D54" s="149"/>
      <c r="E54" s="61" t="str">
        <f aca="false">IF(OR($C54="",名簿!$F54="転出"),"",IF($C$2="学級ごと",$A54,IF($C$2="前の単元と同じ",単元06!$E54&amp;"",$D54&amp;"")))</f>
        <v/>
      </c>
      <c r="F54" s="150"/>
      <c r="G54" s="150"/>
      <c r="H54" s="150"/>
      <c r="I54" s="151"/>
      <c r="J54" s="41" t="str">
        <f aca="false">IF($E54="","",$E54&amp;"|"&amp;COUNTIF($E$5:$E54,$E54))</f>
        <v/>
      </c>
      <c r="K54" s="40" t="str">
        <f aca="false">IF($I54="","",LEN($I54))</f>
        <v/>
      </c>
      <c r="L54" s="13"/>
      <c r="M54" s="13"/>
      <c r="N54" s="13"/>
      <c r="O54" s="13"/>
      <c r="P54" s="152"/>
      <c r="Q54" s="149"/>
      <c r="R54" s="152"/>
      <c r="S54" s="152"/>
      <c r="T54" s="62" t="str">
        <f aca="false">IF(OR($C54="",R54=""),"",IF(R54/IF($R$2="",100,$R$2)&gt;=設定!$I$28,設定!$G$8,IF(R54/IF($R$2="",100,$R$2)&lt;設定!$I$29,設定!$G$10,設定!$G$9)))</f>
        <v/>
      </c>
      <c r="U54" s="62" t="str">
        <f aca="false">IF(OR($C54="",S54=""),"",IF(S54/IF($S$2="",100,$S$2)&gt;=設定!$I$28,設定!$G$8,IF(S54/IF($S$2="",100,$S$2)&lt;設定!$I$29,設定!$G$10,設定!$G$9)))</f>
        <v/>
      </c>
    </row>
    <row r="55" customFormat="false" ht="21" hidden="false" customHeight="true" outlineLevel="0" collapsed="false">
      <c r="A55" s="91" t="str">
        <f aca="false">IF(名簿!$D55="","",名簿!$B55&amp;"")</f>
        <v/>
      </c>
      <c r="B55" s="91" t="str">
        <f aca="false">IF(名簿!$D55="","",名簿!$C55)</f>
        <v/>
      </c>
      <c r="C55" s="59" t="str">
        <f aca="false">IF(名簿!$D55="","",名簿!$D55&amp;IF(名簿!$F55="転出","（転出）",""))</f>
        <v/>
      </c>
      <c r="D55" s="149"/>
      <c r="E55" s="61" t="str">
        <f aca="false">IF(OR($C55="",名簿!$F55="転出"),"",IF($C$2="学級ごと",$A55,IF($C$2="前の単元と同じ",単元06!$E55&amp;"",$D55&amp;"")))</f>
        <v/>
      </c>
      <c r="F55" s="150"/>
      <c r="G55" s="150"/>
      <c r="H55" s="150"/>
      <c r="I55" s="151"/>
      <c r="J55" s="41" t="str">
        <f aca="false">IF($E55="","",$E55&amp;"|"&amp;COUNTIF($E$5:$E55,$E55))</f>
        <v/>
      </c>
      <c r="K55" s="40" t="str">
        <f aca="false">IF($I55="","",LEN($I55))</f>
        <v/>
      </c>
      <c r="L55" s="13"/>
      <c r="M55" s="13"/>
      <c r="N55" s="13"/>
      <c r="O55" s="13"/>
      <c r="P55" s="152"/>
      <c r="Q55" s="149"/>
      <c r="R55" s="152"/>
      <c r="S55" s="152"/>
      <c r="T55" s="62" t="str">
        <f aca="false">IF(OR($C55="",R55=""),"",IF(R55/IF($R$2="",100,$R$2)&gt;=設定!$I$28,設定!$G$8,IF(R55/IF($R$2="",100,$R$2)&lt;設定!$I$29,設定!$G$10,設定!$G$9)))</f>
        <v/>
      </c>
      <c r="U55" s="62" t="str">
        <f aca="false">IF(OR($C55="",S55=""),"",IF(S55/IF($S$2="",100,$S$2)&gt;=設定!$I$28,設定!$G$8,IF(S55/IF($S$2="",100,$S$2)&lt;設定!$I$29,設定!$G$10,設定!$G$9)))</f>
        <v/>
      </c>
    </row>
    <row r="56" customFormat="false" ht="21" hidden="false" customHeight="true" outlineLevel="0" collapsed="false">
      <c r="A56" s="91" t="str">
        <f aca="false">IF(名簿!$D56="","",名簿!$B56&amp;"")</f>
        <v/>
      </c>
      <c r="B56" s="91" t="str">
        <f aca="false">IF(名簿!$D56="","",名簿!$C56)</f>
        <v/>
      </c>
      <c r="C56" s="59" t="str">
        <f aca="false">IF(名簿!$D56="","",名簿!$D56&amp;IF(名簿!$F56="転出","（転出）",""))</f>
        <v/>
      </c>
      <c r="D56" s="149"/>
      <c r="E56" s="61" t="str">
        <f aca="false">IF(OR($C56="",名簿!$F56="転出"),"",IF($C$2="学級ごと",$A56,IF($C$2="前の単元と同じ",単元06!$E56&amp;"",$D56&amp;"")))</f>
        <v/>
      </c>
      <c r="F56" s="150"/>
      <c r="G56" s="150"/>
      <c r="H56" s="150"/>
      <c r="I56" s="151"/>
      <c r="J56" s="41" t="str">
        <f aca="false">IF($E56="","",$E56&amp;"|"&amp;COUNTIF($E$5:$E56,$E56))</f>
        <v/>
      </c>
      <c r="K56" s="40" t="str">
        <f aca="false">IF($I56="","",LEN($I56))</f>
        <v/>
      </c>
      <c r="L56" s="13"/>
      <c r="M56" s="13"/>
      <c r="N56" s="13"/>
      <c r="O56" s="13"/>
      <c r="P56" s="152"/>
      <c r="Q56" s="149"/>
      <c r="R56" s="152"/>
      <c r="S56" s="152"/>
      <c r="T56" s="62" t="str">
        <f aca="false">IF(OR($C56="",R56=""),"",IF(R56/IF($R$2="",100,$R$2)&gt;=設定!$I$28,設定!$G$8,IF(R56/IF($R$2="",100,$R$2)&lt;設定!$I$29,設定!$G$10,設定!$G$9)))</f>
        <v/>
      </c>
      <c r="U56" s="62" t="str">
        <f aca="false">IF(OR($C56="",S56=""),"",IF(S56/IF($S$2="",100,$S$2)&gt;=設定!$I$28,設定!$G$8,IF(S56/IF($S$2="",100,$S$2)&lt;設定!$I$29,設定!$G$10,設定!$G$9)))</f>
        <v/>
      </c>
    </row>
    <row r="57" customFormat="false" ht="21" hidden="false" customHeight="true" outlineLevel="0" collapsed="false">
      <c r="A57" s="91" t="str">
        <f aca="false">IF(名簿!$D57="","",名簿!$B57&amp;"")</f>
        <v/>
      </c>
      <c r="B57" s="91" t="str">
        <f aca="false">IF(名簿!$D57="","",名簿!$C57)</f>
        <v/>
      </c>
      <c r="C57" s="59" t="str">
        <f aca="false">IF(名簿!$D57="","",名簿!$D57&amp;IF(名簿!$F57="転出","（転出）",""))</f>
        <v/>
      </c>
      <c r="D57" s="149"/>
      <c r="E57" s="61" t="str">
        <f aca="false">IF(OR($C57="",名簿!$F57="転出"),"",IF($C$2="学級ごと",$A57,IF($C$2="前の単元と同じ",単元06!$E57&amp;"",$D57&amp;"")))</f>
        <v/>
      </c>
      <c r="F57" s="150"/>
      <c r="G57" s="150"/>
      <c r="H57" s="150"/>
      <c r="I57" s="151"/>
      <c r="J57" s="41" t="str">
        <f aca="false">IF($E57="","",$E57&amp;"|"&amp;COUNTIF($E$5:$E57,$E57))</f>
        <v/>
      </c>
      <c r="K57" s="40" t="str">
        <f aca="false">IF($I57="","",LEN($I57))</f>
        <v/>
      </c>
      <c r="L57" s="13"/>
      <c r="M57" s="13"/>
      <c r="N57" s="13"/>
      <c r="O57" s="13"/>
      <c r="P57" s="152"/>
      <c r="Q57" s="149"/>
      <c r="R57" s="152"/>
      <c r="S57" s="152"/>
      <c r="T57" s="62" t="str">
        <f aca="false">IF(OR($C57="",R57=""),"",IF(R57/IF($R$2="",100,$R$2)&gt;=設定!$I$28,設定!$G$8,IF(R57/IF($R$2="",100,$R$2)&lt;設定!$I$29,設定!$G$10,設定!$G$9)))</f>
        <v/>
      </c>
      <c r="U57" s="62" t="str">
        <f aca="false">IF(OR($C57="",S57=""),"",IF(S57/IF($S$2="",100,$S$2)&gt;=設定!$I$28,設定!$G$8,IF(S57/IF($S$2="",100,$S$2)&lt;設定!$I$29,設定!$G$10,設定!$G$9)))</f>
        <v/>
      </c>
    </row>
    <row r="58" customFormat="false" ht="21" hidden="false" customHeight="true" outlineLevel="0" collapsed="false">
      <c r="A58" s="91" t="str">
        <f aca="false">IF(名簿!$D58="","",名簿!$B58&amp;"")</f>
        <v/>
      </c>
      <c r="B58" s="91" t="str">
        <f aca="false">IF(名簿!$D58="","",名簿!$C58)</f>
        <v/>
      </c>
      <c r="C58" s="59" t="str">
        <f aca="false">IF(名簿!$D58="","",名簿!$D58&amp;IF(名簿!$F58="転出","（転出）",""))</f>
        <v/>
      </c>
      <c r="D58" s="149"/>
      <c r="E58" s="61" t="str">
        <f aca="false">IF(OR($C58="",名簿!$F58="転出"),"",IF($C$2="学級ごと",$A58,IF($C$2="前の単元と同じ",単元06!$E58&amp;"",$D58&amp;"")))</f>
        <v/>
      </c>
      <c r="F58" s="150"/>
      <c r="G58" s="150"/>
      <c r="H58" s="150"/>
      <c r="I58" s="151"/>
      <c r="J58" s="41" t="str">
        <f aca="false">IF($E58="","",$E58&amp;"|"&amp;COUNTIF($E$5:$E58,$E58))</f>
        <v/>
      </c>
      <c r="K58" s="40" t="str">
        <f aca="false">IF($I58="","",LEN($I58))</f>
        <v/>
      </c>
      <c r="L58" s="13"/>
      <c r="M58" s="13"/>
      <c r="N58" s="13"/>
      <c r="O58" s="13"/>
      <c r="P58" s="152"/>
      <c r="Q58" s="149"/>
      <c r="R58" s="152"/>
      <c r="S58" s="152"/>
      <c r="T58" s="62" t="str">
        <f aca="false">IF(OR($C58="",R58=""),"",IF(R58/IF($R$2="",100,$R$2)&gt;=設定!$I$28,設定!$G$8,IF(R58/IF($R$2="",100,$R$2)&lt;設定!$I$29,設定!$G$10,設定!$G$9)))</f>
        <v/>
      </c>
      <c r="U58" s="62" t="str">
        <f aca="false">IF(OR($C58="",S58=""),"",IF(S58/IF($S$2="",100,$S$2)&gt;=設定!$I$28,設定!$G$8,IF(S58/IF($S$2="",100,$S$2)&lt;設定!$I$29,設定!$G$10,設定!$G$9)))</f>
        <v/>
      </c>
    </row>
    <row r="59" customFormat="false" ht="21" hidden="false" customHeight="true" outlineLevel="0" collapsed="false">
      <c r="A59" s="91" t="str">
        <f aca="false">IF(名簿!$D59="","",名簿!$B59&amp;"")</f>
        <v/>
      </c>
      <c r="B59" s="91" t="str">
        <f aca="false">IF(名簿!$D59="","",名簿!$C59)</f>
        <v/>
      </c>
      <c r="C59" s="59" t="str">
        <f aca="false">IF(名簿!$D59="","",名簿!$D59&amp;IF(名簿!$F59="転出","（転出）",""))</f>
        <v/>
      </c>
      <c r="D59" s="149"/>
      <c r="E59" s="61" t="str">
        <f aca="false">IF(OR($C59="",名簿!$F59="転出"),"",IF($C$2="学級ごと",$A59,IF($C$2="前の単元と同じ",単元06!$E59&amp;"",$D59&amp;"")))</f>
        <v/>
      </c>
      <c r="F59" s="150"/>
      <c r="G59" s="150"/>
      <c r="H59" s="150"/>
      <c r="I59" s="151"/>
      <c r="J59" s="41" t="str">
        <f aca="false">IF($E59="","",$E59&amp;"|"&amp;COUNTIF($E$5:$E59,$E59))</f>
        <v/>
      </c>
      <c r="K59" s="40" t="str">
        <f aca="false">IF($I59="","",LEN($I59))</f>
        <v/>
      </c>
      <c r="L59" s="13"/>
      <c r="M59" s="13"/>
      <c r="N59" s="13"/>
      <c r="O59" s="13"/>
      <c r="P59" s="152"/>
      <c r="Q59" s="149"/>
      <c r="R59" s="152"/>
      <c r="S59" s="152"/>
      <c r="T59" s="62" t="str">
        <f aca="false">IF(OR($C59="",R59=""),"",IF(R59/IF($R$2="",100,$R$2)&gt;=設定!$I$28,設定!$G$8,IF(R59/IF($R$2="",100,$R$2)&lt;設定!$I$29,設定!$G$10,設定!$G$9)))</f>
        <v/>
      </c>
      <c r="U59" s="62" t="str">
        <f aca="false">IF(OR($C59="",S59=""),"",IF(S59/IF($S$2="",100,$S$2)&gt;=設定!$I$28,設定!$G$8,IF(S59/IF($S$2="",100,$S$2)&lt;設定!$I$29,設定!$G$10,設定!$G$9)))</f>
        <v/>
      </c>
    </row>
    <row r="60" customFormat="false" ht="21" hidden="false" customHeight="true" outlineLevel="0" collapsed="false">
      <c r="A60" s="91" t="str">
        <f aca="false">IF(名簿!$D60="","",名簿!$B60&amp;"")</f>
        <v/>
      </c>
      <c r="B60" s="91" t="str">
        <f aca="false">IF(名簿!$D60="","",名簿!$C60)</f>
        <v/>
      </c>
      <c r="C60" s="59" t="str">
        <f aca="false">IF(名簿!$D60="","",名簿!$D60&amp;IF(名簿!$F60="転出","（転出）",""))</f>
        <v/>
      </c>
      <c r="D60" s="149"/>
      <c r="E60" s="61" t="str">
        <f aca="false">IF(OR($C60="",名簿!$F60="転出"),"",IF($C$2="学級ごと",$A60,IF($C$2="前の単元と同じ",単元06!$E60&amp;"",$D60&amp;"")))</f>
        <v/>
      </c>
      <c r="F60" s="150"/>
      <c r="G60" s="150"/>
      <c r="H60" s="150"/>
      <c r="I60" s="151"/>
      <c r="J60" s="41" t="str">
        <f aca="false">IF($E60="","",$E60&amp;"|"&amp;COUNTIF($E$5:$E60,$E60))</f>
        <v/>
      </c>
      <c r="K60" s="40" t="str">
        <f aca="false">IF($I60="","",LEN($I60))</f>
        <v/>
      </c>
      <c r="L60" s="13"/>
      <c r="M60" s="13"/>
      <c r="N60" s="13"/>
      <c r="O60" s="13"/>
      <c r="P60" s="152"/>
      <c r="Q60" s="149"/>
      <c r="R60" s="152"/>
      <c r="S60" s="152"/>
      <c r="T60" s="62" t="str">
        <f aca="false">IF(OR($C60="",R60=""),"",IF(R60/IF($R$2="",100,$R$2)&gt;=設定!$I$28,設定!$G$8,IF(R60/IF($R$2="",100,$R$2)&lt;設定!$I$29,設定!$G$10,設定!$G$9)))</f>
        <v/>
      </c>
      <c r="U60" s="62" t="str">
        <f aca="false">IF(OR($C60="",S60=""),"",IF(S60/IF($S$2="",100,$S$2)&gt;=設定!$I$28,設定!$G$8,IF(S60/IF($S$2="",100,$S$2)&lt;設定!$I$29,設定!$G$10,設定!$G$9)))</f>
        <v/>
      </c>
    </row>
    <row r="61" customFormat="false" ht="21" hidden="false" customHeight="true" outlineLevel="0" collapsed="false">
      <c r="A61" s="91" t="str">
        <f aca="false">IF(名簿!$D61="","",名簿!$B61&amp;"")</f>
        <v/>
      </c>
      <c r="B61" s="91" t="str">
        <f aca="false">IF(名簿!$D61="","",名簿!$C61)</f>
        <v/>
      </c>
      <c r="C61" s="59" t="str">
        <f aca="false">IF(名簿!$D61="","",名簿!$D61&amp;IF(名簿!$F61="転出","（転出）",""))</f>
        <v/>
      </c>
      <c r="D61" s="149"/>
      <c r="E61" s="61" t="str">
        <f aca="false">IF(OR($C61="",名簿!$F61="転出"),"",IF($C$2="学級ごと",$A61,IF($C$2="前の単元と同じ",単元06!$E61&amp;"",$D61&amp;"")))</f>
        <v/>
      </c>
      <c r="F61" s="150"/>
      <c r="G61" s="150"/>
      <c r="H61" s="150"/>
      <c r="I61" s="151"/>
      <c r="J61" s="41" t="str">
        <f aca="false">IF($E61="","",$E61&amp;"|"&amp;COUNTIF($E$5:$E61,$E61))</f>
        <v/>
      </c>
      <c r="K61" s="40" t="str">
        <f aca="false">IF($I61="","",LEN($I61))</f>
        <v/>
      </c>
      <c r="L61" s="13"/>
      <c r="M61" s="13"/>
      <c r="N61" s="13"/>
      <c r="O61" s="13"/>
      <c r="P61" s="152"/>
      <c r="Q61" s="149"/>
      <c r="R61" s="152"/>
      <c r="S61" s="152"/>
      <c r="T61" s="62" t="str">
        <f aca="false">IF(OR($C61="",R61=""),"",IF(R61/IF($R$2="",100,$R$2)&gt;=設定!$I$28,設定!$G$8,IF(R61/IF($R$2="",100,$R$2)&lt;設定!$I$29,設定!$G$10,設定!$G$9)))</f>
        <v/>
      </c>
      <c r="U61" s="62" t="str">
        <f aca="false">IF(OR($C61="",S61=""),"",IF(S61/IF($S$2="",100,$S$2)&gt;=設定!$I$28,設定!$G$8,IF(S61/IF($S$2="",100,$S$2)&lt;設定!$I$29,設定!$G$10,設定!$G$9)))</f>
        <v/>
      </c>
    </row>
    <row r="62" customFormat="false" ht="21" hidden="false" customHeight="true" outlineLevel="0" collapsed="false">
      <c r="A62" s="91" t="str">
        <f aca="false">IF(名簿!$D62="","",名簿!$B62&amp;"")</f>
        <v/>
      </c>
      <c r="B62" s="91" t="str">
        <f aca="false">IF(名簿!$D62="","",名簿!$C62)</f>
        <v/>
      </c>
      <c r="C62" s="59" t="str">
        <f aca="false">IF(名簿!$D62="","",名簿!$D62&amp;IF(名簿!$F62="転出","（転出）",""))</f>
        <v/>
      </c>
      <c r="D62" s="149"/>
      <c r="E62" s="61" t="str">
        <f aca="false">IF(OR($C62="",名簿!$F62="転出"),"",IF($C$2="学級ごと",$A62,IF($C$2="前の単元と同じ",単元06!$E62&amp;"",$D62&amp;"")))</f>
        <v/>
      </c>
      <c r="F62" s="150"/>
      <c r="G62" s="150"/>
      <c r="H62" s="150"/>
      <c r="I62" s="151"/>
      <c r="J62" s="41" t="str">
        <f aca="false">IF($E62="","",$E62&amp;"|"&amp;COUNTIF($E$5:$E62,$E62))</f>
        <v/>
      </c>
      <c r="K62" s="40" t="str">
        <f aca="false">IF($I62="","",LEN($I62))</f>
        <v/>
      </c>
      <c r="L62" s="13"/>
      <c r="M62" s="13"/>
      <c r="N62" s="13"/>
      <c r="O62" s="13"/>
      <c r="P62" s="152"/>
      <c r="Q62" s="149"/>
      <c r="R62" s="152"/>
      <c r="S62" s="152"/>
      <c r="T62" s="62" t="str">
        <f aca="false">IF(OR($C62="",R62=""),"",IF(R62/IF($R$2="",100,$R$2)&gt;=設定!$I$28,設定!$G$8,IF(R62/IF($R$2="",100,$R$2)&lt;設定!$I$29,設定!$G$10,設定!$G$9)))</f>
        <v/>
      </c>
      <c r="U62" s="62" t="str">
        <f aca="false">IF(OR($C62="",S62=""),"",IF(S62/IF($S$2="",100,$S$2)&gt;=設定!$I$28,設定!$G$8,IF(S62/IF($S$2="",100,$S$2)&lt;設定!$I$29,設定!$G$10,設定!$G$9)))</f>
        <v/>
      </c>
    </row>
    <row r="63" customFormat="false" ht="21" hidden="false" customHeight="true" outlineLevel="0" collapsed="false">
      <c r="A63" s="91" t="str">
        <f aca="false">IF(名簿!$D63="","",名簿!$B63&amp;"")</f>
        <v/>
      </c>
      <c r="B63" s="91" t="str">
        <f aca="false">IF(名簿!$D63="","",名簿!$C63)</f>
        <v/>
      </c>
      <c r="C63" s="59" t="str">
        <f aca="false">IF(名簿!$D63="","",名簿!$D63&amp;IF(名簿!$F63="転出","（転出）",""))</f>
        <v/>
      </c>
      <c r="D63" s="149"/>
      <c r="E63" s="61" t="str">
        <f aca="false">IF(OR($C63="",名簿!$F63="転出"),"",IF($C$2="学級ごと",$A63,IF($C$2="前の単元と同じ",単元06!$E63&amp;"",$D63&amp;"")))</f>
        <v/>
      </c>
      <c r="F63" s="150"/>
      <c r="G63" s="150"/>
      <c r="H63" s="150"/>
      <c r="I63" s="151"/>
      <c r="J63" s="41" t="str">
        <f aca="false">IF($E63="","",$E63&amp;"|"&amp;COUNTIF($E$5:$E63,$E63))</f>
        <v/>
      </c>
      <c r="K63" s="40" t="str">
        <f aca="false">IF($I63="","",LEN($I63))</f>
        <v/>
      </c>
      <c r="L63" s="13"/>
      <c r="M63" s="13"/>
      <c r="N63" s="13"/>
      <c r="O63" s="13"/>
      <c r="P63" s="152"/>
      <c r="Q63" s="149"/>
      <c r="R63" s="152"/>
      <c r="S63" s="152"/>
      <c r="T63" s="62" t="str">
        <f aca="false">IF(OR($C63="",R63=""),"",IF(R63/IF($R$2="",100,$R$2)&gt;=設定!$I$28,設定!$G$8,IF(R63/IF($R$2="",100,$R$2)&lt;設定!$I$29,設定!$G$10,設定!$G$9)))</f>
        <v/>
      </c>
      <c r="U63" s="62" t="str">
        <f aca="false">IF(OR($C63="",S63=""),"",IF(S63/IF($S$2="",100,$S$2)&gt;=設定!$I$28,設定!$G$8,IF(S63/IF($S$2="",100,$S$2)&lt;設定!$I$29,設定!$G$10,設定!$G$9)))</f>
        <v/>
      </c>
    </row>
    <row r="64" customFormat="false" ht="21" hidden="false" customHeight="true" outlineLevel="0" collapsed="false">
      <c r="A64" s="91" t="str">
        <f aca="false">IF(名簿!$D64="","",名簿!$B64&amp;"")</f>
        <v/>
      </c>
      <c r="B64" s="91" t="str">
        <f aca="false">IF(名簿!$D64="","",名簿!$C64)</f>
        <v/>
      </c>
      <c r="C64" s="59" t="str">
        <f aca="false">IF(名簿!$D64="","",名簿!$D64&amp;IF(名簿!$F64="転出","（転出）",""))</f>
        <v/>
      </c>
      <c r="D64" s="149"/>
      <c r="E64" s="61" t="str">
        <f aca="false">IF(OR($C64="",名簿!$F64="転出"),"",IF($C$2="学級ごと",$A64,IF($C$2="前の単元と同じ",単元06!$E64&amp;"",$D64&amp;"")))</f>
        <v/>
      </c>
      <c r="F64" s="150"/>
      <c r="G64" s="150"/>
      <c r="H64" s="150"/>
      <c r="I64" s="151"/>
      <c r="J64" s="41" t="str">
        <f aca="false">IF($E64="","",$E64&amp;"|"&amp;COUNTIF($E$5:$E64,$E64))</f>
        <v/>
      </c>
      <c r="K64" s="40" t="str">
        <f aca="false">IF($I64="","",LEN($I64))</f>
        <v/>
      </c>
      <c r="L64" s="13"/>
      <c r="M64" s="13"/>
      <c r="N64" s="13"/>
      <c r="O64" s="13"/>
      <c r="P64" s="152"/>
      <c r="Q64" s="149"/>
      <c r="R64" s="152"/>
      <c r="S64" s="152"/>
      <c r="T64" s="62" t="str">
        <f aca="false">IF(OR($C64="",R64=""),"",IF(R64/IF($R$2="",100,$R$2)&gt;=設定!$I$28,設定!$G$8,IF(R64/IF($R$2="",100,$R$2)&lt;設定!$I$29,設定!$G$10,設定!$G$9)))</f>
        <v/>
      </c>
      <c r="U64" s="62" t="str">
        <f aca="false">IF(OR($C64="",S64=""),"",IF(S64/IF($S$2="",100,$S$2)&gt;=設定!$I$28,設定!$G$8,IF(S64/IF($S$2="",100,$S$2)&lt;設定!$I$29,設定!$G$10,設定!$G$9)))</f>
        <v/>
      </c>
    </row>
    <row r="65" customFormat="false" ht="21" hidden="false" customHeight="true" outlineLevel="0" collapsed="false">
      <c r="A65" s="91" t="str">
        <f aca="false">IF(名簿!$D65="","",名簿!$B65&amp;"")</f>
        <v/>
      </c>
      <c r="B65" s="91" t="str">
        <f aca="false">IF(名簿!$D65="","",名簿!$C65)</f>
        <v/>
      </c>
      <c r="C65" s="59" t="str">
        <f aca="false">IF(名簿!$D65="","",名簿!$D65&amp;IF(名簿!$F65="転出","（転出）",""))</f>
        <v/>
      </c>
      <c r="D65" s="149"/>
      <c r="E65" s="61" t="str">
        <f aca="false">IF(OR($C65="",名簿!$F65="転出"),"",IF($C$2="学級ごと",$A65,IF($C$2="前の単元と同じ",単元06!$E65&amp;"",$D65&amp;"")))</f>
        <v/>
      </c>
      <c r="F65" s="150"/>
      <c r="G65" s="150"/>
      <c r="H65" s="150"/>
      <c r="I65" s="151"/>
      <c r="J65" s="41" t="str">
        <f aca="false">IF($E65="","",$E65&amp;"|"&amp;COUNTIF($E$5:$E65,$E65))</f>
        <v/>
      </c>
      <c r="K65" s="40" t="str">
        <f aca="false">IF($I65="","",LEN($I65))</f>
        <v/>
      </c>
      <c r="L65" s="13"/>
      <c r="M65" s="13"/>
      <c r="N65" s="13"/>
      <c r="O65" s="13"/>
      <c r="P65" s="152"/>
      <c r="Q65" s="149"/>
      <c r="R65" s="152"/>
      <c r="S65" s="152"/>
      <c r="T65" s="62" t="str">
        <f aca="false">IF(OR($C65="",R65=""),"",IF(R65/IF($R$2="",100,$R$2)&gt;=設定!$I$28,設定!$G$8,IF(R65/IF($R$2="",100,$R$2)&lt;設定!$I$29,設定!$G$10,設定!$G$9)))</f>
        <v/>
      </c>
      <c r="U65" s="62" t="str">
        <f aca="false">IF(OR($C65="",S65=""),"",IF(S65/IF($S$2="",100,$S$2)&gt;=設定!$I$28,設定!$G$8,IF(S65/IF($S$2="",100,$S$2)&lt;設定!$I$29,設定!$G$10,設定!$G$9)))</f>
        <v/>
      </c>
    </row>
    <row r="66" customFormat="false" ht="21" hidden="false" customHeight="true" outlineLevel="0" collapsed="false">
      <c r="A66" s="91" t="str">
        <f aca="false">IF(名簿!$D66="","",名簿!$B66&amp;"")</f>
        <v/>
      </c>
      <c r="B66" s="91" t="str">
        <f aca="false">IF(名簿!$D66="","",名簿!$C66)</f>
        <v/>
      </c>
      <c r="C66" s="59" t="str">
        <f aca="false">IF(名簿!$D66="","",名簿!$D66&amp;IF(名簿!$F66="転出","（転出）",""))</f>
        <v/>
      </c>
      <c r="D66" s="149"/>
      <c r="E66" s="61" t="str">
        <f aca="false">IF(OR($C66="",名簿!$F66="転出"),"",IF($C$2="学級ごと",$A66,IF($C$2="前の単元と同じ",単元06!$E66&amp;"",$D66&amp;"")))</f>
        <v/>
      </c>
      <c r="F66" s="150"/>
      <c r="G66" s="150"/>
      <c r="H66" s="150"/>
      <c r="I66" s="151"/>
      <c r="J66" s="41" t="str">
        <f aca="false">IF($E66="","",$E66&amp;"|"&amp;COUNTIF($E$5:$E66,$E66))</f>
        <v/>
      </c>
      <c r="K66" s="40" t="str">
        <f aca="false">IF($I66="","",LEN($I66))</f>
        <v/>
      </c>
      <c r="L66" s="13"/>
      <c r="M66" s="13"/>
      <c r="N66" s="13"/>
      <c r="O66" s="13"/>
      <c r="P66" s="152"/>
      <c r="Q66" s="149"/>
      <c r="R66" s="152"/>
      <c r="S66" s="152"/>
      <c r="T66" s="62" t="str">
        <f aca="false">IF(OR($C66="",R66=""),"",IF(R66/IF($R$2="",100,$R$2)&gt;=設定!$I$28,設定!$G$8,IF(R66/IF($R$2="",100,$R$2)&lt;設定!$I$29,設定!$G$10,設定!$G$9)))</f>
        <v/>
      </c>
      <c r="U66" s="62" t="str">
        <f aca="false">IF(OR($C66="",S66=""),"",IF(S66/IF($S$2="",100,$S$2)&gt;=設定!$I$28,設定!$G$8,IF(S66/IF($S$2="",100,$S$2)&lt;設定!$I$29,設定!$G$10,設定!$G$9)))</f>
        <v/>
      </c>
    </row>
    <row r="67" customFormat="false" ht="21" hidden="false" customHeight="true" outlineLevel="0" collapsed="false">
      <c r="A67" s="91" t="str">
        <f aca="false">IF(名簿!$D67="","",名簿!$B67&amp;"")</f>
        <v/>
      </c>
      <c r="B67" s="91" t="str">
        <f aca="false">IF(名簿!$D67="","",名簿!$C67)</f>
        <v/>
      </c>
      <c r="C67" s="59" t="str">
        <f aca="false">IF(名簿!$D67="","",名簿!$D67&amp;IF(名簿!$F67="転出","（転出）",""))</f>
        <v/>
      </c>
      <c r="D67" s="149"/>
      <c r="E67" s="61" t="str">
        <f aca="false">IF(OR($C67="",名簿!$F67="転出"),"",IF($C$2="学級ごと",$A67,IF($C$2="前の単元と同じ",単元06!$E67&amp;"",$D67&amp;"")))</f>
        <v/>
      </c>
      <c r="F67" s="150"/>
      <c r="G67" s="150"/>
      <c r="H67" s="150"/>
      <c r="I67" s="151"/>
      <c r="J67" s="41" t="str">
        <f aca="false">IF($E67="","",$E67&amp;"|"&amp;COUNTIF($E$5:$E67,$E67))</f>
        <v/>
      </c>
      <c r="K67" s="40" t="str">
        <f aca="false">IF($I67="","",LEN($I67))</f>
        <v/>
      </c>
      <c r="L67" s="13"/>
      <c r="M67" s="13"/>
      <c r="N67" s="13"/>
      <c r="O67" s="13"/>
      <c r="P67" s="152"/>
      <c r="Q67" s="149"/>
      <c r="R67" s="152"/>
      <c r="S67" s="152"/>
      <c r="T67" s="62" t="str">
        <f aca="false">IF(OR($C67="",R67=""),"",IF(R67/IF($R$2="",100,$R$2)&gt;=設定!$I$28,設定!$G$8,IF(R67/IF($R$2="",100,$R$2)&lt;設定!$I$29,設定!$G$10,設定!$G$9)))</f>
        <v/>
      </c>
      <c r="U67" s="62" t="str">
        <f aca="false">IF(OR($C67="",S67=""),"",IF(S67/IF($S$2="",100,$S$2)&gt;=設定!$I$28,設定!$G$8,IF(S67/IF($S$2="",100,$S$2)&lt;設定!$I$29,設定!$G$10,設定!$G$9)))</f>
        <v/>
      </c>
    </row>
    <row r="68" customFormat="false" ht="21" hidden="false" customHeight="true" outlineLevel="0" collapsed="false">
      <c r="A68" s="91" t="str">
        <f aca="false">IF(名簿!$D68="","",名簿!$B68&amp;"")</f>
        <v/>
      </c>
      <c r="B68" s="91" t="str">
        <f aca="false">IF(名簿!$D68="","",名簿!$C68)</f>
        <v/>
      </c>
      <c r="C68" s="59" t="str">
        <f aca="false">IF(名簿!$D68="","",名簿!$D68&amp;IF(名簿!$F68="転出","（転出）",""))</f>
        <v/>
      </c>
      <c r="D68" s="149"/>
      <c r="E68" s="61" t="str">
        <f aca="false">IF(OR($C68="",名簿!$F68="転出"),"",IF($C$2="学級ごと",$A68,IF($C$2="前の単元と同じ",単元06!$E68&amp;"",$D68&amp;"")))</f>
        <v/>
      </c>
      <c r="F68" s="150"/>
      <c r="G68" s="150"/>
      <c r="H68" s="150"/>
      <c r="I68" s="151"/>
      <c r="J68" s="41" t="str">
        <f aca="false">IF($E68="","",$E68&amp;"|"&amp;COUNTIF($E$5:$E68,$E68))</f>
        <v/>
      </c>
      <c r="K68" s="40" t="str">
        <f aca="false">IF($I68="","",LEN($I68))</f>
        <v/>
      </c>
      <c r="L68" s="13"/>
      <c r="M68" s="13"/>
      <c r="N68" s="13"/>
      <c r="O68" s="13"/>
      <c r="P68" s="152"/>
      <c r="Q68" s="149"/>
      <c r="R68" s="152"/>
      <c r="S68" s="152"/>
      <c r="T68" s="62" t="str">
        <f aca="false">IF(OR($C68="",R68=""),"",IF(R68/IF($R$2="",100,$R$2)&gt;=設定!$I$28,設定!$G$8,IF(R68/IF($R$2="",100,$R$2)&lt;設定!$I$29,設定!$G$10,設定!$G$9)))</f>
        <v/>
      </c>
      <c r="U68" s="62" t="str">
        <f aca="false">IF(OR($C68="",S68=""),"",IF(S68/IF($S$2="",100,$S$2)&gt;=設定!$I$28,設定!$G$8,IF(S68/IF($S$2="",100,$S$2)&lt;設定!$I$29,設定!$G$10,設定!$G$9)))</f>
        <v/>
      </c>
    </row>
    <row r="69" customFormat="false" ht="21" hidden="false" customHeight="true" outlineLevel="0" collapsed="false">
      <c r="A69" s="91" t="str">
        <f aca="false">IF(名簿!$D69="","",名簿!$B69&amp;"")</f>
        <v/>
      </c>
      <c r="B69" s="91" t="str">
        <f aca="false">IF(名簿!$D69="","",名簿!$C69)</f>
        <v/>
      </c>
      <c r="C69" s="59" t="str">
        <f aca="false">IF(名簿!$D69="","",名簿!$D69&amp;IF(名簿!$F69="転出","（転出）",""))</f>
        <v/>
      </c>
      <c r="D69" s="149"/>
      <c r="E69" s="61" t="str">
        <f aca="false">IF(OR($C69="",名簿!$F69="転出"),"",IF($C$2="学級ごと",$A69,IF($C$2="前の単元と同じ",単元06!$E69&amp;"",$D69&amp;"")))</f>
        <v/>
      </c>
      <c r="F69" s="150"/>
      <c r="G69" s="150"/>
      <c r="H69" s="150"/>
      <c r="I69" s="151"/>
      <c r="J69" s="41" t="str">
        <f aca="false">IF($E69="","",$E69&amp;"|"&amp;COUNTIF($E$5:$E69,$E69))</f>
        <v/>
      </c>
      <c r="K69" s="40" t="str">
        <f aca="false">IF($I69="","",LEN($I69))</f>
        <v/>
      </c>
      <c r="L69" s="13"/>
      <c r="M69" s="13"/>
      <c r="N69" s="13"/>
      <c r="O69" s="13"/>
      <c r="P69" s="152"/>
      <c r="Q69" s="149"/>
      <c r="R69" s="152"/>
      <c r="S69" s="152"/>
      <c r="T69" s="62" t="str">
        <f aca="false">IF(OR($C69="",R69=""),"",IF(R69/IF($R$2="",100,$R$2)&gt;=設定!$I$28,設定!$G$8,IF(R69/IF($R$2="",100,$R$2)&lt;設定!$I$29,設定!$G$10,設定!$G$9)))</f>
        <v/>
      </c>
      <c r="U69" s="62" t="str">
        <f aca="false">IF(OR($C69="",S69=""),"",IF(S69/IF($S$2="",100,$S$2)&gt;=設定!$I$28,設定!$G$8,IF(S69/IF($S$2="",100,$S$2)&lt;設定!$I$29,設定!$G$10,設定!$G$9)))</f>
        <v/>
      </c>
    </row>
    <row r="70" customFormat="false" ht="21" hidden="false" customHeight="true" outlineLevel="0" collapsed="false">
      <c r="A70" s="91" t="str">
        <f aca="false">IF(名簿!$D70="","",名簿!$B70&amp;"")</f>
        <v/>
      </c>
      <c r="B70" s="91" t="str">
        <f aca="false">IF(名簿!$D70="","",名簿!$C70)</f>
        <v/>
      </c>
      <c r="C70" s="59" t="str">
        <f aca="false">IF(名簿!$D70="","",名簿!$D70&amp;IF(名簿!$F70="転出","（転出）",""))</f>
        <v/>
      </c>
      <c r="D70" s="149"/>
      <c r="E70" s="61" t="str">
        <f aca="false">IF(OR($C70="",名簿!$F70="転出"),"",IF($C$2="学級ごと",$A70,IF($C$2="前の単元と同じ",単元06!$E70&amp;"",$D70&amp;"")))</f>
        <v/>
      </c>
      <c r="F70" s="150"/>
      <c r="G70" s="150"/>
      <c r="H70" s="150"/>
      <c r="I70" s="151"/>
      <c r="J70" s="41" t="str">
        <f aca="false">IF($E70="","",$E70&amp;"|"&amp;COUNTIF($E$5:$E70,$E70))</f>
        <v/>
      </c>
      <c r="K70" s="40" t="str">
        <f aca="false">IF($I70="","",LEN($I70))</f>
        <v/>
      </c>
      <c r="L70" s="13"/>
      <c r="M70" s="13"/>
      <c r="N70" s="13"/>
      <c r="O70" s="13"/>
      <c r="P70" s="152"/>
      <c r="Q70" s="149"/>
      <c r="R70" s="152"/>
      <c r="S70" s="152"/>
      <c r="T70" s="62" t="str">
        <f aca="false">IF(OR($C70="",R70=""),"",IF(R70/IF($R$2="",100,$R$2)&gt;=設定!$I$28,設定!$G$8,IF(R70/IF($R$2="",100,$R$2)&lt;設定!$I$29,設定!$G$10,設定!$G$9)))</f>
        <v/>
      </c>
      <c r="U70" s="62" t="str">
        <f aca="false">IF(OR($C70="",S70=""),"",IF(S70/IF($S$2="",100,$S$2)&gt;=設定!$I$28,設定!$G$8,IF(S70/IF($S$2="",100,$S$2)&lt;設定!$I$29,設定!$G$10,設定!$G$9)))</f>
        <v/>
      </c>
    </row>
    <row r="71" customFormat="false" ht="21" hidden="false" customHeight="true" outlineLevel="0" collapsed="false">
      <c r="A71" s="91" t="str">
        <f aca="false">IF(名簿!$D71="","",名簿!$B71&amp;"")</f>
        <v/>
      </c>
      <c r="B71" s="91" t="str">
        <f aca="false">IF(名簿!$D71="","",名簿!$C71)</f>
        <v/>
      </c>
      <c r="C71" s="59" t="str">
        <f aca="false">IF(名簿!$D71="","",名簿!$D71&amp;IF(名簿!$F71="転出","（転出）",""))</f>
        <v/>
      </c>
      <c r="D71" s="149"/>
      <c r="E71" s="61" t="str">
        <f aca="false">IF(OR($C71="",名簿!$F71="転出"),"",IF($C$2="学級ごと",$A71,IF($C$2="前の単元と同じ",単元06!$E71&amp;"",$D71&amp;"")))</f>
        <v/>
      </c>
      <c r="F71" s="150"/>
      <c r="G71" s="150"/>
      <c r="H71" s="150"/>
      <c r="I71" s="151"/>
      <c r="J71" s="41" t="str">
        <f aca="false">IF($E71="","",$E71&amp;"|"&amp;COUNTIF($E$5:$E71,$E71))</f>
        <v/>
      </c>
      <c r="K71" s="40" t="str">
        <f aca="false">IF($I71="","",LEN($I71))</f>
        <v/>
      </c>
      <c r="L71" s="13"/>
      <c r="M71" s="13"/>
      <c r="N71" s="13"/>
      <c r="O71" s="13"/>
      <c r="P71" s="152"/>
      <c r="Q71" s="149"/>
      <c r="R71" s="152"/>
      <c r="S71" s="152"/>
      <c r="T71" s="62" t="str">
        <f aca="false">IF(OR($C71="",R71=""),"",IF(R71/IF($R$2="",100,$R$2)&gt;=設定!$I$28,設定!$G$8,IF(R71/IF($R$2="",100,$R$2)&lt;設定!$I$29,設定!$G$10,設定!$G$9)))</f>
        <v/>
      </c>
      <c r="U71" s="62" t="str">
        <f aca="false">IF(OR($C71="",S71=""),"",IF(S71/IF($S$2="",100,$S$2)&gt;=設定!$I$28,設定!$G$8,IF(S71/IF($S$2="",100,$S$2)&lt;設定!$I$29,設定!$G$10,設定!$G$9)))</f>
        <v/>
      </c>
    </row>
    <row r="72" customFormat="false" ht="21" hidden="false" customHeight="true" outlineLevel="0" collapsed="false">
      <c r="A72" s="91" t="str">
        <f aca="false">IF(名簿!$D72="","",名簿!$B72&amp;"")</f>
        <v/>
      </c>
      <c r="B72" s="91" t="str">
        <f aca="false">IF(名簿!$D72="","",名簿!$C72)</f>
        <v/>
      </c>
      <c r="C72" s="59" t="str">
        <f aca="false">IF(名簿!$D72="","",名簿!$D72&amp;IF(名簿!$F72="転出","（転出）",""))</f>
        <v/>
      </c>
      <c r="D72" s="149"/>
      <c r="E72" s="61" t="str">
        <f aca="false">IF(OR($C72="",名簿!$F72="転出"),"",IF($C$2="学級ごと",$A72,IF($C$2="前の単元と同じ",単元06!$E72&amp;"",$D72&amp;"")))</f>
        <v/>
      </c>
      <c r="F72" s="150"/>
      <c r="G72" s="150"/>
      <c r="H72" s="150"/>
      <c r="I72" s="151"/>
      <c r="J72" s="41" t="str">
        <f aca="false">IF($E72="","",$E72&amp;"|"&amp;COUNTIF($E$5:$E72,$E72))</f>
        <v/>
      </c>
      <c r="K72" s="40" t="str">
        <f aca="false">IF($I72="","",LEN($I72))</f>
        <v/>
      </c>
      <c r="L72" s="13"/>
      <c r="M72" s="13"/>
      <c r="N72" s="13"/>
      <c r="O72" s="13"/>
      <c r="P72" s="152"/>
      <c r="Q72" s="149"/>
      <c r="R72" s="152"/>
      <c r="S72" s="152"/>
      <c r="T72" s="62" t="str">
        <f aca="false">IF(OR($C72="",R72=""),"",IF(R72/IF($R$2="",100,$R$2)&gt;=設定!$I$28,設定!$G$8,IF(R72/IF($R$2="",100,$R$2)&lt;設定!$I$29,設定!$G$10,設定!$G$9)))</f>
        <v/>
      </c>
      <c r="U72" s="62" t="str">
        <f aca="false">IF(OR($C72="",S72=""),"",IF(S72/IF($S$2="",100,$S$2)&gt;=設定!$I$28,設定!$G$8,IF(S72/IF($S$2="",100,$S$2)&lt;設定!$I$29,設定!$G$10,設定!$G$9)))</f>
        <v/>
      </c>
    </row>
    <row r="73" customFormat="false" ht="21" hidden="false" customHeight="true" outlineLevel="0" collapsed="false">
      <c r="A73" s="91" t="str">
        <f aca="false">IF(名簿!$D73="","",名簿!$B73&amp;"")</f>
        <v/>
      </c>
      <c r="B73" s="91" t="str">
        <f aca="false">IF(名簿!$D73="","",名簿!$C73)</f>
        <v/>
      </c>
      <c r="C73" s="59" t="str">
        <f aca="false">IF(名簿!$D73="","",名簿!$D73&amp;IF(名簿!$F73="転出","（転出）",""))</f>
        <v/>
      </c>
      <c r="D73" s="149"/>
      <c r="E73" s="61" t="str">
        <f aca="false">IF(OR($C73="",名簿!$F73="転出"),"",IF($C$2="学級ごと",$A73,IF($C$2="前の単元と同じ",単元06!$E73&amp;"",$D73&amp;"")))</f>
        <v/>
      </c>
      <c r="F73" s="150"/>
      <c r="G73" s="150"/>
      <c r="H73" s="150"/>
      <c r="I73" s="151"/>
      <c r="J73" s="41" t="str">
        <f aca="false">IF($E73="","",$E73&amp;"|"&amp;COUNTIF($E$5:$E73,$E73))</f>
        <v/>
      </c>
      <c r="K73" s="40" t="str">
        <f aca="false">IF($I73="","",LEN($I73))</f>
        <v/>
      </c>
      <c r="L73" s="13"/>
      <c r="M73" s="13"/>
      <c r="N73" s="13"/>
      <c r="O73" s="13"/>
      <c r="P73" s="152"/>
      <c r="Q73" s="149"/>
      <c r="R73" s="152"/>
      <c r="S73" s="152"/>
      <c r="T73" s="62" t="str">
        <f aca="false">IF(OR($C73="",R73=""),"",IF(R73/IF($R$2="",100,$R$2)&gt;=設定!$I$28,設定!$G$8,IF(R73/IF($R$2="",100,$R$2)&lt;設定!$I$29,設定!$G$10,設定!$G$9)))</f>
        <v/>
      </c>
      <c r="U73" s="62" t="str">
        <f aca="false">IF(OR($C73="",S73=""),"",IF(S73/IF($S$2="",100,$S$2)&gt;=設定!$I$28,設定!$G$8,IF(S73/IF($S$2="",100,$S$2)&lt;設定!$I$29,設定!$G$10,設定!$G$9)))</f>
        <v/>
      </c>
    </row>
    <row r="74" customFormat="false" ht="21" hidden="false" customHeight="true" outlineLevel="0" collapsed="false">
      <c r="A74" s="91" t="str">
        <f aca="false">IF(名簿!$D74="","",名簿!$B74&amp;"")</f>
        <v/>
      </c>
      <c r="B74" s="91" t="str">
        <f aca="false">IF(名簿!$D74="","",名簿!$C74)</f>
        <v/>
      </c>
      <c r="C74" s="59" t="str">
        <f aca="false">IF(名簿!$D74="","",名簿!$D74&amp;IF(名簿!$F74="転出","（転出）",""))</f>
        <v/>
      </c>
      <c r="D74" s="149"/>
      <c r="E74" s="61" t="str">
        <f aca="false">IF(OR($C74="",名簿!$F74="転出"),"",IF($C$2="学級ごと",$A74,IF($C$2="前の単元と同じ",単元06!$E74&amp;"",$D74&amp;"")))</f>
        <v/>
      </c>
      <c r="F74" s="150"/>
      <c r="G74" s="150"/>
      <c r="H74" s="150"/>
      <c r="I74" s="151"/>
      <c r="J74" s="41" t="str">
        <f aca="false">IF($E74="","",$E74&amp;"|"&amp;COUNTIF($E$5:$E74,$E74))</f>
        <v/>
      </c>
      <c r="K74" s="40" t="str">
        <f aca="false">IF($I74="","",LEN($I74))</f>
        <v/>
      </c>
      <c r="L74" s="13"/>
      <c r="M74" s="13"/>
      <c r="N74" s="13"/>
      <c r="O74" s="13"/>
      <c r="P74" s="152"/>
      <c r="Q74" s="149"/>
      <c r="R74" s="152"/>
      <c r="S74" s="152"/>
      <c r="T74" s="62" t="str">
        <f aca="false">IF(OR($C74="",R74=""),"",IF(R74/IF($R$2="",100,$R$2)&gt;=設定!$I$28,設定!$G$8,IF(R74/IF($R$2="",100,$R$2)&lt;設定!$I$29,設定!$G$10,設定!$G$9)))</f>
        <v/>
      </c>
      <c r="U74" s="62" t="str">
        <f aca="false">IF(OR($C74="",S74=""),"",IF(S74/IF($S$2="",100,$S$2)&gt;=設定!$I$28,設定!$G$8,IF(S74/IF($S$2="",100,$S$2)&lt;設定!$I$29,設定!$G$10,設定!$G$9)))</f>
        <v/>
      </c>
    </row>
    <row r="75" customFormat="false" ht="21" hidden="false" customHeight="true" outlineLevel="0" collapsed="false">
      <c r="A75" s="91" t="str">
        <f aca="false">IF(名簿!$D75="","",名簿!$B75&amp;"")</f>
        <v/>
      </c>
      <c r="B75" s="91" t="str">
        <f aca="false">IF(名簿!$D75="","",名簿!$C75)</f>
        <v/>
      </c>
      <c r="C75" s="59" t="str">
        <f aca="false">IF(名簿!$D75="","",名簿!$D75&amp;IF(名簿!$F75="転出","（転出）",""))</f>
        <v/>
      </c>
      <c r="D75" s="149"/>
      <c r="E75" s="61" t="str">
        <f aca="false">IF(OR($C75="",名簿!$F75="転出"),"",IF($C$2="学級ごと",$A75,IF($C$2="前の単元と同じ",単元06!$E75&amp;"",$D75&amp;"")))</f>
        <v/>
      </c>
      <c r="F75" s="150"/>
      <c r="G75" s="150"/>
      <c r="H75" s="150"/>
      <c r="I75" s="151"/>
      <c r="J75" s="41" t="str">
        <f aca="false">IF($E75="","",$E75&amp;"|"&amp;COUNTIF($E$5:$E75,$E75))</f>
        <v/>
      </c>
      <c r="K75" s="40" t="str">
        <f aca="false">IF($I75="","",LEN($I75))</f>
        <v/>
      </c>
      <c r="L75" s="13"/>
      <c r="M75" s="13"/>
      <c r="N75" s="13"/>
      <c r="O75" s="13"/>
      <c r="P75" s="152"/>
      <c r="Q75" s="149"/>
      <c r="R75" s="152"/>
      <c r="S75" s="152"/>
      <c r="T75" s="62" t="str">
        <f aca="false">IF(OR($C75="",R75=""),"",IF(R75/IF($R$2="",100,$R$2)&gt;=設定!$I$28,設定!$G$8,IF(R75/IF($R$2="",100,$R$2)&lt;設定!$I$29,設定!$G$10,設定!$G$9)))</f>
        <v/>
      </c>
      <c r="U75" s="62" t="str">
        <f aca="false">IF(OR($C75="",S75=""),"",IF(S75/IF($S$2="",100,$S$2)&gt;=設定!$I$28,設定!$G$8,IF(S75/IF($S$2="",100,$S$2)&lt;設定!$I$29,設定!$G$10,設定!$G$9)))</f>
        <v/>
      </c>
    </row>
    <row r="76" customFormat="false" ht="21" hidden="false" customHeight="true" outlineLevel="0" collapsed="false">
      <c r="A76" s="91" t="str">
        <f aca="false">IF(名簿!$D76="","",名簿!$B76&amp;"")</f>
        <v/>
      </c>
      <c r="B76" s="91" t="str">
        <f aca="false">IF(名簿!$D76="","",名簿!$C76)</f>
        <v/>
      </c>
      <c r="C76" s="59" t="str">
        <f aca="false">IF(名簿!$D76="","",名簿!$D76&amp;IF(名簿!$F76="転出","（転出）",""))</f>
        <v/>
      </c>
      <c r="D76" s="149"/>
      <c r="E76" s="61" t="str">
        <f aca="false">IF(OR($C76="",名簿!$F76="転出"),"",IF($C$2="学級ごと",$A76,IF($C$2="前の単元と同じ",単元06!$E76&amp;"",$D76&amp;"")))</f>
        <v/>
      </c>
      <c r="F76" s="150"/>
      <c r="G76" s="150"/>
      <c r="H76" s="150"/>
      <c r="I76" s="151"/>
      <c r="J76" s="41" t="str">
        <f aca="false">IF($E76="","",$E76&amp;"|"&amp;COUNTIF($E$5:$E76,$E76))</f>
        <v/>
      </c>
      <c r="K76" s="40" t="str">
        <f aca="false">IF($I76="","",LEN($I76))</f>
        <v/>
      </c>
      <c r="L76" s="13"/>
      <c r="M76" s="13"/>
      <c r="N76" s="13"/>
      <c r="O76" s="13"/>
      <c r="P76" s="152"/>
      <c r="Q76" s="149"/>
      <c r="R76" s="152"/>
      <c r="S76" s="152"/>
      <c r="T76" s="62" t="str">
        <f aca="false">IF(OR($C76="",R76=""),"",IF(R76/IF($R$2="",100,$R$2)&gt;=設定!$I$28,設定!$G$8,IF(R76/IF($R$2="",100,$R$2)&lt;設定!$I$29,設定!$G$10,設定!$G$9)))</f>
        <v/>
      </c>
      <c r="U76" s="62" t="str">
        <f aca="false">IF(OR($C76="",S76=""),"",IF(S76/IF($S$2="",100,$S$2)&gt;=設定!$I$28,設定!$G$8,IF(S76/IF($S$2="",100,$S$2)&lt;設定!$I$29,設定!$G$10,設定!$G$9)))</f>
        <v/>
      </c>
    </row>
    <row r="77" customFormat="false" ht="21" hidden="false" customHeight="true" outlineLevel="0" collapsed="false">
      <c r="A77" s="91" t="str">
        <f aca="false">IF(名簿!$D77="","",名簿!$B77&amp;"")</f>
        <v/>
      </c>
      <c r="B77" s="91" t="str">
        <f aca="false">IF(名簿!$D77="","",名簿!$C77)</f>
        <v/>
      </c>
      <c r="C77" s="59" t="str">
        <f aca="false">IF(名簿!$D77="","",名簿!$D77&amp;IF(名簿!$F77="転出","（転出）",""))</f>
        <v/>
      </c>
      <c r="D77" s="149"/>
      <c r="E77" s="61" t="str">
        <f aca="false">IF(OR($C77="",名簿!$F77="転出"),"",IF($C$2="学級ごと",$A77,IF($C$2="前の単元と同じ",単元06!$E77&amp;"",$D77&amp;"")))</f>
        <v/>
      </c>
      <c r="F77" s="150"/>
      <c r="G77" s="150"/>
      <c r="H77" s="150"/>
      <c r="I77" s="151"/>
      <c r="J77" s="41" t="str">
        <f aca="false">IF($E77="","",$E77&amp;"|"&amp;COUNTIF($E$5:$E77,$E77))</f>
        <v/>
      </c>
      <c r="K77" s="40" t="str">
        <f aca="false">IF($I77="","",LEN($I77))</f>
        <v/>
      </c>
      <c r="L77" s="13"/>
      <c r="M77" s="13"/>
      <c r="N77" s="13"/>
      <c r="O77" s="13"/>
      <c r="P77" s="152"/>
      <c r="Q77" s="149"/>
      <c r="R77" s="152"/>
      <c r="S77" s="152"/>
      <c r="T77" s="62" t="str">
        <f aca="false">IF(OR($C77="",R77=""),"",IF(R77/IF($R$2="",100,$R$2)&gt;=設定!$I$28,設定!$G$8,IF(R77/IF($R$2="",100,$R$2)&lt;設定!$I$29,設定!$G$10,設定!$G$9)))</f>
        <v/>
      </c>
      <c r="U77" s="62" t="str">
        <f aca="false">IF(OR($C77="",S77=""),"",IF(S77/IF($S$2="",100,$S$2)&gt;=設定!$I$28,設定!$G$8,IF(S77/IF($S$2="",100,$S$2)&lt;設定!$I$29,設定!$G$10,設定!$G$9)))</f>
        <v/>
      </c>
    </row>
    <row r="78" customFormat="false" ht="21" hidden="false" customHeight="true" outlineLevel="0" collapsed="false">
      <c r="A78" s="91" t="str">
        <f aca="false">IF(名簿!$D78="","",名簿!$B78&amp;"")</f>
        <v/>
      </c>
      <c r="B78" s="91" t="str">
        <f aca="false">IF(名簿!$D78="","",名簿!$C78)</f>
        <v/>
      </c>
      <c r="C78" s="59" t="str">
        <f aca="false">IF(名簿!$D78="","",名簿!$D78&amp;IF(名簿!$F78="転出","（転出）",""))</f>
        <v/>
      </c>
      <c r="D78" s="149"/>
      <c r="E78" s="61" t="str">
        <f aca="false">IF(OR($C78="",名簿!$F78="転出"),"",IF($C$2="学級ごと",$A78,IF($C$2="前の単元と同じ",単元06!$E78&amp;"",$D78&amp;"")))</f>
        <v/>
      </c>
      <c r="F78" s="150"/>
      <c r="G78" s="150"/>
      <c r="H78" s="150"/>
      <c r="I78" s="151"/>
      <c r="J78" s="41" t="str">
        <f aca="false">IF($E78="","",$E78&amp;"|"&amp;COUNTIF($E$5:$E78,$E78))</f>
        <v/>
      </c>
      <c r="K78" s="40" t="str">
        <f aca="false">IF($I78="","",LEN($I78))</f>
        <v/>
      </c>
      <c r="L78" s="13"/>
      <c r="M78" s="13"/>
      <c r="N78" s="13"/>
      <c r="O78" s="13"/>
      <c r="P78" s="152"/>
      <c r="Q78" s="149"/>
      <c r="R78" s="152"/>
      <c r="S78" s="152"/>
      <c r="T78" s="62" t="str">
        <f aca="false">IF(OR($C78="",R78=""),"",IF(R78/IF($R$2="",100,$R$2)&gt;=設定!$I$28,設定!$G$8,IF(R78/IF($R$2="",100,$R$2)&lt;設定!$I$29,設定!$G$10,設定!$G$9)))</f>
        <v/>
      </c>
      <c r="U78" s="62" t="str">
        <f aca="false">IF(OR($C78="",S78=""),"",IF(S78/IF($S$2="",100,$S$2)&gt;=設定!$I$28,設定!$G$8,IF(S78/IF($S$2="",100,$S$2)&lt;設定!$I$29,設定!$G$10,設定!$G$9)))</f>
        <v/>
      </c>
    </row>
    <row r="79" customFormat="false" ht="21" hidden="false" customHeight="true" outlineLevel="0" collapsed="false">
      <c r="A79" s="91" t="str">
        <f aca="false">IF(名簿!$D79="","",名簿!$B79&amp;"")</f>
        <v/>
      </c>
      <c r="B79" s="91" t="str">
        <f aca="false">IF(名簿!$D79="","",名簿!$C79)</f>
        <v/>
      </c>
      <c r="C79" s="59" t="str">
        <f aca="false">IF(名簿!$D79="","",名簿!$D79&amp;IF(名簿!$F79="転出","（転出）",""))</f>
        <v/>
      </c>
      <c r="D79" s="149"/>
      <c r="E79" s="61" t="str">
        <f aca="false">IF(OR($C79="",名簿!$F79="転出"),"",IF($C$2="学級ごと",$A79,IF($C$2="前の単元と同じ",単元06!$E79&amp;"",$D79&amp;"")))</f>
        <v/>
      </c>
      <c r="F79" s="150"/>
      <c r="G79" s="150"/>
      <c r="H79" s="150"/>
      <c r="I79" s="151"/>
      <c r="J79" s="41" t="str">
        <f aca="false">IF($E79="","",$E79&amp;"|"&amp;COUNTIF($E$5:$E79,$E79))</f>
        <v/>
      </c>
      <c r="K79" s="40" t="str">
        <f aca="false">IF($I79="","",LEN($I79))</f>
        <v/>
      </c>
      <c r="L79" s="13"/>
      <c r="M79" s="13"/>
      <c r="N79" s="13"/>
      <c r="O79" s="13"/>
      <c r="P79" s="152"/>
      <c r="Q79" s="149"/>
      <c r="R79" s="152"/>
      <c r="S79" s="152"/>
      <c r="T79" s="62" t="str">
        <f aca="false">IF(OR($C79="",R79=""),"",IF(R79/IF($R$2="",100,$R$2)&gt;=設定!$I$28,設定!$G$8,IF(R79/IF($R$2="",100,$R$2)&lt;設定!$I$29,設定!$G$10,設定!$G$9)))</f>
        <v/>
      </c>
      <c r="U79" s="62" t="str">
        <f aca="false">IF(OR($C79="",S79=""),"",IF(S79/IF($S$2="",100,$S$2)&gt;=設定!$I$28,設定!$G$8,IF(S79/IF($S$2="",100,$S$2)&lt;設定!$I$29,設定!$G$10,設定!$G$9)))</f>
        <v/>
      </c>
    </row>
    <row r="80" customFormat="false" ht="21" hidden="false" customHeight="true" outlineLevel="0" collapsed="false">
      <c r="A80" s="91" t="str">
        <f aca="false">IF(名簿!$D80="","",名簿!$B80&amp;"")</f>
        <v/>
      </c>
      <c r="B80" s="91" t="str">
        <f aca="false">IF(名簿!$D80="","",名簿!$C80)</f>
        <v/>
      </c>
      <c r="C80" s="59" t="str">
        <f aca="false">IF(名簿!$D80="","",名簿!$D80&amp;IF(名簿!$F80="転出","（転出）",""))</f>
        <v/>
      </c>
      <c r="D80" s="149"/>
      <c r="E80" s="61" t="str">
        <f aca="false">IF(OR($C80="",名簿!$F80="転出"),"",IF($C$2="学級ごと",$A80,IF($C$2="前の単元と同じ",単元06!$E80&amp;"",$D80&amp;"")))</f>
        <v/>
      </c>
      <c r="F80" s="150"/>
      <c r="G80" s="150"/>
      <c r="H80" s="150"/>
      <c r="I80" s="151"/>
      <c r="J80" s="41" t="str">
        <f aca="false">IF($E80="","",$E80&amp;"|"&amp;COUNTIF($E$5:$E80,$E80))</f>
        <v/>
      </c>
      <c r="K80" s="40" t="str">
        <f aca="false">IF($I80="","",LEN($I80))</f>
        <v/>
      </c>
      <c r="L80" s="13"/>
      <c r="M80" s="13"/>
      <c r="N80" s="13"/>
      <c r="O80" s="13"/>
      <c r="P80" s="152"/>
      <c r="Q80" s="149"/>
      <c r="R80" s="152"/>
      <c r="S80" s="152"/>
      <c r="T80" s="62" t="str">
        <f aca="false">IF(OR($C80="",R80=""),"",IF(R80/IF($R$2="",100,$R$2)&gt;=設定!$I$28,設定!$G$8,IF(R80/IF($R$2="",100,$R$2)&lt;設定!$I$29,設定!$G$10,設定!$G$9)))</f>
        <v/>
      </c>
      <c r="U80" s="62" t="str">
        <f aca="false">IF(OR($C80="",S80=""),"",IF(S80/IF($S$2="",100,$S$2)&gt;=設定!$I$28,設定!$G$8,IF(S80/IF($S$2="",100,$S$2)&lt;設定!$I$29,設定!$G$10,設定!$G$9)))</f>
        <v/>
      </c>
    </row>
    <row r="81" customFormat="false" ht="21" hidden="false" customHeight="true" outlineLevel="0" collapsed="false">
      <c r="A81" s="91" t="str">
        <f aca="false">IF(名簿!$D81="","",名簿!$B81&amp;"")</f>
        <v/>
      </c>
      <c r="B81" s="91" t="str">
        <f aca="false">IF(名簿!$D81="","",名簿!$C81)</f>
        <v/>
      </c>
      <c r="C81" s="59" t="str">
        <f aca="false">IF(名簿!$D81="","",名簿!$D81&amp;IF(名簿!$F81="転出","（転出）",""))</f>
        <v/>
      </c>
      <c r="D81" s="149"/>
      <c r="E81" s="61" t="str">
        <f aca="false">IF(OR($C81="",名簿!$F81="転出"),"",IF($C$2="学級ごと",$A81,IF($C$2="前の単元と同じ",単元06!$E81&amp;"",$D81&amp;"")))</f>
        <v/>
      </c>
      <c r="F81" s="150"/>
      <c r="G81" s="150"/>
      <c r="H81" s="150"/>
      <c r="I81" s="151"/>
      <c r="J81" s="41" t="str">
        <f aca="false">IF($E81="","",$E81&amp;"|"&amp;COUNTIF($E$5:$E81,$E81))</f>
        <v/>
      </c>
      <c r="K81" s="40" t="str">
        <f aca="false">IF($I81="","",LEN($I81))</f>
        <v/>
      </c>
      <c r="L81" s="13"/>
      <c r="M81" s="13"/>
      <c r="N81" s="13"/>
      <c r="O81" s="13"/>
      <c r="P81" s="152"/>
      <c r="Q81" s="149"/>
      <c r="R81" s="152"/>
      <c r="S81" s="152"/>
      <c r="T81" s="62" t="str">
        <f aca="false">IF(OR($C81="",R81=""),"",IF(R81/IF($R$2="",100,$R$2)&gt;=設定!$I$28,設定!$G$8,IF(R81/IF($R$2="",100,$R$2)&lt;設定!$I$29,設定!$G$10,設定!$G$9)))</f>
        <v/>
      </c>
      <c r="U81" s="62" t="str">
        <f aca="false">IF(OR($C81="",S81=""),"",IF(S81/IF($S$2="",100,$S$2)&gt;=設定!$I$28,設定!$G$8,IF(S81/IF($S$2="",100,$S$2)&lt;設定!$I$29,設定!$G$10,設定!$G$9)))</f>
        <v/>
      </c>
    </row>
    <row r="82" customFormat="false" ht="21" hidden="false" customHeight="true" outlineLevel="0" collapsed="false">
      <c r="A82" s="91" t="str">
        <f aca="false">IF(名簿!$D82="","",名簿!$B82&amp;"")</f>
        <v/>
      </c>
      <c r="B82" s="91" t="str">
        <f aca="false">IF(名簿!$D82="","",名簿!$C82)</f>
        <v/>
      </c>
      <c r="C82" s="59" t="str">
        <f aca="false">IF(名簿!$D82="","",名簿!$D82&amp;IF(名簿!$F82="転出","（転出）",""))</f>
        <v/>
      </c>
      <c r="D82" s="149"/>
      <c r="E82" s="61" t="str">
        <f aca="false">IF(OR($C82="",名簿!$F82="転出"),"",IF($C$2="学級ごと",$A82,IF($C$2="前の単元と同じ",単元06!$E82&amp;"",$D82&amp;"")))</f>
        <v/>
      </c>
      <c r="F82" s="150"/>
      <c r="G82" s="150"/>
      <c r="H82" s="150"/>
      <c r="I82" s="151"/>
      <c r="J82" s="41" t="str">
        <f aca="false">IF($E82="","",$E82&amp;"|"&amp;COUNTIF($E$5:$E82,$E82))</f>
        <v/>
      </c>
      <c r="K82" s="40" t="str">
        <f aca="false">IF($I82="","",LEN($I82))</f>
        <v/>
      </c>
      <c r="L82" s="13"/>
      <c r="M82" s="13"/>
      <c r="N82" s="13"/>
      <c r="O82" s="13"/>
      <c r="P82" s="152"/>
      <c r="Q82" s="149"/>
      <c r="R82" s="152"/>
      <c r="S82" s="152"/>
      <c r="T82" s="62" t="str">
        <f aca="false">IF(OR($C82="",R82=""),"",IF(R82/IF($R$2="",100,$R$2)&gt;=設定!$I$28,設定!$G$8,IF(R82/IF($R$2="",100,$R$2)&lt;設定!$I$29,設定!$G$10,設定!$G$9)))</f>
        <v/>
      </c>
      <c r="U82" s="62" t="str">
        <f aca="false">IF(OR($C82="",S82=""),"",IF(S82/IF($S$2="",100,$S$2)&gt;=設定!$I$28,設定!$G$8,IF(S82/IF($S$2="",100,$S$2)&lt;設定!$I$29,設定!$G$10,設定!$G$9)))</f>
        <v/>
      </c>
    </row>
    <row r="83" customFormat="false" ht="21" hidden="false" customHeight="true" outlineLevel="0" collapsed="false">
      <c r="A83" s="91" t="str">
        <f aca="false">IF(名簿!$D83="","",名簿!$B83&amp;"")</f>
        <v/>
      </c>
      <c r="B83" s="91" t="str">
        <f aca="false">IF(名簿!$D83="","",名簿!$C83)</f>
        <v/>
      </c>
      <c r="C83" s="59" t="str">
        <f aca="false">IF(名簿!$D83="","",名簿!$D83&amp;IF(名簿!$F83="転出","（転出）",""))</f>
        <v/>
      </c>
      <c r="D83" s="149"/>
      <c r="E83" s="61" t="str">
        <f aca="false">IF(OR($C83="",名簿!$F83="転出"),"",IF($C$2="学級ごと",$A83,IF($C$2="前の単元と同じ",単元06!$E83&amp;"",$D83&amp;"")))</f>
        <v/>
      </c>
      <c r="F83" s="150"/>
      <c r="G83" s="150"/>
      <c r="H83" s="150"/>
      <c r="I83" s="151"/>
      <c r="J83" s="41" t="str">
        <f aca="false">IF($E83="","",$E83&amp;"|"&amp;COUNTIF($E$5:$E83,$E83))</f>
        <v/>
      </c>
      <c r="K83" s="40" t="str">
        <f aca="false">IF($I83="","",LEN($I83))</f>
        <v/>
      </c>
      <c r="L83" s="13"/>
      <c r="M83" s="13"/>
      <c r="N83" s="13"/>
      <c r="O83" s="13"/>
      <c r="P83" s="152"/>
      <c r="Q83" s="149"/>
      <c r="R83" s="152"/>
      <c r="S83" s="152"/>
      <c r="T83" s="62" t="str">
        <f aca="false">IF(OR($C83="",R83=""),"",IF(R83/IF($R$2="",100,$R$2)&gt;=設定!$I$28,設定!$G$8,IF(R83/IF($R$2="",100,$R$2)&lt;設定!$I$29,設定!$G$10,設定!$G$9)))</f>
        <v/>
      </c>
      <c r="U83" s="62" t="str">
        <f aca="false">IF(OR($C83="",S83=""),"",IF(S83/IF($S$2="",100,$S$2)&gt;=設定!$I$28,設定!$G$8,IF(S83/IF($S$2="",100,$S$2)&lt;設定!$I$29,設定!$G$10,設定!$G$9)))</f>
        <v/>
      </c>
    </row>
    <row r="84" customFormat="false" ht="21" hidden="false" customHeight="true" outlineLevel="0" collapsed="false">
      <c r="A84" s="91" t="str">
        <f aca="false">IF(名簿!$D84="","",名簿!$B84&amp;"")</f>
        <v/>
      </c>
      <c r="B84" s="91" t="str">
        <f aca="false">IF(名簿!$D84="","",名簿!$C84)</f>
        <v/>
      </c>
      <c r="C84" s="59" t="str">
        <f aca="false">IF(名簿!$D84="","",名簿!$D84&amp;IF(名簿!$F84="転出","（転出）",""))</f>
        <v/>
      </c>
      <c r="D84" s="149"/>
      <c r="E84" s="61" t="str">
        <f aca="false">IF(OR($C84="",名簿!$F84="転出"),"",IF($C$2="学級ごと",$A84,IF($C$2="前の単元と同じ",単元06!$E84&amp;"",$D84&amp;"")))</f>
        <v/>
      </c>
      <c r="F84" s="150"/>
      <c r="G84" s="150"/>
      <c r="H84" s="150"/>
      <c r="I84" s="151"/>
      <c r="J84" s="41" t="str">
        <f aca="false">IF($E84="","",$E84&amp;"|"&amp;COUNTIF($E$5:$E84,$E84))</f>
        <v/>
      </c>
      <c r="K84" s="40" t="str">
        <f aca="false">IF($I84="","",LEN($I84))</f>
        <v/>
      </c>
      <c r="L84" s="13"/>
      <c r="M84" s="13"/>
      <c r="N84" s="13"/>
      <c r="O84" s="13"/>
      <c r="P84" s="152"/>
      <c r="Q84" s="149"/>
      <c r="R84" s="152"/>
      <c r="S84" s="152"/>
      <c r="T84" s="62" t="str">
        <f aca="false">IF(OR($C84="",R84=""),"",IF(R84/IF($R$2="",100,$R$2)&gt;=設定!$I$28,設定!$G$8,IF(R84/IF($R$2="",100,$R$2)&lt;設定!$I$29,設定!$G$10,設定!$G$9)))</f>
        <v/>
      </c>
      <c r="U84" s="62" t="str">
        <f aca="false">IF(OR($C84="",S84=""),"",IF(S84/IF($S$2="",100,$S$2)&gt;=設定!$I$28,設定!$G$8,IF(S84/IF($S$2="",100,$S$2)&lt;設定!$I$29,設定!$G$10,設定!$G$9)))</f>
        <v/>
      </c>
    </row>
    <row r="85" customFormat="false" ht="21" hidden="false" customHeight="true" outlineLevel="0" collapsed="false">
      <c r="A85" s="91" t="str">
        <f aca="false">IF(名簿!$D85="","",名簿!$B85&amp;"")</f>
        <v/>
      </c>
      <c r="B85" s="91" t="str">
        <f aca="false">IF(名簿!$D85="","",名簿!$C85)</f>
        <v/>
      </c>
      <c r="C85" s="59" t="str">
        <f aca="false">IF(名簿!$D85="","",名簿!$D85&amp;IF(名簿!$F85="転出","（転出）",""))</f>
        <v/>
      </c>
      <c r="D85" s="149"/>
      <c r="E85" s="61" t="str">
        <f aca="false">IF(OR($C85="",名簿!$F85="転出"),"",IF($C$2="学級ごと",$A85,IF($C$2="前の単元と同じ",単元06!$E85&amp;"",$D85&amp;"")))</f>
        <v/>
      </c>
      <c r="F85" s="150"/>
      <c r="G85" s="150"/>
      <c r="H85" s="150"/>
      <c r="I85" s="151"/>
      <c r="J85" s="41" t="str">
        <f aca="false">IF($E85="","",$E85&amp;"|"&amp;COUNTIF($E$5:$E85,$E85))</f>
        <v/>
      </c>
      <c r="K85" s="40" t="str">
        <f aca="false">IF($I85="","",LEN($I85))</f>
        <v/>
      </c>
      <c r="L85" s="13"/>
      <c r="M85" s="13"/>
      <c r="N85" s="13"/>
      <c r="O85" s="13"/>
      <c r="P85" s="152"/>
      <c r="Q85" s="149"/>
      <c r="R85" s="152"/>
      <c r="S85" s="152"/>
      <c r="T85" s="62" t="str">
        <f aca="false">IF(OR($C85="",R85=""),"",IF(R85/IF($R$2="",100,$R$2)&gt;=設定!$I$28,設定!$G$8,IF(R85/IF($R$2="",100,$R$2)&lt;設定!$I$29,設定!$G$10,設定!$G$9)))</f>
        <v/>
      </c>
      <c r="U85" s="62" t="str">
        <f aca="false">IF(OR($C85="",S85=""),"",IF(S85/IF($S$2="",100,$S$2)&gt;=設定!$I$28,設定!$G$8,IF(S85/IF($S$2="",100,$S$2)&lt;設定!$I$29,設定!$G$10,設定!$G$9)))</f>
        <v/>
      </c>
    </row>
    <row r="86" customFormat="false" ht="21" hidden="false" customHeight="true" outlineLevel="0" collapsed="false">
      <c r="A86" s="91" t="str">
        <f aca="false">IF(名簿!$D86="","",名簿!$B86&amp;"")</f>
        <v/>
      </c>
      <c r="B86" s="91" t="str">
        <f aca="false">IF(名簿!$D86="","",名簿!$C86)</f>
        <v/>
      </c>
      <c r="C86" s="59" t="str">
        <f aca="false">IF(名簿!$D86="","",名簿!$D86&amp;IF(名簿!$F86="転出","（転出）",""))</f>
        <v/>
      </c>
      <c r="D86" s="149"/>
      <c r="E86" s="61" t="str">
        <f aca="false">IF(OR($C86="",名簿!$F86="転出"),"",IF($C$2="学級ごと",$A86,IF($C$2="前の単元と同じ",単元06!$E86&amp;"",$D86&amp;"")))</f>
        <v/>
      </c>
      <c r="F86" s="150"/>
      <c r="G86" s="150"/>
      <c r="H86" s="150"/>
      <c r="I86" s="151"/>
      <c r="J86" s="41" t="str">
        <f aca="false">IF($E86="","",$E86&amp;"|"&amp;COUNTIF($E$5:$E86,$E86))</f>
        <v/>
      </c>
      <c r="K86" s="40" t="str">
        <f aca="false">IF($I86="","",LEN($I86))</f>
        <v/>
      </c>
      <c r="L86" s="13"/>
      <c r="M86" s="13"/>
      <c r="N86" s="13"/>
      <c r="O86" s="13"/>
      <c r="P86" s="152"/>
      <c r="Q86" s="149"/>
      <c r="R86" s="152"/>
      <c r="S86" s="152"/>
      <c r="T86" s="62" t="str">
        <f aca="false">IF(OR($C86="",R86=""),"",IF(R86/IF($R$2="",100,$R$2)&gt;=設定!$I$28,設定!$G$8,IF(R86/IF($R$2="",100,$R$2)&lt;設定!$I$29,設定!$G$10,設定!$G$9)))</f>
        <v/>
      </c>
      <c r="U86" s="62" t="str">
        <f aca="false">IF(OR($C86="",S86=""),"",IF(S86/IF($S$2="",100,$S$2)&gt;=設定!$I$28,設定!$G$8,IF(S86/IF($S$2="",100,$S$2)&lt;設定!$I$29,設定!$G$10,設定!$G$9)))</f>
        <v/>
      </c>
    </row>
    <row r="87" customFormat="false" ht="21" hidden="false" customHeight="true" outlineLevel="0" collapsed="false">
      <c r="A87" s="91" t="str">
        <f aca="false">IF(名簿!$D87="","",名簿!$B87&amp;"")</f>
        <v/>
      </c>
      <c r="B87" s="91" t="str">
        <f aca="false">IF(名簿!$D87="","",名簿!$C87)</f>
        <v/>
      </c>
      <c r="C87" s="59" t="str">
        <f aca="false">IF(名簿!$D87="","",名簿!$D87&amp;IF(名簿!$F87="転出","（転出）",""))</f>
        <v/>
      </c>
      <c r="D87" s="149"/>
      <c r="E87" s="61" t="str">
        <f aca="false">IF(OR($C87="",名簿!$F87="転出"),"",IF($C$2="学級ごと",$A87,IF($C$2="前の単元と同じ",単元06!$E87&amp;"",$D87&amp;"")))</f>
        <v/>
      </c>
      <c r="F87" s="150"/>
      <c r="G87" s="150"/>
      <c r="H87" s="150"/>
      <c r="I87" s="151"/>
      <c r="J87" s="41" t="str">
        <f aca="false">IF($E87="","",$E87&amp;"|"&amp;COUNTIF($E$5:$E87,$E87))</f>
        <v/>
      </c>
      <c r="K87" s="40" t="str">
        <f aca="false">IF($I87="","",LEN($I87))</f>
        <v/>
      </c>
      <c r="L87" s="13"/>
      <c r="M87" s="13"/>
      <c r="N87" s="13"/>
      <c r="O87" s="13"/>
      <c r="P87" s="152"/>
      <c r="Q87" s="149"/>
      <c r="R87" s="152"/>
      <c r="S87" s="152"/>
      <c r="T87" s="62" t="str">
        <f aca="false">IF(OR($C87="",R87=""),"",IF(R87/IF($R$2="",100,$R$2)&gt;=設定!$I$28,設定!$G$8,IF(R87/IF($R$2="",100,$R$2)&lt;設定!$I$29,設定!$G$10,設定!$G$9)))</f>
        <v/>
      </c>
      <c r="U87" s="62" t="str">
        <f aca="false">IF(OR($C87="",S87=""),"",IF(S87/IF($S$2="",100,$S$2)&gt;=設定!$I$28,設定!$G$8,IF(S87/IF($S$2="",100,$S$2)&lt;設定!$I$29,設定!$G$10,設定!$G$9)))</f>
        <v/>
      </c>
    </row>
    <row r="88" customFormat="false" ht="21" hidden="false" customHeight="true" outlineLevel="0" collapsed="false">
      <c r="A88" s="91" t="str">
        <f aca="false">IF(名簿!$D88="","",名簿!$B88&amp;"")</f>
        <v/>
      </c>
      <c r="B88" s="91" t="str">
        <f aca="false">IF(名簿!$D88="","",名簿!$C88)</f>
        <v/>
      </c>
      <c r="C88" s="59" t="str">
        <f aca="false">IF(名簿!$D88="","",名簿!$D88&amp;IF(名簿!$F88="転出","（転出）",""))</f>
        <v/>
      </c>
      <c r="D88" s="149"/>
      <c r="E88" s="61" t="str">
        <f aca="false">IF(OR($C88="",名簿!$F88="転出"),"",IF($C$2="学級ごと",$A88,IF($C$2="前の単元と同じ",単元06!$E88&amp;"",$D88&amp;"")))</f>
        <v/>
      </c>
      <c r="F88" s="150"/>
      <c r="G88" s="150"/>
      <c r="H88" s="150"/>
      <c r="I88" s="151"/>
      <c r="J88" s="41" t="str">
        <f aca="false">IF($E88="","",$E88&amp;"|"&amp;COUNTIF($E$5:$E88,$E88))</f>
        <v/>
      </c>
      <c r="K88" s="40" t="str">
        <f aca="false">IF($I88="","",LEN($I88))</f>
        <v/>
      </c>
      <c r="L88" s="13"/>
      <c r="M88" s="13"/>
      <c r="N88" s="13"/>
      <c r="O88" s="13"/>
      <c r="P88" s="152"/>
      <c r="Q88" s="149"/>
      <c r="R88" s="152"/>
      <c r="S88" s="152"/>
      <c r="T88" s="62" t="str">
        <f aca="false">IF(OR($C88="",R88=""),"",IF(R88/IF($R$2="",100,$R$2)&gt;=設定!$I$28,設定!$G$8,IF(R88/IF($R$2="",100,$R$2)&lt;設定!$I$29,設定!$G$10,設定!$G$9)))</f>
        <v/>
      </c>
      <c r="U88" s="62" t="str">
        <f aca="false">IF(OR($C88="",S88=""),"",IF(S88/IF($S$2="",100,$S$2)&gt;=設定!$I$28,設定!$G$8,IF(S88/IF($S$2="",100,$S$2)&lt;設定!$I$29,設定!$G$10,設定!$G$9)))</f>
        <v/>
      </c>
    </row>
    <row r="89" customFormat="false" ht="21" hidden="false" customHeight="true" outlineLevel="0" collapsed="false">
      <c r="A89" s="91" t="str">
        <f aca="false">IF(名簿!$D89="","",名簿!$B89&amp;"")</f>
        <v/>
      </c>
      <c r="B89" s="91" t="str">
        <f aca="false">IF(名簿!$D89="","",名簿!$C89)</f>
        <v/>
      </c>
      <c r="C89" s="59" t="str">
        <f aca="false">IF(名簿!$D89="","",名簿!$D89&amp;IF(名簿!$F89="転出","（転出）",""))</f>
        <v/>
      </c>
      <c r="D89" s="149"/>
      <c r="E89" s="61" t="str">
        <f aca="false">IF(OR($C89="",名簿!$F89="転出"),"",IF($C$2="学級ごと",$A89,IF($C$2="前の単元と同じ",単元06!$E89&amp;"",$D89&amp;"")))</f>
        <v/>
      </c>
      <c r="F89" s="150"/>
      <c r="G89" s="150"/>
      <c r="H89" s="150"/>
      <c r="I89" s="151"/>
      <c r="J89" s="41" t="str">
        <f aca="false">IF($E89="","",$E89&amp;"|"&amp;COUNTIF($E$5:$E89,$E89))</f>
        <v/>
      </c>
      <c r="K89" s="40" t="str">
        <f aca="false">IF($I89="","",LEN($I89))</f>
        <v/>
      </c>
      <c r="L89" s="13"/>
      <c r="M89" s="13"/>
      <c r="N89" s="13"/>
      <c r="O89" s="13"/>
      <c r="P89" s="152"/>
      <c r="Q89" s="149"/>
      <c r="R89" s="152"/>
      <c r="S89" s="152"/>
      <c r="T89" s="62" t="str">
        <f aca="false">IF(OR($C89="",R89=""),"",IF(R89/IF($R$2="",100,$R$2)&gt;=設定!$I$28,設定!$G$8,IF(R89/IF($R$2="",100,$R$2)&lt;設定!$I$29,設定!$G$10,設定!$G$9)))</f>
        <v/>
      </c>
      <c r="U89" s="62" t="str">
        <f aca="false">IF(OR($C89="",S89=""),"",IF(S89/IF($S$2="",100,$S$2)&gt;=設定!$I$28,設定!$G$8,IF(S89/IF($S$2="",100,$S$2)&lt;設定!$I$29,設定!$G$10,設定!$G$9)))</f>
        <v/>
      </c>
    </row>
    <row r="90" customFormat="false" ht="21" hidden="false" customHeight="true" outlineLevel="0" collapsed="false">
      <c r="A90" s="91" t="str">
        <f aca="false">IF(名簿!$D90="","",名簿!$B90&amp;"")</f>
        <v/>
      </c>
      <c r="B90" s="91" t="str">
        <f aca="false">IF(名簿!$D90="","",名簿!$C90)</f>
        <v/>
      </c>
      <c r="C90" s="59" t="str">
        <f aca="false">IF(名簿!$D90="","",名簿!$D90&amp;IF(名簿!$F90="転出","（転出）",""))</f>
        <v/>
      </c>
      <c r="D90" s="149"/>
      <c r="E90" s="61" t="str">
        <f aca="false">IF(OR($C90="",名簿!$F90="転出"),"",IF($C$2="学級ごと",$A90,IF($C$2="前の単元と同じ",単元06!$E90&amp;"",$D90&amp;"")))</f>
        <v/>
      </c>
      <c r="F90" s="150"/>
      <c r="G90" s="150"/>
      <c r="H90" s="150"/>
      <c r="I90" s="151"/>
      <c r="J90" s="41" t="str">
        <f aca="false">IF($E90="","",$E90&amp;"|"&amp;COUNTIF($E$5:$E90,$E90))</f>
        <v/>
      </c>
      <c r="K90" s="40" t="str">
        <f aca="false">IF($I90="","",LEN($I90))</f>
        <v/>
      </c>
      <c r="L90" s="13"/>
      <c r="M90" s="13"/>
      <c r="N90" s="13"/>
      <c r="O90" s="13"/>
      <c r="P90" s="152"/>
      <c r="Q90" s="149"/>
      <c r="R90" s="152"/>
      <c r="S90" s="152"/>
      <c r="T90" s="62" t="str">
        <f aca="false">IF(OR($C90="",R90=""),"",IF(R90/IF($R$2="",100,$R$2)&gt;=設定!$I$28,設定!$G$8,IF(R90/IF($R$2="",100,$R$2)&lt;設定!$I$29,設定!$G$10,設定!$G$9)))</f>
        <v/>
      </c>
      <c r="U90" s="62" t="str">
        <f aca="false">IF(OR($C90="",S90=""),"",IF(S90/IF($S$2="",100,$S$2)&gt;=設定!$I$28,設定!$G$8,IF(S90/IF($S$2="",100,$S$2)&lt;設定!$I$29,設定!$G$10,設定!$G$9)))</f>
        <v/>
      </c>
    </row>
    <row r="91" customFormat="false" ht="21" hidden="false" customHeight="true" outlineLevel="0" collapsed="false">
      <c r="A91" s="91" t="str">
        <f aca="false">IF(名簿!$D91="","",名簿!$B91&amp;"")</f>
        <v/>
      </c>
      <c r="B91" s="91" t="str">
        <f aca="false">IF(名簿!$D91="","",名簿!$C91)</f>
        <v/>
      </c>
      <c r="C91" s="59" t="str">
        <f aca="false">IF(名簿!$D91="","",名簿!$D91&amp;IF(名簿!$F91="転出","（転出）",""))</f>
        <v/>
      </c>
      <c r="D91" s="149"/>
      <c r="E91" s="61" t="str">
        <f aca="false">IF(OR($C91="",名簿!$F91="転出"),"",IF($C$2="学級ごと",$A91,IF($C$2="前の単元と同じ",単元06!$E91&amp;"",$D91&amp;"")))</f>
        <v/>
      </c>
      <c r="F91" s="150"/>
      <c r="G91" s="150"/>
      <c r="H91" s="150"/>
      <c r="I91" s="151"/>
      <c r="J91" s="41" t="str">
        <f aca="false">IF($E91="","",$E91&amp;"|"&amp;COUNTIF($E$5:$E91,$E91))</f>
        <v/>
      </c>
      <c r="K91" s="40" t="str">
        <f aca="false">IF($I91="","",LEN($I91))</f>
        <v/>
      </c>
      <c r="L91" s="13"/>
      <c r="M91" s="13"/>
      <c r="N91" s="13"/>
      <c r="O91" s="13"/>
      <c r="P91" s="152"/>
      <c r="Q91" s="149"/>
      <c r="R91" s="152"/>
      <c r="S91" s="152"/>
      <c r="T91" s="62" t="str">
        <f aca="false">IF(OR($C91="",R91=""),"",IF(R91/IF($R$2="",100,$R$2)&gt;=設定!$I$28,設定!$G$8,IF(R91/IF($R$2="",100,$R$2)&lt;設定!$I$29,設定!$G$10,設定!$G$9)))</f>
        <v/>
      </c>
      <c r="U91" s="62" t="str">
        <f aca="false">IF(OR($C91="",S91=""),"",IF(S91/IF($S$2="",100,$S$2)&gt;=設定!$I$28,設定!$G$8,IF(S91/IF($S$2="",100,$S$2)&lt;設定!$I$29,設定!$G$10,設定!$G$9)))</f>
        <v/>
      </c>
    </row>
    <row r="92" customFormat="false" ht="21" hidden="false" customHeight="true" outlineLevel="0" collapsed="false">
      <c r="A92" s="91" t="str">
        <f aca="false">IF(名簿!$D92="","",名簿!$B92&amp;"")</f>
        <v/>
      </c>
      <c r="B92" s="91" t="str">
        <f aca="false">IF(名簿!$D92="","",名簿!$C92)</f>
        <v/>
      </c>
      <c r="C92" s="59" t="str">
        <f aca="false">IF(名簿!$D92="","",名簿!$D92&amp;IF(名簿!$F92="転出","（転出）",""))</f>
        <v/>
      </c>
      <c r="D92" s="149"/>
      <c r="E92" s="61" t="str">
        <f aca="false">IF(OR($C92="",名簿!$F92="転出"),"",IF($C$2="学級ごと",$A92,IF($C$2="前の単元と同じ",単元06!$E92&amp;"",$D92&amp;"")))</f>
        <v/>
      </c>
      <c r="F92" s="150"/>
      <c r="G92" s="150"/>
      <c r="H92" s="150"/>
      <c r="I92" s="151"/>
      <c r="J92" s="41" t="str">
        <f aca="false">IF($E92="","",$E92&amp;"|"&amp;COUNTIF($E$5:$E92,$E92))</f>
        <v/>
      </c>
      <c r="K92" s="40" t="str">
        <f aca="false">IF($I92="","",LEN($I92))</f>
        <v/>
      </c>
      <c r="L92" s="13"/>
      <c r="M92" s="13"/>
      <c r="N92" s="13"/>
      <c r="O92" s="13"/>
      <c r="P92" s="152"/>
      <c r="Q92" s="149"/>
      <c r="R92" s="152"/>
      <c r="S92" s="152"/>
      <c r="T92" s="62" t="str">
        <f aca="false">IF(OR($C92="",R92=""),"",IF(R92/IF($R$2="",100,$R$2)&gt;=設定!$I$28,設定!$G$8,IF(R92/IF($R$2="",100,$R$2)&lt;設定!$I$29,設定!$G$10,設定!$G$9)))</f>
        <v/>
      </c>
      <c r="U92" s="62" t="str">
        <f aca="false">IF(OR($C92="",S92=""),"",IF(S92/IF($S$2="",100,$S$2)&gt;=設定!$I$28,設定!$G$8,IF(S92/IF($S$2="",100,$S$2)&lt;設定!$I$29,設定!$G$10,設定!$G$9)))</f>
        <v/>
      </c>
    </row>
    <row r="93" customFormat="false" ht="21" hidden="false" customHeight="true" outlineLevel="0" collapsed="false">
      <c r="A93" s="91" t="str">
        <f aca="false">IF(名簿!$D93="","",名簿!$B93&amp;"")</f>
        <v/>
      </c>
      <c r="B93" s="91" t="str">
        <f aca="false">IF(名簿!$D93="","",名簿!$C93)</f>
        <v/>
      </c>
      <c r="C93" s="59" t="str">
        <f aca="false">IF(名簿!$D93="","",名簿!$D93&amp;IF(名簿!$F93="転出","（転出）",""))</f>
        <v/>
      </c>
      <c r="D93" s="149"/>
      <c r="E93" s="61" t="str">
        <f aca="false">IF(OR($C93="",名簿!$F93="転出"),"",IF($C$2="学級ごと",$A93,IF($C$2="前の単元と同じ",単元06!$E93&amp;"",$D93&amp;"")))</f>
        <v/>
      </c>
      <c r="F93" s="150"/>
      <c r="G93" s="150"/>
      <c r="H93" s="150"/>
      <c r="I93" s="151"/>
      <c r="J93" s="41" t="str">
        <f aca="false">IF($E93="","",$E93&amp;"|"&amp;COUNTIF($E$5:$E93,$E93))</f>
        <v/>
      </c>
      <c r="K93" s="40" t="str">
        <f aca="false">IF($I93="","",LEN($I93))</f>
        <v/>
      </c>
      <c r="L93" s="13"/>
      <c r="M93" s="13"/>
      <c r="N93" s="13"/>
      <c r="O93" s="13"/>
      <c r="P93" s="152"/>
      <c r="Q93" s="149"/>
      <c r="R93" s="152"/>
      <c r="S93" s="152"/>
      <c r="T93" s="62" t="str">
        <f aca="false">IF(OR($C93="",R93=""),"",IF(R93/IF($R$2="",100,$R$2)&gt;=設定!$I$28,設定!$G$8,IF(R93/IF($R$2="",100,$R$2)&lt;設定!$I$29,設定!$G$10,設定!$G$9)))</f>
        <v/>
      </c>
      <c r="U93" s="62" t="str">
        <f aca="false">IF(OR($C93="",S93=""),"",IF(S93/IF($S$2="",100,$S$2)&gt;=設定!$I$28,設定!$G$8,IF(S93/IF($S$2="",100,$S$2)&lt;設定!$I$29,設定!$G$10,設定!$G$9)))</f>
        <v/>
      </c>
    </row>
    <row r="94" customFormat="false" ht="21" hidden="false" customHeight="true" outlineLevel="0" collapsed="false">
      <c r="A94" s="91" t="str">
        <f aca="false">IF(名簿!$D94="","",名簿!$B94&amp;"")</f>
        <v/>
      </c>
      <c r="B94" s="91" t="str">
        <f aca="false">IF(名簿!$D94="","",名簿!$C94)</f>
        <v/>
      </c>
      <c r="C94" s="59" t="str">
        <f aca="false">IF(名簿!$D94="","",名簿!$D94&amp;IF(名簿!$F94="転出","（転出）",""))</f>
        <v/>
      </c>
      <c r="D94" s="149"/>
      <c r="E94" s="61" t="str">
        <f aca="false">IF(OR($C94="",名簿!$F94="転出"),"",IF($C$2="学級ごと",$A94,IF($C$2="前の単元と同じ",単元06!$E94&amp;"",$D94&amp;"")))</f>
        <v/>
      </c>
      <c r="F94" s="150"/>
      <c r="G94" s="150"/>
      <c r="H94" s="150"/>
      <c r="I94" s="151"/>
      <c r="J94" s="41" t="str">
        <f aca="false">IF($E94="","",$E94&amp;"|"&amp;COUNTIF($E$5:$E94,$E94))</f>
        <v/>
      </c>
      <c r="K94" s="40" t="str">
        <f aca="false">IF($I94="","",LEN($I94))</f>
        <v/>
      </c>
      <c r="L94" s="13"/>
      <c r="M94" s="13"/>
      <c r="N94" s="13"/>
      <c r="O94" s="13"/>
      <c r="P94" s="152"/>
      <c r="Q94" s="149"/>
      <c r="R94" s="152"/>
      <c r="S94" s="152"/>
      <c r="T94" s="62" t="str">
        <f aca="false">IF(OR($C94="",R94=""),"",IF(R94/IF($R$2="",100,$R$2)&gt;=設定!$I$28,設定!$G$8,IF(R94/IF($R$2="",100,$R$2)&lt;設定!$I$29,設定!$G$10,設定!$G$9)))</f>
        <v/>
      </c>
      <c r="U94" s="62" t="str">
        <f aca="false">IF(OR($C94="",S94=""),"",IF(S94/IF($S$2="",100,$S$2)&gt;=設定!$I$28,設定!$G$8,IF(S94/IF($S$2="",100,$S$2)&lt;設定!$I$29,設定!$G$10,設定!$G$9)))</f>
        <v/>
      </c>
    </row>
    <row r="95" customFormat="false" ht="21" hidden="false" customHeight="true" outlineLevel="0" collapsed="false">
      <c r="A95" s="91" t="str">
        <f aca="false">IF(名簿!$D95="","",名簿!$B95&amp;"")</f>
        <v/>
      </c>
      <c r="B95" s="91" t="str">
        <f aca="false">IF(名簿!$D95="","",名簿!$C95)</f>
        <v/>
      </c>
      <c r="C95" s="59" t="str">
        <f aca="false">IF(名簿!$D95="","",名簿!$D95&amp;IF(名簿!$F95="転出","（転出）",""))</f>
        <v/>
      </c>
      <c r="D95" s="149"/>
      <c r="E95" s="61" t="str">
        <f aca="false">IF(OR($C95="",名簿!$F95="転出"),"",IF($C$2="学級ごと",$A95,IF($C$2="前の単元と同じ",単元06!$E95&amp;"",$D95&amp;"")))</f>
        <v/>
      </c>
      <c r="F95" s="150"/>
      <c r="G95" s="150"/>
      <c r="H95" s="150"/>
      <c r="I95" s="151"/>
      <c r="J95" s="41" t="str">
        <f aca="false">IF($E95="","",$E95&amp;"|"&amp;COUNTIF($E$5:$E95,$E95))</f>
        <v/>
      </c>
      <c r="K95" s="40" t="str">
        <f aca="false">IF($I95="","",LEN($I95))</f>
        <v/>
      </c>
      <c r="L95" s="13"/>
      <c r="M95" s="13"/>
      <c r="N95" s="13"/>
      <c r="O95" s="13"/>
      <c r="P95" s="152"/>
      <c r="Q95" s="149"/>
      <c r="R95" s="152"/>
      <c r="S95" s="152"/>
      <c r="T95" s="62" t="str">
        <f aca="false">IF(OR($C95="",R95=""),"",IF(R95/IF($R$2="",100,$R$2)&gt;=設定!$I$28,設定!$G$8,IF(R95/IF($R$2="",100,$R$2)&lt;設定!$I$29,設定!$G$10,設定!$G$9)))</f>
        <v/>
      </c>
      <c r="U95" s="62" t="str">
        <f aca="false">IF(OR($C95="",S95=""),"",IF(S95/IF($S$2="",100,$S$2)&gt;=設定!$I$28,設定!$G$8,IF(S95/IF($S$2="",100,$S$2)&lt;設定!$I$29,設定!$G$10,設定!$G$9)))</f>
        <v/>
      </c>
    </row>
    <row r="96" customFormat="false" ht="21" hidden="false" customHeight="true" outlineLevel="0" collapsed="false">
      <c r="A96" s="91" t="str">
        <f aca="false">IF(名簿!$D96="","",名簿!$B96&amp;"")</f>
        <v/>
      </c>
      <c r="B96" s="91" t="str">
        <f aca="false">IF(名簿!$D96="","",名簿!$C96)</f>
        <v/>
      </c>
      <c r="C96" s="59" t="str">
        <f aca="false">IF(名簿!$D96="","",名簿!$D96&amp;IF(名簿!$F96="転出","（転出）",""))</f>
        <v/>
      </c>
      <c r="D96" s="149"/>
      <c r="E96" s="61" t="str">
        <f aca="false">IF(OR($C96="",名簿!$F96="転出"),"",IF($C$2="学級ごと",$A96,IF($C$2="前の単元と同じ",単元06!$E96&amp;"",$D96&amp;"")))</f>
        <v/>
      </c>
      <c r="F96" s="150"/>
      <c r="G96" s="150"/>
      <c r="H96" s="150"/>
      <c r="I96" s="151"/>
      <c r="J96" s="41" t="str">
        <f aca="false">IF($E96="","",$E96&amp;"|"&amp;COUNTIF($E$5:$E96,$E96))</f>
        <v/>
      </c>
      <c r="K96" s="40" t="str">
        <f aca="false">IF($I96="","",LEN($I96))</f>
        <v/>
      </c>
      <c r="L96" s="13"/>
      <c r="M96" s="13"/>
      <c r="N96" s="13"/>
      <c r="O96" s="13"/>
      <c r="P96" s="152"/>
      <c r="Q96" s="149"/>
      <c r="R96" s="152"/>
      <c r="S96" s="152"/>
      <c r="T96" s="62" t="str">
        <f aca="false">IF(OR($C96="",R96=""),"",IF(R96/IF($R$2="",100,$R$2)&gt;=設定!$I$28,設定!$G$8,IF(R96/IF($R$2="",100,$R$2)&lt;設定!$I$29,設定!$G$10,設定!$G$9)))</f>
        <v/>
      </c>
      <c r="U96" s="62" t="str">
        <f aca="false">IF(OR($C96="",S96=""),"",IF(S96/IF($S$2="",100,$S$2)&gt;=設定!$I$28,設定!$G$8,IF(S96/IF($S$2="",100,$S$2)&lt;設定!$I$29,設定!$G$10,設定!$G$9)))</f>
        <v/>
      </c>
    </row>
    <row r="97" customFormat="false" ht="21" hidden="false" customHeight="true" outlineLevel="0" collapsed="false">
      <c r="A97" s="91" t="str">
        <f aca="false">IF(名簿!$D97="","",名簿!$B97&amp;"")</f>
        <v/>
      </c>
      <c r="B97" s="91" t="str">
        <f aca="false">IF(名簿!$D97="","",名簿!$C97)</f>
        <v/>
      </c>
      <c r="C97" s="59" t="str">
        <f aca="false">IF(名簿!$D97="","",名簿!$D97&amp;IF(名簿!$F97="転出","（転出）",""))</f>
        <v/>
      </c>
      <c r="D97" s="149"/>
      <c r="E97" s="61" t="str">
        <f aca="false">IF(OR($C97="",名簿!$F97="転出"),"",IF($C$2="学級ごと",$A97,IF($C$2="前の単元と同じ",単元06!$E97&amp;"",$D97&amp;"")))</f>
        <v/>
      </c>
      <c r="F97" s="150"/>
      <c r="G97" s="150"/>
      <c r="H97" s="150"/>
      <c r="I97" s="151"/>
      <c r="J97" s="41" t="str">
        <f aca="false">IF($E97="","",$E97&amp;"|"&amp;COUNTIF($E$5:$E97,$E97))</f>
        <v/>
      </c>
      <c r="K97" s="40" t="str">
        <f aca="false">IF($I97="","",LEN($I97))</f>
        <v/>
      </c>
      <c r="L97" s="13"/>
      <c r="M97" s="13"/>
      <c r="N97" s="13"/>
      <c r="O97" s="13"/>
      <c r="P97" s="152"/>
      <c r="Q97" s="149"/>
      <c r="R97" s="152"/>
      <c r="S97" s="152"/>
      <c r="T97" s="62" t="str">
        <f aca="false">IF(OR($C97="",R97=""),"",IF(R97/IF($R$2="",100,$R$2)&gt;=設定!$I$28,設定!$G$8,IF(R97/IF($R$2="",100,$R$2)&lt;設定!$I$29,設定!$G$10,設定!$G$9)))</f>
        <v/>
      </c>
      <c r="U97" s="62" t="str">
        <f aca="false">IF(OR($C97="",S97=""),"",IF(S97/IF($S$2="",100,$S$2)&gt;=設定!$I$28,設定!$G$8,IF(S97/IF($S$2="",100,$S$2)&lt;設定!$I$29,設定!$G$10,設定!$G$9)))</f>
        <v/>
      </c>
    </row>
    <row r="98" customFormat="false" ht="21" hidden="false" customHeight="true" outlineLevel="0" collapsed="false">
      <c r="A98" s="91" t="str">
        <f aca="false">IF(名簿!$D98="","",名簿!$B98&amp;"")</f>
        <v/>
      </c>
      <c r="B98" s="91" t="str">
        <f aca="false">IF(名簿!$D98="","",名簿!$C98)</f>
        <v/>
      </c>
      <c r="C98" s="59" t="str">
        <f aca="false">IF(名簿!$D98="","",名簿!$D98&amp;IF(名簿!$F98="転出","（転出）",""))</f>
        <v/>
      </c>
      <c r="D98" s="149"/>
      <c r="E98" s="61" t="str">
        <f aca="false">IF(OR($C98="",名簿!$F98="転出"),"",IF($C$2="学級ごと",$A98,IF($C$2="前の単元と同じ",単元06!$E98&amp;"",$D98&amp;"")))</f>
        <v/>
      </c>
      <c r="F98" s="150"/>
      <c r="G98" s="150"/>
      <c r="H98" s="150"/>
      <c r="I98" s="151"/>
      <c r="J98" s="41" t="str">
        <f aca="false">IF($E98="","",$E98&amp;"|"&amp;COUNTIF($E$5:$E98,$E98))</f>
        <v/>
      </c>
      <c r="K98" s="40" t="str">
        <f aca="false">IF($I98="","",LEN($I98))</f>
        <v/>
      </c>
      <c r="L98" s="13"/>
      <c r="M98" s="13"/>
      <c r="N98" s="13"/>
      <c r="O98" s="13"/>
      <c r="P98" s="152"/>
      <c r="Q98" s="149"/>
      <c r="R98" s="152"/>
      <c r="S98" s="152"/>
      <c r="T98" s="62" t="str">
        <f aca="false">IF(OR($C98="",R98=""),"",IF(R98/IF($R$2="",100,$R$2)&gt;=設定!$I$28,設定!$G$8,IF(R98/IF($R$2="",100,$R$2)&lt;設定!$I$29,設定!$G$10,設定!$G$9)))</f>
        <v/>
      </c>
      <c r="U98" s="62" t="str">
        <f aca="false">IF(OR($C98="",S98=""),"",IF(S98/IF($S$2="",100,$S$2)&gt;=設定!$I$28,設定!$G$8,IF(S98/IF($S$2="",100,$S$2)&lt;設定!$I$29,設定!$G$10,設定!$G$9)))</f>
        <v/>
      </c>
    </row>
    <row r="99" customFormat="false" ht="21" hidden="false" customHeight="true" outlineLevel="0" collapsed="false">
      <c r="A99" s="91" t="str">
        <f aca="false">IF(名簿!$D99="","",名簿!$B99&amp;"")</f>
        <v/>
      </c>
      <c r="B99" s="91" t="str">
        <f aca="false">IF(名簿!$D99="","",名簿!$C99)</f>
        <v/>
      </c>
      <c r="C99" s="59" t="str">
        <f aca="false">IF(名簿!$D99="","",名簿!$D99&amp;IF(名簿!$F99="転出","（転出）",""))</f>
        <v/>
      </c>
      <c r="D99" s="149"/>
      <c r="E99" s="61" t="str">
        <f aca="false">IF(OR($C99="",名簿!$F99="転出"),"",IF($C$2="学級ごと",$A99,IF($C$2="前の単元と同じ",単元06!$E99&amp;"",$D99&amp;"")))</f>
        <v/>
      </c>
      <c r="F99" s="150"/>
      <c r="G99" s="150"/>
      <c r="H99" s="150"/>
      <c r="I99" s="151"/>
      <c r="J99" s="41" t="str">
        <f aca="false">IF($E99="","",$E99&amp;"|"&amp;COUNTIF($E$5:$E99,$E99))</f>
        <v/>
      </c>
      <c r="K99" s="40" t="str">
        <f aca="false">IF($I99="","",LEN($I99))</f>
        <v/>
      </c>
      <c r="L99" s="13"/>
      <c r="M99" s="13"/>
      <c r="N99" s="13"/>
      <c r="O99" s="13"/>
      <c r="P99" s="152"/>
      <c r="Q99" s="149"/>
      <c r="R99" s="152"/>
      <c r="S99" s="152"/>
      <c r="T99" s="62" t="str">
        <f aca="false">IF(OR($C99="",R99=""),"",IF(R99/IF($R$2="",100,$R$2)&gt;=設定!$I$28,設定!$G$8,IF(R99/IF($R$2="",100,$R$2)&lt;設定!$I$29,設定!$G$10,設定!$G$9)))</f>
        <v/>
      </c>
      <c r="U99" s="62" t="str">
        <f aca="false">IF(OR($C99="",S99=""),"",IF(S99/IF($S$2="",100,$S$2)&gt;=設定!$I$28,設定!$G$8,IF(S99/IF($S$2="",100,$S$2)&lt;設定!$I$29,設定!$G$10,設定!$G$9)))</f>
        <v/>
      </c>
    </row>
    <row r="100" customFormat="false" ht="21" hidden="false" customHeight="true" outlineLevel="0" collapsed="false">
      <c r="A100" s="91" t="str">
        <f aca="false">IF(名簿!$D100="","",名簿!$B100&amp;"")</f>
        <v/>
      </c>
      <c r="B100" s="91" t="str">
        <f aca="false">IF(名簿!$D100="","",名簿!$C100)</f>
        <v/>
      </c>
      <c r="C100" s="59" t="str">
        <f aca="false">IF(名簿!$D100="","",名簿!$D100&amp;IF(名簿!$F100="転出","（転出）",""))</f>
        <v/>
      </c>
      <c r="D100" s="149"/>
      <c r="E100" s="61" t="str">
        <f aca="false">IF(OR($C100="",名簿!$F100="転出"),"",IF($C$2="学級ごと",$A100,IF($C$2="前の単元と同じ",単元06!$E100&amp;"",$D100&amp;"")))</f>
        <v/>
      </c>
      <c r="F100" s="150"/>
      <c r="G100" s="150"/>
      <c r="H100" s="150"/>
      <c r="I100" s="151"/>
      <c r="J100" s="41" t="str">
        <f aca="false">IF($E100="","",$E100&amp;"|"&amp;COUNTIF($E$5:$E100,$E100))</f>
        <v/>
      </c>
      <c r="K100" s="40" t="str">
        <f aca="false">IF($I100="","",LEN($I100))</f>
        <v/>
      </c>
      <c r="L100" s="13"/>
      <c r="M100" s="13"/>
      <c r="N100" s="13"/>
      <c r="O100" s="13"/>
      <c r="P100" s="152"/>
      <c r="Q100" s="149"/>
      <c r="R100" s="152"/>
      <c r="S100" s="152"/>
      <c r="T100" s="62" t="str">
        <f aca="false">IF(OR($C100="",R100=""),"",IF(R100/IF($R$2="",100,$R$2)&gt;=設定!$I$28,設定!$G$8,IF(R100/IF($R$2="",100,$R$2)&lt;設定!$I$29,設定!$G$10,設定!$G$9)))</f>
        <v/>
      </c>
      <c r="U100" s="62" t="str">
        <f aca="false">IF(OR($C100="",S100=""),"",IF(S100/IF($S$2="",100,$S$2)&gt;=設定!$I$28,設定!$G$8,IF(S100/IF($S$2="",100,$S$2)&lt;設定!$I$29,設定!$G$10,設定!$G$9)))</f>
        <v/>
      </c>
    </row>
    <row r="101" customFormat="false" ht="21" hidden="false" customHeight="true" outlineLevel="0" collapsed="false">
      <c r="A101" s="91" t="str">
        <f aca="false">IF(名簿!$D101="","",名簿!$B101&amp;"")</f>
        <v/>
      </c>
      <c r="B101" s="91" t="str">
        <f aca="false">IF(名簿!$D101="","",名簿!$C101)</f>
        <v/>
      </c>
      <c r="C101" s="59" t="str">
        <f aca="false">IF(名簿!$D101="","",名簿!$D101&amp;IF(名簿!$F101="転出","（転出）",""))</f>
        <v/>
      </c>
      <c r="D101" s="149"/>
      <c r="E101" s="61" t="str">
        <f aca="false">IF(OR($C101="",名簿!$F101="転出"),"",IF($C$2="学級ごと",$A101,IF($C$2="前の単元と同じ",単元06!$E101&amp;"",$D101&amp;"")))</f>
        <v/>
      </c>
      <c r="F101" s="150"/>
      <c r="G101" s="150"/>
      <c r="H101" s="150"/>
      <c r="I101" s="151"/>
      <c r="J101" s="41" t="str">
        <f aca="false">IF($E101="","",$E101&amp;"|"&amp;COUNTIF($E$5:$E101,$E101))</f>
        <v/>
      </c>
      <c r="K101" s="40" t="str">
        <f aca="false">IF($I101="","",LEN($I101))</f>
        <v/>
      </c>
      <c r="L101" s="13"/>
      <c r="M101" s="13"/>
      <c r="N101" s="13"/>
      <c r="O101" s="13"/>
      <c r="P101" s="152"/>
      <c r="Q101" s="149"/>
      <c r="R101" s="152"/>
      <c r="S101" s="152"/>
      <c r="T101" s="62" t="str">
        <f aca="false">IF(OR($C101="",R101=""),"",IF(R101/IF($R$2="",100,$R$2)&gt;=設定!$I$28,設定!$G$8,IF(R101/IF($R$2="",100,$R$2)&lt;設定!$I$29,設定!$G$10,設定!$G$9)))</f>
        <v/>
      </c>
      <c r="U101" s="62" t="str">
        <f aca="false">IF(OR($C101="",S101=""),"",IF(S101/IF($S$2="",100,$S$2)&gt;=設定!$I$28,設定!$G$8,IF(S101/IF($S$2="",100,$S$2)&lt;設定!$I$29,設定!$G$10,設定!$G$9)))</f>
        <v/>
      </c>
    </row>
    <row r="102" customFormat="false" ht="21" hidden="false" customHeight="true" outlineLevel="0" collapsed="false">
      <c r="A102" s="91" t="str">
        <f aca="false">IF(名簿!$D102="","",名簿!$B102&amp;"")</f>
        <v/>
      </c>
      <c r="B102" s="91" t="str">
        <f aca="false">IF(名簿!$D102="","",名簿!$C102)</f>
        <v/>
      </c>
      <c r="C102" s="59" t="str">
        <f aca="false">IF(名簿!$D102="","",名簿!$D102&amp;IF(名簿!$F102="転出","（転出）",""))</f>
        <v/>
      </c>
      <c r="D102" s="149"/>
      <c r="E102" s="61" t="str">
        <f aca="false">IF(OR($C102="",名簿!$F102="転出"),"",IF($C$2="学級ごと",$A102,IF($C$2="前の単元と同じ",単元06!$E102&amp;"",$D102&amp;"")))</f>
        <v/>
      </c>
      <c r="F102" s="150"/>
      <c r="G102" s="150"/>
      <c r="H102" s="150"/>
      <c r="I102" s="151"/>
      <c r="J102" s="41" t="str">
        <f aca="false">IF($E102="","",$E102&amp;"|"&amp;COUNTIF($E$5:$E102,$E102))</f>
        <v/>
      </c>
      <c r="K102" s="40" t="str">
        <f aca="false">IF($I102="","",LEN($I102))</f>
        <v/>
      </c>
      <c r="L102" s="13"/>
      <c r="M102" s="13"/>
      <c r="N102" s="13"/>
      <c r="O102" s="13"/>
      <c r="P102" s="152"/>
      <c r="Q102" s="149"/>
      <c r="R102" s="152"/>
      <c r="S102" s="152"/>
      <c r="T102" s="62" t="str">
        <f aca="false">IF(OR($C102="",R102=""),"",IF(R102/IF($R$2="",100,$R$2)&gt;=設定!$I$28,設定!$G$8,IF(R102/IF($R$2="",100,$R$2)&lt;設定!$I$29,設定!$G$10,設定!$G$9)))</f>
        <v/>
      </c>
      <c r="U102" s="62" t="str">
        <f aca="false">IF(OR($C102="",S102=""),"",IF(S102/IF($S$2="",100,$S$2)&gt;=設定!$I$28,設定!$G$8,IF(S102/IF($S$2="",100,$S$2)&lt;設定!$I$29,設定!$G$10,設定!$G$9)))</f>
        <v/>
      </c>
    </row>
    <row r="103" customFormat="false" ht="21" hidden="false" customHeight="true" outlineLevel="0" collapsed="false">
      <c r="A103" s="91" t="str">
        <f aca="false">IF(名簿!$D103="","",名簿!$B103&amp;"")</f>
        <v/>
      </c>
      <c r="B103" s="91" t="str">
        <f aca="false">IF(名簿!$D103="","",名簿!$C103)</f>
        <v/>
      </c>
      <c r="C103" s="59" t="str">
        <f aca="false">IF(名簿!$D103="","",名簿!$D103&amp;IF(名簿!$F103="転出","（転出）",""))</f>
        <v/>
      </c>
      <c r="D103" s="149"/>
      <c r="E103" s="61" t="str">
        <f aca="false">IF(OR($C103="",名簿!$F103="転出"),"",IF($C$2="学級ごと",$A103,IF($C$2="前の単元と同じ",単元06!$E103&amp;"",$D103&amp;"")))</f>
        <v/>
      </c>
      <c r="F103" s="150"/>
      <c r="G103" s="150"/>
      <c r="H103" s="150"/>
      <c r="I103" s="151"/>
      <c r="J103" s="41" t="str">
        <f aca="false">IF($E103="","",$E103&amp;"|"&amp;COUNTIF($E$5:$E103,$E103))</f>
        <v/>
      </c>
      <c r="K103" s="40" t="str">
        <f aca="false">IF($I103="","",LEN($I103))</f>
        <v/>
      </c>
      <c r="L103" s="13"/>
      <c r="M103" s="13"/>
      <c r="N103" s="13"/>
      <c r="O103" s="13"/>
      <c r="P103" s="152"/>
      <c r="Q103" s="149"/>
      <c r="R103" s="152"/>
      <c r="S103" s="152"/>
      <c r="T103" s="62" t="str">
        <f aca="false">IF(OR($C103="",R103=""),"",IF(R103/IF($R$2="",100,$R$2)&gt;=設定!$I$28,設定!$G$8,IF(R103/IF($R$2="",100,$R$2)&lt;設定!$I$29,設定!$G$10,設定!$G$9)))</f>
        <v/>
      </c>
      <c r="U103" s="62" t="str">
        <f aca="false">IF(OR($C103="",S103=""),"",IF(S103/IF($S$2="",100,$S$2)&gt;=設定!$I$28,設定!$G$8,IF(S103/IF($S$2="",100,$S$2)&lt;設定!$I$29,設定!$G$10,設定!$G$9)))</f>
        <v/>
      </c>
    </row>
    <row r="104" customFormat="false" ht="21" hidden="false" customHeight="true" outlineLevel="0" collapsed="false">
      <c r="A104" s="91" t="str">
        <f aca="false">IF(名簿!$D104="","",名簿!$B104&amp;"")</f>
        <v/>
      </c>
      <c r="B104" s="91" t="str">
        <f aca="false">IF(名簿!$D104="","",名簿!$C104)</f>
        <v/>
      </c>
      <c r="C104" s="59" t="str">
        <f aca="false">IF(名簿!$D104="","",名簿!$D104&amp;IF(名簿!$F104="転出","（転出）",""))</f>
        <v/>
      </c>
      <c r="D104" s="149"/>
      <c r="E104" s="61" t="str">
        <f aca="false">IF(OR($C104="",名簿!$F104="転出"),"",IF($C$2="学級ごと",$A104,IF($C$2="前の単元と同じ",単元06!$E104&amp;"",$D104&amp;"")))</f>
        <v/>
      </c>
      <c r="F104" s="150"/>
      <c r="G104" s="150"/>
      <c r="H104" s="150"/>
      <c r="I104" s="151"/>
      <c r="J104" s="41" t="str">
        <f aca="false">IF($E104="","",$E104&amp;"|"&amp;COUNTIF($E$5:$E104,$E104))</f>
        <v/>
      </c>
      <c r="K104" s="40" t="str">
        <f aca="false">IF($I104="","",LEN($I104))</f>
        <v/>
      </c>
      <c r="L104" s="13"/>
      <c r="M104" s="13"/>
      <c r="N104" s="13"/>
      <c r="O104" s="13"/>
      <c r="P104" s="152"/>
      <c r="Q104" s="149"/>
      <c r="R104" s="152"/>
      <c r="S104" s="152"/>
      <c r="T104" s="62" t="str">
        <f aca="false">IF(OR($C104="",R104=""),"",IF(R104/IF($R$2="",100,$R$2)&gt;=設定!$I$28,設定!$G$8,IF(R104/IF($R$2="",100,$R$2)&lt;設定!$I$29,設定!$G$10,設定!$G$9)))</f>
        <v/>
      </c>
      <c r="U104" s="62" t="str">
        <f aca="false">IF(OR($C104="",S104=""),"",IF(S104/IF($S$2="",100,$S$2)&gt;=設定!$I$28,設定!$G$8,IF(S104/IF($S$2="",100,$S$2)&lt;設定!$I$29,設定!$G$10,設定!$G$9)))</f>
        <v/>
      </c>
    </row>
    <row r="105" customFormat="false" ht="21" hidden="false" customHeight="true" outlineLevel="0" collapsed="false">
      <c r="A105" s="91" t="str">
        <f aca="false">IF(名簿!$D105="","",名簿!$B105&amp;"")</f>
        <v/>
      </c>
      <c r="B105" s="91" t="str">
        <f aca="false">IF(名簿!$D105="","",名簿!$C105)</f>
        <v/>
      </c>
      <c r="C105" s="59" t="str">
        <f aca="false">IF(名簿!$D105="","",名簿!$D105&amp;IF(名簿!$F105="転出","（転出）",""))</f>
        <v/>
      </c>
      <c r="D105" s="149"/>
      <c r="E105" s="61" t="str">
        <f aca="false">IF(OR($C105="",名簿!$F105="転出"),"",IF($C$2="学級ごと",$A105,IF($C$2="前の単元と同じ",単元06!$E105&amp;"",$D105&amp;"")))</f>
        <v/>
      </c>
      <c r="F105" s="150"/>
      <c r="G105" s="150"/>
      <c r="H105" s="150"/>
      <c r="I105" s="151"/>
      <c r="J105" s="41" t="str">
        <f aca="false">IF($E105="","",$E105&amp;"|"&amp;COUNTIF($E$5:$E105,$E105))</f>
        <v/>
      </c>
      <c r="K105" s="40" t="str">
        <f aca="false">IF($I105="","",LEN($I105))</f>
        <v/>
      </c>
      <c r="L105" s="13"/>
      <c r="M105" s="13"/>
      <c r="N105" s="13"/>
      <c r="O105" s="13"/>
      <c r="P105" s="152"/>
      <c r="Q105" s="149"/>
      <c r="R105" s="152"/>
      <c r="S105" s="152"/>
      <c r="T105" s="62" t="str">
        <f aca="false">IF(OR($C105="",R105=""),"",IF(R105/IF($R$2="",100,$R$2)&gt;=設定!$I$28,設定!$G$8,IF(R105/IF($R$2="",100,$R$2)&lt;設定!$I$29,設定!$G$10,設定!$G$9)))</f>
        <v/>
      </c>
      <c r="U105" s="62" t="str">
        <f aca="false">IF(OR($C105="",S105=""),"",IF(S105/IF($S$2="",100,$S$2)&gt;=設定!$I$28,設定!$G$8,IF(S105/IF($S$2="",100,$S$2)&lt;設定!$I$29,設定!$G$10,設定!$G$9)))</f>
        <v/>
      </c>
    </row>
    <row r="106" customFormat="false" ht="21" hidden="false" customHeight="true" outlineLevel="0" collapsed="false">
      <c r="A106" s="91" t="str">
        <f aca="false">IF(名簿!$D106="","",名簿!$B106&amp;"")</f>
        <v/>
      </c>
      <c r="B106" s="91" t="str">
        <f aca="false">IF(名簿!$D106="","",名簿!$C106)</f>
        <v/>
      </c>
      <c r="C106" s="59" t="str">
        <f aca="false">IF(名簿!$D106="","",名簿!$D106&amp;IF(名簿!$F106="転出","（転出）",""))</f>
        <v/>
      </c>
      <c r="D106" s="149"/>
      <c r="E106" s="61" t="str">
        <f aca="false">IF(OR($C106="",名簿!$F106="転出"),"",IF($C$2="学級ごと",$A106,IF($C$2="前の単元と同じ",単元06!$E106&amp;"",$D106&amp;"")))</f>
        <v/>
      </c>
      <c r="F106" s="150"/>
      <c r="G106" s="150"/>
      <c r="H106" s="150"/>
      <c r="I106" s="151"/>
      <c r="J106" s="41" t="str">
        <f aca="false">IF($E106="","",$E106&amp;"|"&amp;COUNTIF($E$5:$E106,$E106))</f>
        <v/>
      </c>
      <c r="K106" s="40" t="str">
        <f aca="false">IF($I106="","",LEN($I106))</f>
        <v/>
      </c>
      <c r="L106" s="13"/>
      <c r="M106" s="13"/>
      <c r="N106" s="13"/>
      <c r="O106" s="13"/>
      <c r="P106" s="152"/>
      <c r="Q106" s="149"/>
      <c r="R106" s="152"/>
      <c r="S106" s="152"/>
      <c r="T106" s="62" t="str">
        <f aca="false">IF(OR($C106="",R106=""),"",IF(R106/IF($R$2="",100,$R$2)&gt;=設定!$I$28,設定!$G$8,IF(R106/IF($R$2="",100,$R$2)&lt;設定!$I$29,設定!$G$10,設定!$G$9)))</f>
        <v/>
      </c>
      <c r="U106" s="62" t="str">
        <f aca="false">IF(OR($C106="",S106=""),"",IF(S106/IF($S$2="",100,$S$2)&gt;=設定!$I$28,設定!$G$8,IF(S106/IF($S$2="",100,$S$2)&lt;設定!$I$29,設定!$G$10,設定!$G$9)))</f>
        <v/>
      </c>
    </row>
    <row r="107" customFormat="false" ht="21" hidden="false" customHeight="true" outlineLevel="0" collapsed="false">
      <c r="A107" s="91" t="str">
        <f aca="false">IF(名簿!$D107="","",名簿!$B107&amp;"")</f>
        <v/>
      </c>
      <c r="B107" s="91" t="str">
        <f aca="false">IF(名簿!$D107="","",名簿!$C107)</f>
        <v/>
      </c>
      <c r="C107" s="59" t="str">
        <f aca="false">IF(名簿!$D107="","",名簿!$D107&amp;IF(名簿!$F107="転出","（転出）",""))</f>
        <v/>
      </c>
      <c r="D107" s="149"/>
      <c r="E107" s="61" t="str">
        <f aca="false">IF(OR($C107="",名簿!$F107="転出"),"",IF($C$2="学級ごと",$A107,IF($C$2="前の単元と同じ",単元06!$E107&amp;"",$D107&amp;"")))</f>
        <v/>
      </c>
      <c r="F107" s="150"/>
      <c r="G107" s="150"/>
      <c r="H107" s="150"/>
      <c r="I107" s="151"/>
      <c r="J107" s="41" t="str">
        <f aca="false">IF($E107="","",$E107&amp;"|"&amp;COUNTIF($E$5:$E107,$E107))</f>
        <v/>
      </c>
      <c r="K107" s="40" t="str">
        <f aca="false">IF($I107="","",LEN($I107))</f>
        <v/>
      </c>
      <c r="L107" s="13"/>
      <c r="M107" s="13"/>
      <c r="N107" s="13"/>
      <c r="O107" s="13"/>
      <c r="P107" s="152"/>
      <c r="Q107" s="149"/>
      <c r="R107" s="152"/>
      <c r="S107" s="152"/>
      <c r="T107" s="62" t="str">
        <f aca="false">IF(OR($C107="",R107=""),"",IF(R107/IF($R$2="",100,$R$2)&gt;=設定!$I$28,設定!$G$8,IF(R107/IF($R$2="",100,$R$2)&lt;設定!$I$29,設定!$G$10,設定!$G$9)))</f>
        <v/>
      </c>
      <c r="U107" s="62" t="str">
        <f aca="false">IF(OR($C107="",S107=""),"",IF(S107/IF($S$2="",100,$S$2)&gt;=設定!$I$28,設定!$G$8,IF(S107/IF($S$2="",100,$S$2)&lt;設定!$I$29,設定!$G$10,設定!$G$9)))</f>
        <v/>
      </c>
    </row>
    <row r="108" customFormat="false" ht="21" hidden="false" customHeight="true" outlineLevel="0" collapsed="false">
      <c r="A108" s="91" t="str">
        <f aca="false">IF(名簿!$D108="","",名簿!$B108&amp;"")</f>
        <v/>
      </c>
      <c r="B108" s="91" t="str">
        <f aca="false">IF(名簿!$D108="","",名簿!$C108)</f>
        <v/>
      </c>
      <c r="C108" s="59" t="str">
        <f aca="false">IF(名簿!$D108="","",名簿!$D108&amp;IF(名簿!$F108="転出","（転出）",""))</f>
        <v/>
      </c>
      <c r="D108" s="149"/>
      <c r="E108" s="61" t="str">
        <f aca="false">IF(OR($C108="",名簿!$F108="転出"),"",IF($C$2="学級ごと",$A108,IF($C$2="前の単元と同じ",単元06!$E108&amp;"",$D108&amp;"")))</f>
        <v/>
      </c>
      <c r="F108" s="150"/>
      <c r="G108" s="150"/>
      <c r="H108" s="150"/>
      <c r="I108" s="151"/>
      <c r="J108" s="41" t="str">
        <f aca="false">IF($E108="","",$E108&amp;"|"&amp;COUNTIF($E$5:$E108,$E108))</f>
        <v/>
      </c>
      <c r="K108" s="40" t="str">
        <f aca="false">IF($I108="","",LEN($I108))</f>
        <v/>
      </c>
      <c r="L108" s="13"/>
      <c r="M108" s="13"/>
      <c r="N108" s="13"/>
      <c r="O108" s="13"/>
      <c r="P108" s="152"/>
      <c r="Q108" s="149"/>
      <c r="R108" s="152"/>
      <c r="S108" s="152"/>
      <c r="T108" s="62" t="str">
        <f aca="false">IF(OR($C108="",R108=""),"",IF(R108/IF($R$2="",100,$R$2)&gt;=設定!$I$28,設定!$G$8,IF(R108/IF($R$2="",100,$R$2)&lt;設定!$I$29,設定!$G$10,設定!$G$9)))</f>
        <v/>
      </c>
      <c r="U108" s="62" t="str">
        <f aca="false">IF(OR($C108="",S108=""),"",IF(S108/IF($S$2="",100,$S$2)&gt;=設定!$I$28,設定!$G$8,IF(S108/IF($S$2="",100,$S$2)&lt;設定!$I$29,設定!$G$10,設定!$G$9)))</f>
        <v/>
      </c>
    </row>
    <row r="109" customFormat="false" ht="21" hidden="false" customHeight="true" outlineLevel="0" collapsed="false">
      <c r="A109" s="91" t="str">
        <f aca="false">IF(名簿!$D109="","",名簿!$B109&amp;"")</f>
        <v/>
      </c>
      <c r="B109" s="91" t="str">
        <f aca="false">IF(名簿!$D109="","",名簿!$C109)</f>
        <v/>
      </c>
      <c r="C109" s="59" t="str">
        <f aca="false">IF(名簿!$D109="","",名簿!$D109&amp;IF(名簿!$F109="転出","（転出）",""))</f>
        <v/>
      </c>
      <c r="D109" s="149"/>
      <c r="E109" s="61" t="str">
        <f aca="false">IF(OR($C109="",名簿!$F109="転出"),"",IF($C$2="学級ごと",$A109,IF($C$2="前の単元と同じ",単元06!$E109&amp;"",$D109&amp;"")))</f>
        <v/>
      </c>
      <c r="F109" s="150"/>
      <c r="G109" s="150"/>
      <c r="H109" s="150"/>
      <c r="I109" s="151"/>
      <c r="J109" s="41" t="str">
        <f aca="false">IF($E109="","",$E109&amp;"|"&amp;COUNTIF($E$5:$E109,$E109))</f>
        <v/>
      </c>
      <c r="K109" s="40" t="str">
        <f aca="false">IF($I109="","",LEN($I109))</f>
        <v/>
      </c>
      <c r="L109" s="13"/>
      <c r="M109" s="13"/>
      <c r="N109" s="13"/>
      <c r="O109" s="13"/>
      <c r="P109" s="152"/>
      <c r="Q109" s="149"/>
      <c r="R109" s="152"/>
      <c r="S109" s="152"/>
      <c r="T109" s="62" t="str">
        <f aca="false">IF(OR($C109="",R109=""),"",IF(R109/IF($R$2="",100,$R$2)&gt;=設定!$I$28,設定!$G$8,IF(R109/IF($R$2="",100,$R$2)&lt;設定!$I$29,設定!$G$10,設定!$G$9)))</f>
        <v/>
      </c>
      <c r="U109" s="62" t="str">
        <f aca="false">IF(OR($C109="",S109=""),"",IF(S109/IF($S$2="",100,$S$2)&gt;=設定!$I$28,設定!$G$8,IF(S109/IF($S$2="",100,$S$2)&lt;設定!$I$29,設定!$G$10,設定!$G$9)))</f>
        <v/>
      </c>
    </row>
    <row r="110" customFormat="false" ht="21" hidden="false" customHeight="true" outlineLevel="0" collapsed="false">
      <c r="A110" s="91" t="str">
        <f aca="false">IF(名簿!$D110="","",名簿!$B110&amp;"")</f>
        <v/>
      </c>
      <c r="B110" s="91" t="str">
        <f aca="false">IF(名簿!$D110="","",名簿!$C110)</f>
        <v/>
      </c>
      <c r="C110" s="59" t="str">
        <f aca="false">IF(名簿!$D110="","",名簿!$D110&amp;IF(名簿!$F110="転出","（転出）",""))</f>
        <v/>
      </c>
      <c r="D110" s="149"/>
      <c r="E110" s="61" t="str">
        <f aca="false">IF(OR($C110="",名簿!$F110="転出"),"",IF($C$2="学級ごと",$A110,IF($C$2="前の単元と同じ",単元06!$E110&amp;"",$D110&amp;"")))</f>
        <v/>
      </c>
      <c r="F110" s="150"/>
      <c r="G110" s="150"/>
      <c r="H110" s="150"/>
      <c r="I110" s="151"/>
      <c r="J110" s="41" t="str">
        <f aca="false">IF($E110="","",$E110&amp;"|"&amp;COUNTIF($E$5:$E110,$E110))</f>
        <v/>
      </c>
      <c r="K110" s="40" t="str">
        <f aca="false">IF($I110="","",LEN($I110))</f>
        <v/>
      </c>
      <c r="L110" s="13"/>
      <c r="M110" s="13"/>
      <c r="N110" s="13"/>
      <c r="O110" s="13"/>
      <c r="P110" s="152"/>
      <c r="Q110" s="149"/>
      <c r="R110" s="152"/>
      <c r="S110" s="152"/>
      <c r="T110" s="62" t="str">
        <f aca="false">IF(OR($C110="",R110=""),"",IF(R110/IF($R$2="",100,$R$2)&gt;=設定!$I$28,設定!$G$8,IF(R110/IF($R$2="",100,$R$2)&lt;設定!$I$29,設定!$G$10,設定!$G$9)))</f>
        <v/>
      </c>
      <c r="U110" s="62" t="str">
        <f aca="false">IF(OR($C110="",S110=""),"",IF(S110/IF($S$2="",100,$S$2)&gt;=設定!$I$28,設定!$G$8,IF(S110/IF($S$2="",100,$S$2)&lt;設定!$I$29,設定!$G$10,設定!$G$9)))</f>
        <v/>
      </c>
    </row>
    <row r="111" customFormat="false" ht="21" hidden="false" customHeight="true" outlineLevel="0" collapsed="false">
      <c r="A111" s="91" t="str">
        <f aca="false">IF(名簿!$D111="","",名簿!$B111&amp;"")</f>
        <v/>
      </c>
      <c r="B111" s="91" t="str">
        <f aca="false">IF(名簿!$D111="","",名簿!$C111)</f>
        <v/>
      </c>
      <c r="C111" s="59" t="str">
        <f aca="false">IF(名簿!$D111="","",名簿!$D111&amp;IF(名簿!$F111="転出","（転出）",""))</f>
        <v/>
      </c>
      <c r="D111" s="149"/>
      <c r="E111" s="61" t="str">
        <f aca="false">IF(OR($C111="",名簿!$F111="転出"),"",IF($C$2="学級ごと",$A111,IF($C$2="前の単元と同じ",単元06!$E111&amp;"",$D111&amp;"")))</f>
        <v/>
      </c>
      <c r="F111" s="150"/>
      <c r="G111" s="150"/>
      <c r="H111" s="150"/>
      <c r="I111" s="151"/>
      <c r="J111" s="41" t="str">
        <f aca="false">IF($E111="","",$E111&amp;"|"&amp;COUNTIF($E$5:$E111,$E111))</f>
        <v/>
      </c>
      <c r="K111" s="40" t="str">
        <f aca="false">IF($I111="","",LEN($I111))</f>
        <v/>
      </c>
      <c r="L111" s="13"/>
      <c r="M111" s="13"/>
      <c r="N111" s="13"/>
      <c r="O111" s="13"/>
      <c r="P111" s="152"/>
      <c r="Q111" s="149"/>
      <c r="R111" s="152"/>
      <c r="S111" s="152"/>
      <c r="T111" s="62" t="str">
        <f aca="false">IF(OR($C111="",R111=""),"",IF(R111/IF($R$2="",100,$R$2)&gt;=設定!$I$28,設定!$G$8,IF(R111/IF($R$2="",100,$R$2)&lt;設定!$I$29,設定!$G$10,設定!$G$9)))</f>
        <v/>
      </c>
      <c r="U111" s="62" t="str">
        <f aca="false">IF(OR($C111="",S111=""),"",IF(S111/IF($S$2="",100,$S$2)&gt;=設定!$I$28,設定!$G$8,IF(S111/IF($S$2="",100,$S$2)&lt;設定!$I$29,設定!$G$10,設定!$G$9)))</f>
        <v/>
      </c>
    </row>
    <row r="112" customFormat="false" ht="21" hidden="false" customHeight="true" outlineLevel="0" collapsed="false">
      <c r="A112" s="91" t="str">
        <f aca="false">IF(名簿!$D112="","",名簿!$B112&amp;"")</f>
        <v/>
      </c>
      <c r="B112" s="91" t="str">
        <f aca="false">IF(名簿!$D112="","",名簿!$C112)</f>
        <v/>
      </c>
      <c r="C112" s="59" t="str">
        <f aca="false">IF(名簿!$D112="","",名簿!$D112&amp;IF(名簿!$F112="転出","（転出）",""))</f>
        <v/>
      </c>
      <c r="D112" s="149"/>
      <c r="E112" s="61" t="str">
        <f aca="false">IF(OR($C112="",名簿!$F112="転出"),"",IF($C$2="学級ごと",$A112,IF($C$2="前の単元と同じ",単元06!$E112&amp;"",$D112&amp;"")))</f>
        <v/>
      </c>
      <c r="F112" s="150"/>
      <c r="G112" s="150"/>
      <c r="H112" s="150"/>
      <c r="I112" s="151"/>
      <c r="J112" s="41" t="str">
        <f aca="false">IF($E112="","",$E112&amp;"|"&amp;COUNTIF($E$5:$E112,$E112))</f>
        <v/>
      </c>
      <c r="K112" s="40" t="str">
        <f aca="false">IF($I112="","",LEN($I112))</f>
        <v/>
      </c>
      <c r="L112" s="13"/>
      <c r="M112" s="13"/>
      <c r="N112" s="13"/>
      <c r="O112" s="13"/>
      <c r="P112" s="152"/>
      <c r="Q112" s="149"/>
      <c r="R112" s="152"/>
      <c r="S112" s="152"/>
      <c r="T112" s="62" t="str">
        <f aca="false">IF(OR($C112="",R112=""),"",IF(R112/IF($R$2="",100,$R$2)&gt;=設定!$I$28,設定!$G$8,IF(R112/IF($R$2="",100,$R$2)&lt;設定!$I$29,設定!$G$10,設定!$G$9)))</f>
        <v/>
      </c>
      <c r="U112" s="62" t="str">
        <f aca="false">IF(OR($C112="",S112=""),"",IF(S112/IF($S$2="",100,$S$2)&gt;=設定!$I$28,設定!$G$8,IF(S112/IF($S$2="",100,$S$2)&lt;設定!$I$29,設定!$G$10,設定!$G$9)))</f>
        <v/>
      </c>
    </row>
    <row r="113" customFormat="false" ht="21" hidden="false" customHeight="true" outlineLevel="0" collapsed="false">
      <c r="A113" s="91" t="str">
        <f aca="false">IF(名簿!$D113="","",名簿!$B113&amp;"")</f>
        <v/>
      </c>
      <c r="B113" s="91" t="str">
        <f aca="false">IF(名簿!$D113="","",名簿!$C113)</f>
        <v/>
      </c>
      <c r="C113" s="59" t="str">
        <f aca="false">IF(名簿!$D113="","",名簿!$D113&amp;IF(名簿!$F113="転出","（転出）",""))</f>
        <v/>
      </c>
      <c r="D113" s="149"/>
      <c r="E113" s="61" t="str">
        <f aca="false">IF(OR($C113="",名簿!$F113="転出"),"",IF($C$2="学級ごと",$A113,IF($C$2="前の単元と同じ",単元06!$E113&amp;"",$D113&amp;"")))</f>
        <v/>
      </c>
      <c r="F113" s="150"/>
      <c r="G113" s="150"/>
      <c r="H113" s="150"/>
      <c r="I113" s="151"/>
      <c r="J113" s="41" t="str">
        <f aca="false">IF($E113="","",$E113&amp;"|"&amp;COUNTIF($E$5:$E113,$E113))</f>
        <v/>
      </c>
      <c r="K113" s="40" t="str">
        <f aca="false">IF($I113="","",LEN($I113))</f>
        <v/>
      </c>
      <c r="L113" s="13"/>
      <c r="M113" s="13"/>
      <c r="N113" s="13"/>
      <c r="O113" s="13"/>
      <c r="P113" s="152"/>
      <c r="Q113" s="149"/>
      <c r="R113" s="152"/>
      <c r="S113" s="152"/>
      <c r="T113" s="62" t="str">
        <f aca="false">IF(OR($C113="",R113=""),"",IF(R113/IF($R$2="",100,$R$2)&gt;=設定!$I$28,設定!$G$8,IF(R113/IF($R$2="",100,$R$2)&lt;設定!$I$29,設定!$G$10,設定!$G$9)))</f>
        <v/>
      </c>
      <c r="U113" s="62" t="str">
        <f aca="false">IF(OR($C113="",S113=""),"",IF(S113/IF($S$2="",100,$S$2)&gt;=設定!$I$28,設定!$G$8,IF(S113/IF($S$2="",100,$S$2)&lt;設定!$I$29,設定!$G$10,設定!$G$9)))</f>
        <v/>
      </c>
    </row>
    <row r="114" customFormat="false" ht="21" hidden="false" customHeight="true" outlineLevel="0" collapsed="false">
      <c r="A114" s="91" t="str">
        <f aca="false">IF(名簿!$D114="","",名簿!$B114&amp;"")</f>
        <v/>
      </c>
      <c r="B114" s="91" t="str">
        <f aca="false">IF(名簿!$D114="","",名簿!$C114)</f>
        <v/>
      </c>
      <c r="C114" s="59" t="str">
        <f aca="false">IF(名簿!$D114="","",名簿!$D114&amp;IF(名簿!$F114="転出","（転出）",""))</f>
        <v/>
      </c>
      <c r="D114" s="149"/>
      <c r="E114" s="61" t="str">
        <f aca="false">IF(OR($C114="",名簿!$F114="転出"),"",IF($C$2="学級ごと",$A114,IF($C$2="前の単元と同じ",単元06!$E114&amp;"",$D114&amp;"")))</f>
        <v/>
      </c>
      <c r="F114" s="150"/>
      <c r="G114" s="150"/>
      <c r="H114" s="150"/>
      <c r="I114" s="151"/>
      <c r="J114" s="41" t="str">
        <f aca="false">IF($E114="","",$E114&amp;"|"&amp;COUNTIF($E$5:$E114,$E114))</f>
        <v/>
      </c>
      <c r="K114" s="40" t="str">
        <f aca="false">IF($I114="","",LEN($I114))</f>
        <v/>
      </c>
      <c r="L114" s="13"/>
      <c r="M114" s="13"/>
      <c r="N114" s="13"/>
      <c r="O114" s="13"/>
      <c r="P114" s="152"/>
      <c r="Q114" s="149"/>
      <c r="R114" s="152"/>
      <c r="S114" s="152"/>
      <c r="T114" s="62" t="str">
        <f aca="false">IF(OR($C114="",R114=""),"",IF(R114/IF($R$2="",100,$R$2)&gt;=設定!$I$28,設定!$G$8,IF(R114/IF($R$2="",100,$R$2)&lt;設定!$I$29,設定!$G$10,設定!$G$9)))</f>
        <v/>
      </c>
      <c r="U114" s="62" t="str">
        <f aca="false">IF(OR($C114="",S114=""),"",IF(S114/IF($S$2="",100,$S$2)&gt;=設定!$I$28,設定!$G$8,IF(S114/IF($S$2="",100,$S$2)&lt;設定!$I$29,設定!$G$10,設定!$G$9)))</f>
        <v/>
      </c>
    </row>
    <row r="115" customFormat="false" ht="21" hidden="false" customHeight="true" outlineLevel="0" collapsed="false">
      <c r="A115" s="91" t="str">
        <f aca="false">IF(名簿!$D115="","",名簿!$B115&amp;"")</f>
        <v/>
      </c>
      <c r="B115" s="91" t="str">
        <f aca="false">IF(名簿!$D115="","",名簿!$C115)</f>
        <v/>
      </c>
      <c r="C115" s="59" t="str">
        <f aca="false">IF(名簿!$D115="","",名簿!$D115&amp;IF(名簿!$F115="転出","（転出）",""))</f>
        <v/>
      </c>
      <c r="D115" s="149"/>
      <c r="E115" s="61" t="str">
        <f aca="false">IF(OR($C115="",名簿!$F115="転出"),"",IF($C$2="学級ごと",$A115,IF($C$2="前の単元と同じ",単元06!$E115&amp;"",$D115&amp;"")))</f>
        <v/>
      </c>
      <c r="F115" s="150"/>
      <c r="G115" s="150"/>
      <c r="H115" s="150"/>
      <c r="I115" s="151"/>
      <c r="J115" s="41" t="str">
        <f aca="false">IF($E115="","",$E115&amp;"|"&amp;COUNTIF($E$5:$E115,$E115))</f>
        <v/>
      </c>
      <c r="K115" s="40" t="str">
        <f aca="false">IF($I115="","",LEN($I115))</f>
        <v/>
      </c>
      <c r="L115" s="13"/>
      <c r="M115" s="13"/>
      <c r="N115" s="13"/>
      <c r="O115" s="13"/>
      <c r="P115" s="152"/>
      <c r="Q115" s="149"/>
      <c r="R115" s="152"/>
      <c r="S115" s="152"/>
      <c r="T115" s="62" t="str">
        <f aca="false">IF(OR($C115="",R115=""),"",IF(R115/IF($R$2="",100,$R$2)&gt;=設定!$I$28,設定!$G$8,IF(R115/IF($R$2="",100,$R$2)&lt;設定!$I$29,設定!$G$10,設定!$G$9)))</f>
        <v/>
      </c>
      <c r="U115" s="62" t="str">
        <f aca="false">IF(OR($C115="",S115=""),"",IF(S115/IF($S$2="",100,$S$2)&gt;=設定!$I$28,設定!$G$8,IF(S115/IF($S$2="",100,$S$2)&lt;設定!$I$29,設定!$G$10,設定!$G$9)))</f>
        <v/>
      </c>
    </row>
    <row r="116" customFormat="false" ht="21" hidden="false" customHeight="true" outlineLevel="0" collapsed="false">
      <c r="A116" s="91" t="str">
        <f aca="false">IF(名簿!$D116="","",名簿!$B116&amp;"")</f>
        <v/>
      </c>
      <c r="B116" s="91" t="str">
        <f aca="false">IF(名簿!$D116="","",名簿!$C116)</f>
        <v/>
      </c>
      <c r="C116" s="59" t="str">
        <f aca="false">IF(名簿!$D116="","",名簿!$D116&amp;IF(名簿!$F116="転出","（転出）",""))</f>
        <v/>
      </c>
      <c r="D116" s="149"/>
      <c r="E116" s="61" t="str">
        <f aca="false">IF(OR($C116="",名簿!$F116="転出"),"",IF($C$2="学級ごと",$A116,IF($C$2="前の単元と同じ",単元06!$E116&amp;"",$D116&amp;"")))</f>
        <v/>
      </c>
      <c r="F116" s="150"/>
      <c r="G116" s="150"/>
      <c r="H116" s="150"/>
      <c r="I116" s="151"/>
      <c r="J116" s="41" t="str">
        <f aca="false">IF($E116="","",$E116&amp;"|"&amp;COUNTIF($E$5:$E116,$E116))</f>
        <v/>
      </c>
      <c r="K116" s="40" t="str">
        <f aca="false">IF($I116="","",LEN($I116))</f>
        <v/>
      </c>
      <c r="L116" s="13"/>
      <c r="M116" s="13"/>
      <c r="N116" s="13"/>
      <c r="O116" s="13"/>
      <c r="P116" s="152"/>
      <c r="Q116" s="149"/>
      <c r="R116" s="152"/>
      <c r="S116" s="152"/>
      <c r="T116" s="62" t="str">
        <f aca="false">IF(OR($C116="",R116=""),"",IF(R116/IF($R$2="",100,$R$2)&gt;=設定!$I$28,設定!$G$8,IF(R116/IF($R$2="",100,$R$2)&lt;設定!$I$29,設定!$G$10,設定!$G$9)))</f>
        <v/>
      </c>
      <c r="U116" s="62" t="str">
        <f aca="false">IF(OR($C116="",S116=""),"",IF(S116/IF($S$2="",100,$S$2)&gt;=設定!$I$28,設定!$G$8,IF(S116/IF($S$2="",100,$S$2)&lt;設定!$I$29,設定!$G$10,設定!$G$9)))</f>
        <v/>
      </c>
    </row>
    <row r="117" customFormat="false" ht="21" hidden="false" customHeight="true" outlineLevel="0" collapsed="false">
      <c r="A117" s="91" t="str">
        <f aca="false">IF(名簿!$D117="","",名簿!$B117&amp;"")</f>
        <v/>
      </c>
      <c r="B117" s="91" t="str">
        <f aca="false">IF(名簿!$D117="","",名簿!$C117)</f>
        <v/>
      </c>
      <c r="C117" s="59" t="str">
        <f aca="false">IF(名簿!$D117="","",名簿!$D117&amp;IF(名簿!$F117="転出","（転出）",""))</f>
        <v/>
      </c>
      <c r="D117" s="149"/>
      <c r="E117" s="61" t="str">
        <f aca="false">IF(OR($C117="",名簿!$F117="転出"),"",IF($C$2="学級ごと",$A117,IF($C$2="前の単元と同じ",単元06!$E117&amp;"",$D117&amp;"")))</f>
        <v/>
      </c>
      <c r="F117" s="150"/>
      <c r="G117" s="150"/>
      <c r="H117" s="150"/>
      <c r="I117" s="151"/>
      <c r="J117" s="41" t="str">
        <f aca="false">IF($E117="","",$E117&amp;"|"&amp;COUNTIF($E$5:$E117,$E117))</f>
        <v/>
      </c>
      <c r="K117" s="40" t="str">
        <f aca="false">IF($I117="","",LEN($I117))</f>
        <v/>
      </c>
      <c r="L117" s="13"/>
      <c r="M117" s="13"/>
      <c r="N117" s="13"/>
      <c r="O117" s="13"/>
      <c r="P117" s="152"/>
      <c r="Q117" s="149"/>
      <c r="R117" s="152"/>
      <c r="S117" s="152"/>
      <c r="T117" s="62" t="str">
        <f aca="false">IF(OR($C117="",R117=""),"",IF(R117/IF($R$2="",100,$R$2)&gt;=設定!$I$28,設定!$G$8,IF(R117/IF($R$2="",100,$R$2)&lt;設定!$I$29,設定!$G$10,設定!$G$9)))</f>
        <v/>
      </c>
      <c r="U117" s="62" t="str">
        <f aca="false">IF(OR($C117="",S117=""),"",IF(S117/IF($S$2="",100,$S$2)&gt;=設定!$I$28,設定!$G$8,IF(S117/IF($S$2="",100,$S$2)&lt;設定!$I$29,設定!$G$10,設定!$G$9)))</f>
        <v/>
      </c>
    </row>
    <row r="118" customFormat="false" ht="21" hidden="false" customHeight="true" outlineLevel="0" collapsed="false">
      <c r="A118" s="91" t="str">
        <f aca="false">IF(名簿!$D118="","",名簿!$B118&amp;"")</f>
        <v/>
      </c>
      <c r="B118" s="91" t="str">
        <f aca="false">IF(名簿!$D118="","",名簿!$C118)</f>
        <v/>
      </c>
      <c r="C118" s="59" t="str">
        <f aca="false">IF(名簿!$D118="","",名簿!$D118&amp;IF(名簿!$F118="転出","（転出）",""))</f>
        <v/>
      </c>
      <c r="D118" s="149"/>
      <c r="E118" s="61" t="str">
        <f aca="false">IF(OR($C118="",名簿!$F118="転出"),"",IF($C$2="学級ごと",$A118,IF($C$2="前の単元と同じ",単元06!$E118&amp;"",$D118&amp;"")))</f>
        <v/>
      </c>
      <c r="F118" s="150"/>
      <c r="G118" s="150"/>
      <c r="H118" s="150"/>
      <c r="I118" s="151"/>
      <c r="J118" s="41" t="str">
        <f aca="false">IF($E118="","",$E118&amp;"|"&amp;COUNTIF($E$5:$E118,$E118))</f>
        <v/>
      </c>
      <c r="K118" s="40" t="str">
        <f aca="false">IF($I118="","",LEN($I118))</f>
        <v/>
      </c>
      <c r="L118" s="13"/>
      <c r="M118" s="13"/>
      <c r="N118" s="13"/>
      <c r="O118" s="13"/>
      <c r="P118" s="152"/>
      <c r="Q118" s="149"/>
      <c r="R118" s="152"/>
      <c r="S118" s="152"/>
      <c r="T118" s="62" t="str">
        <f aca="false">IF(OR($C118="",R118=""),"",IF(R118/IF($R$2="",100,$R$2)&gt;=設定!$I$28,設定!$G$8,IF(R118/IF($R$2="",100,$R$2)&lt;設定!$I$29,設定!$G$10,設定!$G$9)))</f>
        <v/>
      </c>
      <c r="U118" s="62" t="str">
        <f aca="false">IF(OR($C118="",S118=""),"",IF(S118/IF($S$2="",100,$S$2)&gt;=設定!$I$28,設定!$G$8,IF(S118/IF($S$2="",100,$S$2)&lt;設定!$I$29,設定!$G$10,設定!$G$9)))</f>
        <v/>
      </c>
    </row>
    <row r="119" customFormat="false" ht="21" hidden="false" customHeight="true" outlineLevel="0" collapsed="false">
      <c r="A119" s="91" t="str">
        <f aca="false">IF(名簿!$D119="","",名簿!$B119&amp;"")</f>
        <v/>
      </c>
      <c r="B119" s="91" t="str">
        <f aca="false">IF(名簿!$D119="","",名簿!$C119)</f>
        <v/>
      </c>
      <c r="C119" s="59" t="str">
        <f aca="false">IF(名簿!$D119="","",名簿!$D119&amp;IF(名簿!$F119="転出","（転出）",""))</f>
        <v/>
      </c>
      <c r="D119" s="149"/>
      <c r="E119" s="61" t="str">
        <f aca="false">IF(OR($C119="",名簿!$F119="転出"),"",IF($C$2="学級ごと",$A119,IF($C$2="前の単元と同じ",単元06!$E119&amp;"",$D119&amp;"")))</f>
        <v/>
      </c>
      <c r="F119" s="150"/>
      <c r="G119" s="150"/>
      <c r="H119" s="150"/>
      <c r="I119" s="151"/>
      <c r="J119" s="41" t="str">
        <f aca="false">IF($E119="","",$E119&amp;"|"&amp;COUNTIF($E$5:$E119,$E119))</f>
        <v/>
      </c>
      <c r="K119" s="40" t="str">
        <f aca="false">IF($I119="","",LEN($I119))</f>
        <v/>
      </c>
      <c r="L119" s="13"/>
      <c r="M119" s="13"/>
      <c r="N119" s="13"/>
      <c r="O119" s="13"/>
      <c r="P119" s="152"/>
      <c r="Q119" s="149"/>
      <c r="R119" s="152"/>
      <c r="S119" s="152"/>
      <c r="T119" s="62" t="str">
        <f aca="false">IF(OR($C119="",R119=""),"",IF(R119/IF($R$2="",100,$R$2)&gt;=設定!$I$28,設定!$G$8,IF(R119/IF($R$2="",100,$R$2)&lt;設定!$I$29,設定!$G$10,設定!$G$9)))</f>
        <v/>
      </c>
      <c r="U119" s="62" t="str">
        <f aca="false">IF(OR($C119="",S119=""),"",IF(S119/IF($S$2="",100,$S$2)&gt;=設定!$I$28,設定!$G$8,IF(S119/IF($S$2="",100,$S$2)&lt;設定!$I$29,設定!$G$10,設定!$G$9)))</f>
        <v/>
      </c>
    </row>
    <row r="120" customFormat="false" ht="21" hidden="false" customHeight="true" outlineLevel="0" collapsed="false">
      <c r="A120" s="91" t="str">
        <f aca="false">IF(名簿!$D120="","",名簿!$B120&amp;"")</f>
        <v/>
      </c>
      <c r="B120" s="91" t="str">
        <f aca="false">IF(名簿!$D120="","",名簿!$C120)</f>
        <v/>
      </c>
      <c r="C120" s="59" t="str">
        <f aca="false">IF(名簿!$D120="","",名簿!$D120&amp;IF(名簿!$F120="転出","（転出）",""))</f>
        <v/>
      </c>
      <c r="D120" s="149"/>
      <c r="E120" s="61" t="str">
        <f aca="false">IF(OR($C120="",名簿!$F120="転出"),"",IF($C$2="学級ごと",$A120,IF($C$2="前の単元と同じ",単元06!$E120&amp;"",$D120&amp;"")))</f>
        <v/>
      </c>
      <c r="F120" s="150"/>
      <c r="G120" s="150"/>
      <c r="H120" s="150"/>
      <c r="I120" s="151"/>
      <c r="J120" s="41" t="str">
        <f aca="false">IF($E120="","",$E120&amp;"|"&amp;COUNTIF($E$5:$E120,$E120))</f>
        <v/>
      </c>
      <c r="K120" s="40" t="str">
        <f aca="false">IF($I120="","",LEN($I120))</f>
        <v/>
      </c>
      <c r="L120" s="13"/>
      <c r="M120" s="13"/>
      <c r="N120" s="13"/>
      <c r="O120" s="13"/>
      <c r="P120" s="152"/>
      <c r="Q120" s="149"/>
      <c r="R120" s="152"/>
      <c r="S120" s="152"/>
      <c r="T120" s="62" t="str">
        <f aca="false">IF(OR($C120="",R120=""),"",IF(R120/IF($R$2="",100,$R$2)&gt;=設定!$I$28,設定!$G$8,IF(R120/IF($R$2="",100,$R$2)&lt;設定!$I$29,設定!$G$10,設定!$G$9)))</f>
        <v/>
      </c>
      <c r="U120" s="62" t="str">
        <f aca="false">IF(OR($C120="",S120=""),"",IF(S120/IF($S$2="",100,$S$2)&gt;=設定!$I$28,設定!$G$8,IF(S120/IF($S$2="",100,$S$2)&lt;設定!$I$29,設定!$G$10,設定!$G$9)))</f>
        <v/>
      </c>
    </row>
    <row r="121" customFormat="false" ht="21" hidden="false" customHeight="true" outlineLevel="0" collapsed="false">
      <c r="A121" s="91" t="str">
        <f aca="false">IF(名簿!$D121="","",名簿!$B121&amp;"")</f>
        <v/>
      </c>
      <c r="B121" s="91" t="str">
        <f aca="false">IF(名簿!$D121="","",名簿!$C121)</f>
        <v/>
      </c>
      <c r="C121" s="59" t="str">
        <f aca="false">IF(名簿!$D121="","",名簿!$D121&amp;IF(名簿!$F121="転出","（転出）",""))</f>
        <v/>
      </c>
      <c r="D121" s="149"/>
      <c r="E121" s="61" t="str">
        <f aca="false">IF(OR($C121="",名簿!$F121="転出"),"",IF($C$2="学級ごと",$A121,IF($C$2="前の単元と同じ",単元06!$E121&amp;"",$D121&amp;"")))</f>
        <v/>
      </c>
      <c r="F121" s="150"/>
      <c r="G121" s="150"/>
      <c r="H121" s="150"/>
      <c r="I121" s="151"/>
      <c r="J121" s="41" t="str">
        <f aca="false">IF($E121="","",$E121&amp;"|"&amp;COUNTIF($E$5:$E121,$E121))</f>
        <v/>
      </c>
      <c r="K121" s="40" t="str">
        <f aca="false">IF($I121="","",LEN($I121))</f>
        <v/>
      </c>
      <c r="L121" s="13"/>
      <c r="M121" s="13"/>
      <c r="N121" s="13"/>
      <c r="O121" s="13"/>
      <c r="P121" s="152"/>
      <c r="Q121" s="149"/>
      <c r="R121" s="152"/>
      <c r="S121" s="152"/>
      <c r="T121" s="62" t="str">
        <f aca="false">IF(OR($C121="",R121=""),"",IF(R121/IF($R$2="",100,$R$2)&gt;=設定!$I$28,設定!$G$8,IF(R121/IF($R$2="",100,$R$2)&lt;設定!$I$29,設定!$G$10,設定!$G$9)))</f>
        <v/>
      </c>
      <c r="U121" s="62" t="str">
        <f aca="false">IF(OR($C121="",S121=""),"",IF(S121/IF($S$2="",100,$S$2)&gt;=設定!$I$28,設定!$G$8,IF(S121/IF($S$2="",100,$S$2)&lt;設定!$I$29,設定!$G$10,設定!$G$9)))</f>
        <v/>
      </c>
    </row>
    <row r="122" customFormat="false" ht="21" hidden="false" customHeight="true" outlineLevel="0" collapsed="false">
      <c r="A122" s="91" t="str">
        <f aca="false">IF(名簿!$D122="","",名簿!$B122&amp;"")</f>
        <v/>
      </c>
      <c r="B122" s="91" t="str">
        <f aca="false">IF(名簿!$D122="","",名簿!$C122)</f>
        <v/>
      </c>
      <c r="C122" s="59" t="str">
        <f aca="false">IF(名簿!$D122="","",名簿!$D122&amp;IF(名簿!$F122="転出","（転出）",""))</f>
        <v/>
      </c>
      <c r="D122" s="149"/>
      <c r="E122" s="61" t="str">
        <f aca="false">IF(OR($C122="",名簿!$F122="転出"),"",IF($C$2="学級ごと",$A122,IF($C$2="前の単元と同じ",単元06!$E122&amp;"",$D122&amp;"")))</f>
        <v/>
      </c>
      <c r="F122" s="150"/>
      <c r="G122" s="150"/>
      <c r="H122" s="150"/>
      <c r="I122" s="151"/>
      <c r="J122" s="41" t="str">
        <f aca="false">IF($E122="","",$E122&amp;"|"&amp;COUNTIF($E$5:$E122,$E122))</f>
        <v/>
      </c>
      <c r="K122" s="40" t="str">
        <f aca="false">IF($I122="","",LEN($I122))</f>
        <v/>
      </c>
      <c r="L122" s="13"/>
      <c r="M122" s="13"/>
      <c r="N122" s="13"/>
      <c r="O122" s="13"/>
      <c r="P122" s="152"/>
      <c r="Q122" s="149"/>
      <c r="R122" s="152"/>
      <c r="S122" s="152"/>
      <c r="T122" s="62" t="str">
        <f aca="false">IF(OR($C122="",R122=""),"",IF(R122/IF($R$2="",100,$R$2)&gt;=設定!$I$28,設定!$G$8,IF(R122/IF($R$2="",100,$R$2)&lt;設定!$I$29,設定!$G$10,設定!$G$9)))</f>
        <v/>
      </c>
      <c r="U122" s="62" t="str">
        <f aca="false">IF(OR($C122="",S122=""),"",IF(S122/IF($S$2="",100,$S$2)&gt;=設定!$I$28,設定!$G$8,IF(S122/IF($S$2="",100,$S$2)&lt;設定!$I$29,設定!$G$10,設定!$G$9)))</f>
        <v/>
      </c>
    </row>
    <row r="123" customFormat="false" ht="21" hidden="false" customHeight="true" outlineLevel="0" collapsed="false">
      <c r="A123" s="91" t="str">
        <f aca="false">IF(名簿!$D123="","",名簿!$B123&amp;"")</f>
        <v/>
      </c>
      <c r="B123" s="91" t="str">
        <f aca="false">IF(名簿!$D123="","",名簿!$C123)</f>
        <v/>
      </c>
      <c r="C123" s="59" t="str">
        <f aca="false">IF(名簿!$D123="","",名簿!$D123&amp;IF(名簿!$F123="転出","（転出）",""))</f>
        <v/>
      </c>
      <c r="D123" s="149"/>
      <c r="E123" s="61" t="str">
        <f aca="false">IF(OR($C123="",名簿!$F123="転出"),"",IF($C$2="学級ごと",$A123,IF($C$2="前の単元と同じ",単元06!$E123&amp;"",$D123&amp;"")))</f>
        <v/>
      </c>
      <c r="F123" s="150"/>
      <c r="G123" s="150"/>
      <c r="H123" s="150"/>
      <c r="I123" s="151"/>
      <c r="J123" s="41" t="str">
        <f aca="false">IF($E123="","",$E123&amp;"|"&amp;COUNTIF($E$5:$E123,$E123))</f>
        <v/>
      </c>
      <c r="K123" s="40" t="str">
        <f aca="false">IF($I123="","",LEN($I123))</f>
        <v/>
      </c>
      <c r="L123" s="13"/>
      <c r="M123" s="13"/>
      <c r="N123" s="13"/>
      <c r="O123" s="13"/>
      <c r="P123" s="152"/>
      <c r="Q123" s="149"/>
      <c r="R123" s="152"/>
      <c r="S123" s="152"/>
      <c r="T123" s="62" t="str">
        <f aca="false">IF(OR($C123="",R123=""),"",IF(R123/IF($R$2="",100,$R$2)&gt;=設定!$I$28,設定!$G$8,IF(R123/IF($R$2="",100,$R$2)&lt;設定!$I$29,設定!$G$10,設定!$G$9)))</f>
        <v/>
      </c>
      <c r="U123" s="62" t="str">
        <f aca="false">IF(OR($C123="",S123=""),"",IF(S123/IF($S$2="",100,$S$2)&gt;=設定!$I$28,設定!$G$8,IF(S123/IF($S$2="",100,$S$2)&lt;設定!$I$29,設定!$G$10,設定!$G$9)))</f>
        <v/>
      </c>
    </row>
    <row r="124" customFormat="false" ht="21" hidden="false" customHeight="true" outlineLevel="0" collapsed="false">
      <c r="A124" s="91" t="str">
        <f aca="false">IF(名簿!$D124="","",名簿!$B124&amp;"")</f>
        <v/>
      </c>
      <c r="B124" s="91" t="str">
        <f aca="false">IF(名簿!$D124="","",名簿!$C124)</f>
        <v/>
      </c>
      <c r="C124" s="59" t="str">
        <f aca="false">IF(名簿!$D124="","",名簿!$D124&amp;IF(名簿!$F124="転出","（転出）",""))</f>
        <v/>
      </c>
      <c r="D124" s="149"/>
      <c r="E124" s="61" t="str">
        <f aca="false">IF(OR($C124="",名簿!$F124="転出"),"",IF($C$2="学級ごと",$A124,IF($C$2="前の単元と同じ",単元06!$E124&amp;"",$D124&amp;"")))</f>
        <v/>
      </c>
      <c r="F124" s="150"/>
      <c r="G124" s="150"/>
      <c r="H124" s="150"/>
      <c r="I124" s="151"/>
      <c r="J124" s="41" t="str">
        <f aca="false">IF($E124="","",$E124&amp;"|"&amp;COUNTIF($E$5:$E124,$E124))</f>
        <v/>
      </c>
      <c r="K124" s="40" t="str">
        <f aca="false">IF($I124="","",LEN($I124))</f>
        <v/>
      </c>
      <c r="L124" s="13"/>
      <c r="M124" s="13"/>
      <c r="N124" s="13"/>
      <c r="O124" s="13"/>
      <c r="P124" s="152"/>
      <c r="Q124" s="149"/>
      <c r="R124" s="152"/>
      <c r="S124" s="152"/>
      <c r="T124" s="62" t="str">
        <f aca="false">IF(OR($C124="",R124=""),"",IF(R124/IF($R$2="",100,$R$2)&gt;=設定!$I$28,設定!$G$8,IF(R124/IF($R$2="",100,$R$2)&lt;設定!$I$29,設定!$G$10,設定!$G$9)))</f>
        <v/>
      </c>
      <c r="U124" s="62" t="str">
        <f aca="false">IF(OR($C124="",S124=""),"",IF(S124/IF($S$2="",100,$S$2)&gt;=設定!$I$28,設定!$G$8,IF(S124/IF($S$2="",100,$S$2)&lt;設定!$I$29,設定!$G$10,設定!$G$9)))</f>
        <v/>
      </c>
    </row>
    <row r="125" customFormat="false" ht="21" hidden="false" customHeight="true" outlineLevel="0" collapsed="false">
      <c r="A125" s="91" t="str">
        <f aca="false">IF(名簿!$D125="","",名簿!$B125&amp;"")</f>
        <v/>
      </c>
      <c r="B125" s="91" t="str">
        <f aca="false">IF(名簿!$D125="","",名簿!$C125)</f>
        <v/>
      </c>
      <c r="C125" s="59" t="str">
        <f aca="false">IF(名簿!$D125="","",名簿!$D125&amp;IF(名簿!$F125="転出","（転出）",""))</f>
        <v/>
      </c>
      <c r="D125" s="149"/>
      <c r="E125" s="61" t="str">
        <f aca="false">IF(OR($C125="",名簿!$F125="転出"),"",IF($C$2="学級ごと",$A125,IF($C$2="前の単元と同じ",単元06!$E125&amp;"",$D125&amp;"")))</f>
        <v/>
      </c>
      <c r="F125" s="150"/>
      <c r="G125" s="150"/>
      <c r="H125" s="150"/>
      <c r="I125" s="151"/>
      <c r="J125" s="41" t="str">
        <f aca="false">IF($E125="","",$E125&amp;"|"&amp;COUNTIF($E$5:$E125,$E125))</f>
        <v/>
      </c>
      <c r="K125" s="40" t="str">
        <f aca="false">IF($I125="","",LEN($I125))</f>
        <v/>
      </c>
      <c r="L125" s="13"/>
      <c r="M125" s="13"/>
      <c r="N125" s="13"/>
      <c r="O125" s="13"/>
      <c r="P125" s="152"/>
      <c r="Q125" s="149"/>
      <c r="R125" s="152"/>
      <c r="S125" s="152"/>
      <c r="T125" s="62" t="str">
        <f aca="false">IF(OR($C125="",R125=""),"",IF(R125/IF($R$2="",100,$R$2)&gt;=設定!$I$28,設定!$G$8,IF(R125/IF($R$2="",100,$R$2)&lt;設定!$I$29,設定!$G$10,設定!$G$9)))</f>
        <v/>
      </c>
      <c r="U125" s="62" t="str">
        <f aca="false">IF(OR($C125="",S125=""),"",IF(S125/IF($S$2="",100,$S$2)&gt;=設定!$I$28,設定!$G$8,IF(S125/IF($S$2="",100,$S$2)&lt;設定!$I$29,設定!$G$10,設定!$G$9)))</f>
        <v/>
      </c>
    </row>
    <row r="126" customFormat="false" ht="21" hidden="false" customHeight="true" outlineLevel="0" collapsed="false">
      <c r="A126" s="91" t="str">
        <f aca="false">IF(名簿!$D126="","",名簿!$B126&amp;"")</f>
        <v/>
      </c>
      <c r="B126" s="91" t="str">
        <f aca="false">IF(名簿!$D126="","",名簿!$C126)</f>
        <v/>
      </c>
      <c r="C126" s="59" t="str">
        <f aca="false">IF(名簿!$D126="","",名簿!$D126&amp;IF(名簿!$F126="転出","（転出）",""))</f>
        <v/>
      </c>
      <c r="D126" s="149"/>
      <c r="E126" s="61" t="str">
        <f aca="false">IF(OR($C126="",名簿!$F126="転出"),"",IF($C$2="学級ごと",$A126,IF($C$2="前の単元と同じ",単元06!$E126&amp;"",$D126&amp;"")))</f>
        <v/>
      </c>
      <c r="F126" s="150"/>
      <c r="G126" s="150"/>
      <c r="H126" s="150"/>
      <c r="I126" s="151"/>
      <c r="J126" s="41" t="str">
        <f aca="false">IF($E126="","",$E126&amp;"|"&amp;COUNTIF($E$5:$E126,$E126))</f>
        <v/>
      </c>
      <c r="K126" s="40" t="str">
        <f aca="false">IF($I126="","",LEN($I126))</f>
        <v/>
      </c>
      <c r="L126" s="13"/>
      <c r="M126" s="13"/>
      <c r="N126" s="13"/>
      <c r="O126" s="13"/>
      <c r="P126" s="152"/>
      <c r="Q126" s="149"/>
      <c r="R126" s="152"/>
      <c r="S126" s="152"/>
      <c r="T126" s="62" t="str">
        <f aca="false">IF(OR($C126="",R126=""),"",IF(R126/IF($R$2="",100,$R$2)&gt;=設定!$I$28,設定!$G$8,IF(R126/IF($R$2="",100,$R$2)&lt;設定!$I$29,設定!$G$10,設定!$G$9)))</f>
        <v/>
      </c>
      <c r="U126" s="62" t="str">
        <f aca="false">IF(OR($C126="",S126=""),"",IF(S126/IF($S$2="",100,$S$2)&gt;=設定!$I$28,設定!$G$8,IF(S126/IF($S$2="",100,$S$2)&lt;設定!$I$29,設定!$G$10,設定!$G$9)))</f>
        <v/>
      </c>
    </row>
    <row r="127" customFormat="false" ht="21" hidden="false" customHeight="true" outlineLevel="0" collapsed="false">
      <c r="A127" s="91" t="str">
        <f aca="false">IF(名簿!$D127="","",名簿!$B127&amp;"")</f>
        <v/>
      </c>
      <c r="B127" s="91" t="str">
        <f aca="false">IF(名簿!$D127="","",名簿!$C127)</f>
        <v/>
      </c>
      <c r="C127" s="59" t="str">
        <f aca="false">IF(名簿!$D127="","",名簿!$D127&amp;IF(名簿!$F127="転出","（転出）",""))</f>
        <v/>
      </c>
      <c r="D127" s="149"/>
      <c r="E127" s="61" t="str">
        <f aca="false">IF(OR($C127="",名簿!$F127="転出"),"",IF($C$2="学級ごと",$A127,IF($C$2="前の単元と同じ",単元06!$E127&amp;"",$D127&amp;"")))</f>
        <v/>
      </c>
      <c r="F127" s="150"/>
      <c r="G127" s="150"/>
      <c r="H127" s="150"/>
      <c r="I127" s="151"/>
      <c r="J127" s="41" t="str">
        <f aca="false">IF($E127="","",$E127&amp;"|"&amp;COUNTIF($E$5:$E127,$E127))</f>
        <v/>
      </c>
      <c r="K127" s="40" t="str">
        <f aca="false">IF($I127="","",LEN($I127))</f>
        <v/>
      </c>
      <c r="L127" s="13"/>
      <c r="M127" s="13"/>
      <c r="N127" s="13"/>
      <c r="O127" s="13"/>
      <c r="P127" s="152"/>
      <c r="Q127" s="149"/>
      <c r="R127" s="152"/>
      <c r="S127" s="152"/>
      <c r="T127" s="62" t="str">
        <f aca="false">IF(OR($C127="",R127=""),"",IF(R127/IF($R$2="",100,$R$2)&gt;=設定!$I$28,設定!$G$8,IF(R127/IF($R$2="",100,$R$2)&lt;設定!$I$29,設定!$G$10,設定!$G$9)))</f>
        <v/>
      </c>
      <c r="U127" s="62" t="str">
        <f aca="false">IF(OR($C127="",S127=""),"",IF(S127/IF($S$2="",100,$S$2)&gt;=設定!$I$28,設定!$G$8,IF(S127/IF($S$2="",100,$S$2)&lt;設定!$I$29,設定!$G$10,設定!$G$9)))</f>
        <v/>
      </c>
    </row>
    <row r="128" customFormat="false" ht="21" hidden="false" customHeight="true" outlineLevel="0" collapsed="false">
      <c r="A128" s="91" t="str">
        <f aca="false">IF(名簿!$D128="","",名簿!$B128&amp;"")</f>
        <v/>
      </c>
      <c r="B128" s="91" t="str">
        <f aca="false">IF(名簿!$D128="","",名簿!$C128)</f>
        <v/>
      </c>
      <c r="C128" s="59" t="str">
        <f aca="false">IF(名簿!$D128="","",名簿!$D128&amp;IF(名簿!$F128="転出","（転出）",""))</f>
        <v/>
      </c>
      <c r="D128" s="149"/>
      <c r="E128" s="61" t="str">
        <f aca="false">IF(OR($C128="",名簿!$F128="転出"),"",IF($C$2="学級ごと",$A128,IF($C$2="前の単元と同じ",単元06!$E128&amp;"",$D128&amp;"")))</f>
        <v/>
      </c>
      <c r="F128" s="150"/>
      <c r="G128" s="150"/>
      <c r="H128" s="150"/>
      <c r="I128" s="151"/>
      <c r="J128" s="41" t="str">
        <f aca="false">IF($E128="","",$E128&amp;"|"&amp;COUNTIF($E$5:$E128,$E128))</f>
        <v/>
      </c>
      <c r="K128" s="40" t="str">
        <f aca="false">IF($I128="","",LEN($I128))</f>
        <v/>
      </c>
      <c r="L128" s="13"/>
      <c r="M128" s="13"/>
      <c r="N128" s="13"/>
      <c r="O128" s="13"/>
      <c r="P128" s="152"/>
      <c r="Q128" s="149"/>
      <c r="R128" s="152"/>
      <c r="S128" s="152"/>
      <c r="T128" s="62" t="str">
        <f aca="false">IF(OR($C128="",R128=""),"",IF(R128/IF($R$2="",100,$R$2)&gt;=設定!$I$28,設定!$G$8,IF(R128/IF($R$2="",100,$R$2)&lt;設定!$I$29,設定!$G$10,設定!$G$9)))</f>
        <v/>
      </c>
      <c r="U128" s="62" t="str">
        <f aca="false">IF(OR($C128="",S128=""),"",IF(S128/IF($S$2="",100,$S$2)&gt;=設定!$I$28,設定!$G$8,IF(S128/IF($S$2="",100,$S$2)&lt;設定!$I$29,設定!$G$10,設定!$G$9)))</f>
        <v/>
      </c>
    </row>
    <row r="129" customFormat="false" ht="21" hidden="false" customHeight="true" outlineLevel="0" collapsed="false">
      <c r="A129" s="91" t="str">
        <f aca="false">IF(名簿!$D129="","",名簿!$B129&amp;"")</f>
        <v/>
      </c>
      <c r="B129" s="91" t="str">
        <f aca="false">IF(名簿!$D129="","",名簿!$C129)</f>
        <v/>
      </c>
      <c r="C129" s="59" t="str">
        <f aca="false">IF(名簿!$D129="","",名簿!$D129&amp;IF(名簿!$F129="転出","（転出）",""))</f>
        <v/>
      </c>
      <c r="D129" s="149"/>
      <c r="E129" s="61" t="str">
        <f aca="false">IF(OR($C129="",名簿!$F129="転出"),"",IF($C$2="学級ごと",$A129,IF($C$2="前の単元と同じ",単元06!$E129&amp;"",$D129&amp;"")))</f>
        <v/>
      </c>
      <c r="F129" s="150"/>
      <c r="G129" s="150"/>
      <c r="H129" s="150"/>
      <c r="I129" s="151"/>
      <c r="J129" s="41" t="str">
        <f aca="false">IF($E129="","",$E129&amp;"|"&amp;COUNTIF($E$5:$E129,$E129))</f>
        <v/>
      </c>
      <c r="K129" s="40" t="str">
        <f aca="false">IF($I129="","",LEN($I129))</f>
        <v/>
      </c>
      <c r="L129" s="13"/>
      <c r="M129" s="13"/>
      <c r="N129" s="13"/>
      <c r="O129" s="13"/>
      <c r="P129" s="152"/>
      <c r="Q129" s="149"/>
      <c r="R129" s="152"/>
      <c r="S129" s="152"/>
      <c r="T129" s="62" t="str">
        <f aca="false">IF(OR($C129="",R129=""),"",IF(R129/IF($R$2="",100,$R$2)&gt;=設定!$I$28,設定!$G$8,IF(R129/IF($R$2="",100,$R$2)&lt;設定!$I$29,設定!$G$10,設定!$G$9)))</f>
        <v/>
      </c>
      <c r="U129" s="62" t="str">
        <f aca="false">IF(OR($C129="",S129=""),"",IF(S129/IF($S$2="",100,$S$2)&gt;=設定!$I$28,設定!$G$8,IF(S129/IF($S$2="",100,$S$2)&lt;設定!$I$29,設定!$G$10,設定!$G$9)))</f>
        <v/>
      </c>
    </row>
    <row r="130" customFormat="false" ht="21" hidden="false" customHeight="true" outlineLevel="0" collapsed="false">
      <c r="A130" s="91" t="str">
        <f aca="false">IF(名簿!$D130="","",名簿!$B130&amp;"")</f>
        <v/>
      </c>
      <c r="B130" s="91" t="str">
        <f aca="false">IF(名簿!$D130="","",名簿!$C130)</f>
        <v/>
      </c>
      <c r="C130" s="59" t="str">
        <f aca="false">IF(名簿!$D130="","",名簿!$D130&amp;IF(名簿!$F130="転出","（転出）",""))</f>
        <v/>
      </c>
      <c r="D130" s="149"/>
      <c r="E130" s="61" t="str">
        <f aca="false">IF(OR($C130="",名簿!$F130="転出"),"",IF($C$2="学級ごと",$A130,IF($C$2="前の単元と同じ",単元06!$E130&amp;"",$D130&amp;"")))</f>
        <v/>
      </c>
      <c r="F130" s="150"/>
      <c r="G130" s="150"/>
      <c r="H130" s="150"/>
      <c r="I130" s="151"/>
      <c r="J130" s="41" t="str">
        <f aca="false">IF($E130="","",$E130&amp;"|"&amp;COUNTIF($E$5:$E130,$E130))</f>
        <v/>
      </c>
      <c r="K130" s="40" t="str">
        <f aca="false">IF($I130="","",LEN($I130))</f>
        <v/>
      </c>
      <c r="L130" s="13"/>
      <c r="M130" s="13"/>
      <c r="N130" s="13"/>
      <c r="O130" s="13"/>
      <c r="P130" s="152"/>
      <c r="Q130" s="149"/>
      <c r="R130" s="152"/>
      <c r="S130" s="152"/>
      <c r="T130" s="62" t="str">
        <f aca="false">IF(OR($C130="",R130=""),"",IF(R130/IF($R$2="",100,$R$2)&gt;=設定!$I$28,設定!$G$8,IF(R130/IF($R$2="",100,$R$2)&lt;設定!$I$29,設定!$G$10,設定!$G$9)))</f>
        <v/>
      </c>
      <c r="U130" s="62" t="str">
        <f aca="false">IF(OR($C130="",S130=""),"",IF(S130/IF($S$2="",100,$S$2)&gt;=設定!$I$28,設定!$G$8,IF(S130/IF($S$2="",100,$S$2)&lt;設定!$I$29,設定!$G$10,設定!$G$9)))</f>
        <v/>
      </c>
    </row>
    <row r="131" customFormat="false" ht="21" hidden="false" customHeight="true" outlineLevel="0" collapsed="false">
      <c r="A131" s="91" t="str">
        <f aca="false">IF(名簿!$D131="","",名簿!$B131&amp;"")</f>
        <v/>
      </c>
      <c r="B131" s="91" t="str">
        <f aca="false">IF(名簿!$D131="","",名簿!$C131)</f>
        <v/>
      </c>
      <c r="C131" s="59" t="str">
        <f aca="false">IF(名簿!$D131="","",名簿!$D131&amp;IF(名簿!$F131="転出","（転出）",""))</f>
        <v/>
      </c>
      <c r="D131" s="149"/>
      <c r="E131" s="61" t="str">
        <f aca="false">IF(OR($C131="",名簿!$F131="転出"),"",IF($C$2="学級ごと",$A131,IF($C$2="前の単元と同じ",単元06!$E131&amp;"",$D131&amp;"")))</f>
        <v/>
      </c>
      <c r="F131" s="150"/>
      <c r="G131" s="150"/>
      <c r="H131" s="150"/>
      <c r="I131" s="151"/>
      <c r="J131" s="41" t="str">
        <f aca="false">IF($E131="","",$E131&amp;"|"&amp;COUNTIF($E$5:$E131,$E131))</f>
        <v/>
      </c>
      <c r="K131" s="40" t="str">
        <f aca="false">IF($I131="","",LEN($I131))</f>
        <v/>
      </c>
      <c r="L131" s="13"/>
      <c r="M131" s="13"/>
      <c r="N131" s="13"/>
      <c r="O131" s="13"/>
      <c r="P131" s="152"/>
      <c r="Q131" s="149"/>
      <c r="R131" s="152"/>
      <c r="S131" s="152"/>
      <c r="T131" s="62" t="str">
        <f aca="false">IF(OR($C131="",R131=""),"",IF(R131/IF($R$2="",100,$R$2)&gt;=設定!$I$28,設定!$G$8,IF(R131/IF($R$2="",100,$R$2)&lt;設定!$I$29,設定!$G$10,設定!$G$9)))</f>
        <v/>
      </c>
      <c r="U131" s="62" t="str">
        <f aca="false">IF(OR($C131="",S131=""),"",IF(S131/IF($S$2="",100,$S$2)&gt;=設定!$I$28,設定!$G$8,IF(S131/IF($S$2="",100,$S$2)&lt;設定!$I$29,設定!$G$10,設定!$G$9)))</f>
        <v/>
      </c>
    </row>
    <row r="132" customFormat="false" ht="21" hidden="false" customHeight="true" outlineLevel="0" collapsed="false">
      <c r="A132" s="91" t="str">
        <f aca="false">IF(名簿!$D132="","",名簿!$B132&amp;"")</f>
        <v/>
      </c>
      <c r="B132" s="91" t="str">
        <f aca="false">IF(名簿!$D132="","",名簿!$C132)</f>
        <v/>
      </c>
      <c r="C132" s="59" t="str">
        <f aca="false">IF(名簿!$D132="","",名簿!$D132&amp;IF(名簿!$F132="転出","（転出）",""))</f>
        <v/>
      </c>
      <c r="D132" s="149"/>
      <c r="E132" s="61" t="str">
        <f aca="false">IF(OR($C132="",名簿!$F132="転出"),"",IF($C$2="学級ごと",$A132,IF($C$2="前の単元と同じ",単元06!$E132&amp;"",$D132&amp;"")))</f>
        <v/>
      </c>
      <c r="F132" s="150"/>
      <c r="G132" s="150"/>
      <c r="H132" s="150"/>
      <c r="I132" s="151"/>
      <c r="J132" s="41" t="str">
        <f aca="false">IF($E132="","",$E132&amp;"|"&amp;COUNTIF($E$5:$E132,$E132))</f>
        <v/>
      </c>
      <c r="K132" s="40" t="str">
        <f aca="false">IF($I132="","",LEN($I132))</f>
        <v/>
      </c>
      <c r="L132" s="13"/>
      <c r="M132" s="13"/>
      <c r="N132" s="13"/>
      <c r="O132" s="13"/>
      <c r="P132" s="152"/>
      <c r="Q132" s="149"/>
      <c r="R132" s="152"/>
      <c r="S132" s="152"/>
      <c r="T132" s="62" t="str">
        <f aca="false">IF(OR($C132="",R132=""),"",IF(R132/IF($R$2="",100,$R$2)&gt;=設定!$I$28,設定!$G$8,IF(R132/IF($R$2="",100,$R$2)&lt;設定!$I$29,設定!$G$10,設定!$G$9)))</f>
        <v/>
      </c>
      <c r="U132" s="62" t="str">
        <f aca="false">IF(OR($C132="",S132=""),"",IF(S132/IF($S$2="",100,$S$2)&gt;=設定!$I$28,設定!$G$8,IF(S132/IF($S$2="",100,$S$2)&lt;設定!$I$29,設定!$G$10,設定!$G$9)))</f>
        <v/>
      </c>
    </row>
    <row r="133" customFormat="false" ht="21" hidden="false" customHeight="true" outlineLevel="0" collapsed="false">
      <c r="A133" s="91" t="str">
        <f aca="false">IF(名簿!$D133="","",名簿!$B133&amp;"")</f>
        <v/>
      </c>
      <c r="B133" s="91" t="str">
        <f aca="false">IF(名簿!$D133="","",名簿!$C133)</f>
        <v/>
      </c>
      <c r="C133" s="59" t="str">
        <f aca="false">IF(名簿!$D133="","",名簿!$D133&amp;IF(名簿!$F133="転出","（転出）",""))</f>
        <v/>
      </c>
      <c r="D133" s="149"/>
      <c r="E133" s="61" t="str">
        <f aca="false">IF(OR($C133="",名簿!$F133="転出"),"",IF($C$2="学級ごと",$A133,IF($C$2="前の単元と同じ",単元06!$E133&amp;"",$D133&amp;"")))</f>
        <v/>
      </c>
      <c r="F133" s="150"/>
      <c r="G133" s="150"/>
      <c r="H133" s="150"/>
      <c r="I133" s="151"/>
      <c r="J133" s="41" t="str">
        <f aca="false">IF($E133="","",$E133&amp;"|"&amp;COUNTIF($E$5:$E133,$E133))</f>
        <v/>
      </c>
      <c r="K133" s="40" t="str">
        <f aca="false">IF($I133="","",LEN($I133))</f>
        <v/>
      </c>
      <c r="L133" s="13"/>
      <c r="M133" s="13"/>
      <c r="N133" s="13"/>
      <c r="O133" s="13"/>
      <c r="P133" s="152"/>
      <c r="Q133" s="149"/>
      <c r="R133" s="152"/>
      <c r="S133" s="152"/>
      <c r="T133" s="62" t="str">
        <f aca="false">IF(OR($C133="",R133=""),"",IF(R133/IF($R$2="",100,$R$2)&gt;=設定!$I$28,設定!$G$8,IF(R133/IF($R$2="",100,$R$2)&lt;設定!$I$29,設定!$G$10,設定!$G$9)))</f>
        <v/>
      </c>
      <c r="U133" s="62" t="str">
        <f aca="false">IF(OR($C133="",S133=""),"",IF(S133/IF($S$2="",100,$S$2)&gt;=設定!$I$28,設定!$G$8,IF(S133/IF($S$2="",100,$S$2)&lt;設定!$I$29,設定!$G$10,設定!$G$9)))</f>
        <v/>
      </c>
    </row>
    <row r="134" customFormat="false" ht="21" hidden="false" customHeight="true" outlineLevel="0" collapsed="false">
      <c r="A134" s="91" t="str">
        <f aca="false">IF(名簿!$D134="","",名簿!$B134&amp;"")</f>
        <v/>
      </c>
      <c r="B134" s="91" t="str">
        <f aca="false">IF(名簿!$D134="","",名簿!$C134)</f>
        <v/>
      </c>
      <c r="C134" s="59" t="str">
        <f aca="false">IF(名簿!$D134="","",名簿!$D134&amp;IF(名簿!$F134="転出","（転出）",""))</f>
        <v/>
      </c>
      <c r="D134" s="149"/>
      <c r="E134" s="61" t="str">
        <f aca="false">IF(OR($C134="",名簿!$F134="転出"),"",IF($C$2="学級ごと",$A134,IF($C$2="前の単元と同じ",単元06!$E134&amp;"",$D134&amp;"")))</f>
        <v/>
      </c>
      <c r="F134" s="150"/>
      <c r="G134" s="150"/>
      <c r="H134" s="150"/>
      <c r="I134" s="151"/>
      <c r="J134" s="41" t="str">
        <f aca="false">IF($E134="","",$E134&amp;"|"&amp;COUNTIF($E$5:$E134,$E134))</f>
        <v/>
      </c>
      <c r="K134" s="40" t="str">
        <f aca="false">IF($I134="","",LEN($I134))</f>
        <v/>
      </c>
      <c r="L134" s="13"/>
      <c r="M134" s="13"/>
      <c r="N134" s="13"/>
      <c r="O134" s="13"/>
      <c r="P134" s="152"/>
      <c r="Q134" s="149"/>
      <c r="R134" s="152"/>
      <c r="S134" s="152"/>
      <c r="T134" s="62" t="str">
        <f aca="false">IF(OR($C134="",R134=""),"",IF(R134/IF($R$2="",100,$R$2)&gt;=設定!$I$28,設定!$G$8,IF(R134/IF($R$2="",100,$R$2)&lt;設定!$I$29,設定!$G$10,設定!$G$9)))</f>
        <v/>
      </c>
      <c r="U134" s="62" t="str">
        <f aca="false">IF(OR($C134="",S134=""),"",IF(S134/IF($S$2="",100,$S$2)&gt;=設定!$I$28,設定!$G$8,IF(S134/IF($S$2="",100,$S$2)&lt;設定!$I$29,設定!$G$10,設定!$G$9)))</f>
        <v/>
      </c>
    </row>
    <row r="135" customFormat="false" ht="21" hidden="false" customHeight="true" outlineLevel="0" collapsed="false">
      <c r="A135" s="91" t="str">
        <f aca="false">IF(名簿!$D135="","",名簿!$B135&amp;"")</f>
        <v/>
      </c>
      <c r="B135" s="91" t="str">
        <f aca="false">IF(名簿!$D135="","",名簿!$C135)</f>
        <v/>
      </c>
      <c r="C135" s="59" t="str">
        <f aca="false">IF(名簿!$D135="","",名簿!$D135&amp;IF(名簿!$F135="転出","（転出）",""))</f>
        <v/>
      </c>
      <c r="D135" s="149"/>
      <c r="E135" s="61" t="str">
        <f aca="false">IF(OR($C135="",名簿!$F135="転出"),"",IF($C$2="学級ごと",$A135,IF($C$2="前の単元と同じ",単元06!$E135&amp;"",$D135&amp;"")))</f>
        <v/>
      </c>
      <c r="F135" s="150"/>
      <c r="G135" s="150"/>
      <c r="H135" s="150"/>
      <c r="I135" s="151"/>
      <c r="J135" s="41" t="str">
        <f aca="false">IF($E135="","",$E135&amp;"|"&amp;COUNTIF($E$5:$E135,$E135))</f>
        <v/>
      </c>
      <c r="K135" s="40" t="str">
        <f aca="false">IF($I135="","",LEN($I135))</f>
        <v/>
      </c>
      <c r="L135" s="13"/>
      <c r="M135" s="13"/>
      <c r="N135" s="13"/>
      <c r="O135" s="13"/>
      <c r="P135" s="152"/>
      <c r="Q135" s="149"/>
      <c r="R135" s="152"/>
      <c r="S135" s="152"/>
      <c r="T135" s="62" t="str">
        <f aca="false">IF(OR($C135="",R135=""),"",IF(R135/IF($R$2="",100,$R$2)&gt;=設定!$I$28,設定!$G$8,IF(R135/IF($R$2="",100,$R$2)&lt;設定!$I$29,設定!$G$10,設定!$G$9)))</f>
        <v/>
      </c>
      <c r="U135" s="62" t="str">
        <f aca="false">IF(OR($C135="",S135=""),"",IF(S135/IF($S$2="",100,$S$2)&gt;=設定!$I$28,設定!$G$8,IF(S135/IF($S$2="",100,$S$2)&lt;設定!$I$29,設定!$G$10,設定!$G$9)))</f>
        <v/>
      </c>
    </row>
    <row r="136" customFormat="false" ht="21" hidden="false" customHeight="true" outlineLevel="0" collapsed="false">
      <c r="A136" s="91" t="str">
        <f aca="false">IF(名簿!$D136="","",名簿!$B136&amp;"")</f>
        <v/>
      </c>
      <c r="B136" s="91" t="str">
        <f aca="false">IF(名簿!$D136="","",名簿!$C136)</f>
        <v/>
      </c>
      <c r="C136" s="59" t="str">
        <f aca="false">IF(名簿!$D136="","",名簿!$D136&amp;IF(名簿!$F136="転出","（転出）",""))</f>
        <v/>
      </c>
      <c r="D136" s="149"/>
      <c r="E136" s="61" t="str">
        <f aca="false">IF(OR($C136="",名簿!$F136="転出"),"",IF($C$2="学級ごと",$A136,IF($C$2="前の単元と同じ",単元06!$E136&amp;"",$D136&amp;"")))</f>
        <v/>
      </c>
      <c r="F136" s="150"/>
      <c r="G136" s="150"/>
      <c r="H136" s="150"/>
      <c r="I136" s="151"/>
      <c r="J136" s="41" t="str">
        <f aca="false">IF($E136="","",$E136&amp;"|"&amp;COUNTIF($E$5:$E136,$E136))</f>
        <v/>
      </c>
      <c r="K136" s="40" t="str">
        <f aca="false">IF($I136="","",LEN($I136))</f>
        <v/>
      </c>
      <c r="L136" s="13"/>
      <c r="M136" s="13"/>
      <c r="N136" s="13"/>
      <c r="O136" s="13"/>
      <c r="P136" s="152"/>
      <c r="Q136" s="149"/>
      <c r="R136" s="152"/>
      <c r="S136" s="152"/>
      <c r="T136" s="62" t="str">
        <f aca="false">IF(OR($C136="",R136=""),"",IF(R136/IF($R$2="",100,$R$2)&gt;=設定!$I$28,設定!$G$8,IF(R136/IF($R$2="",100,$R$2)&lt;設定!$I$29,設定!$G$10,設定!$G$9)))</f>
        <v/>
      </c>
      <c r="U136" s="62" t="str">
        <f aca="false">IF(OR($C136="",S136=""),"",IF(S136/IF($S$2="",100,$S$2)&gt;=設定!$I$28,設定!$G$8,IF(S136/IF($S$2="",100,$S$2)&lt;設定!$I$29,設定!$G$10,設定!$G$9)))</f>
        <v/>
      </c>
    </row>
    <row r="137" customFormat="false" ht="21" hidden="false" customHeight="true" outlineLevel="0" collapsed="false">
      <c r="A137" s="91" t="str">
        <f aca="false">IF(名簿!$D137="","",名簿!$B137&amp;"")</f>
        <v/>
      </c>
      <c r="B137" s="91" t="str">
        <f aca="false">IF(名簿!$D137="","",名簿!$C137)</f>
        <v/>
      </c>
      <c r="C137" s="59" t="str">
        <f aca="false">IF(名簿!$D137="","",名簿!$D137&amp;IF(名簿!$F137="転出","（転出）",""))</f>
        <v/>
      </c>
      <c r="D137" s="149"/>
      <c r="E137" s="61" t="str">
        <f aca="false">IF(OR($C137="",名簿!$F137="転出"),"",IF($C$2="学級ごと",$A137,IF($C$2="前の単元と同じ",単元06!$E137&amp;"",$D137&amp;"")))</f>
        <v/>
      </c>
      <c r="F137" s="150"/>
      <c r="G137" s="150"/>
      <c r="H137" s="150"/>
      <c r="I137" s="151"/>
      <c r="J137" s="41" t="str">
        <f aca="false">IF($E137="","",$E137&amp;"|"&amp;COUNTIF($E$5:$E137,$E137))</f>
        <v/>
      </c>
      <c r="K137" s="40" t="str">
        <f aca="false">IF($I137="","",LEN($I137))</f>
        <v/>
      </c>
      <c r="L137" s="13"/>
      <c r="M137" s="13"/>
      <c r="N137" s="13"/>
      <c r="O137" s="13"/>
      <c r="P137" s="152"/>
      <c r="Q137" s="149"/>
      <c r="R137" s="152"/>
      <c r="S137" s="152"/>
      <c r="T137" s="62" t="str">
        <f aca="false">IF(OR($C137="",R137=""),"",IF(R137/IF($R$2="",100,$R$2)&gt;=設定!$I$28,設定!$G$8,IF(R137/IF($R$2="",100,$R$2)&lt;設定!$I$29,設定!$G$10,設定!$G$9)))</f>
        <v/>
      </c>
      <c r="U137" s="62" t="str">
        <f aca="false">IF(OR($C137="",S137=""),"",IF(S137/IF($S$2="",100,$S$2)&gt;=設定!$I$28,設定!$G$8,IF(S137/IF($S$2="",100,$S$2)&lt;設定!$I$29,設定!$G$10,設定!$G$9)))</f>
        <v/>
      </c>
    </row>
    <row r="138" customFormat="false" ht="21" hidden="false" customHeight="true" outlineLevel="0" collapsed="false">
      <c r="A138" s="91" t="str">
        <f aca="false">IF(名簿!$D138="","",名簿!$B138&amp;"")</f>
        <v/>
      </c>
      <c r="B138" s="91" t="str">
        <f aca="false">IF(名簿!$D138="","",名簿!$C138)</f>
        <v/>
      </c>
      <c r="C138" s="59" t="str">
        <f aca="false">IF(名簿!$D138="","",名簿!$D138&amp;IF(名簿!$F138="転出","（転出）",""))</f>
        <v/>
      </c>
      <c r="D138" s="149"/>
      <c r="E138" s="61" t="str">
        <f aca="false">IF(OR($C138="",名簿!$F138="転出"),"",IF($C$2="学級ごと",$A138,IF($C$2="前の単元と同じ",単元06!$E138&amp;"",$D138&amp;"")))</f>
        <v/>
      </c>
      <c r="F138" s="150"/>
      <c r="G138" s="150"/>
      <c r="H138" s="150"/>
      <c r="I138" s="151"/>
      <c r="J138" s="41" t="str">
        <f aca="false">IF($E138="","",$E138&amp;"|"&amp;COUNTIF($E$5:$E138,$E138))</f>
        <v/>
      </c>
      <c r="K138" s="40" t="str">
        <f aca="false">IF($I138="","",LEN($I138))</f>
        <v/>
      </c>
      <c r="L138" s="13"/>
      <c r="M138" s="13"/>
      <c r="N138" s="13"/>
      <c r="O138" s="13"/>
      <c r="P138" s="152"/>
      <c r="Q138" s="149"/>
      <c r="R138" s="152"/>
      <c r="S138" s="152"/>
      <c r="T138" s="62" t="str">
        <f aca="false">IF(OR($C138="",R138=""),"",IF(R138/IF($R$2="",100,$R$2)&gt;=設定!$I$28,設定!$G$8,IF(R138/IF($R$2="",100,$R$2)&lt;設定!$I$29,設定!$G$10,設定!$G$9)))</f>
        <v/>
      </c>
      <c r="U138" s="62" t="str">
        <f aca="false">IF(OR($C138="",S138=""),"",IF(S138/IF($S$2="",100,$S$2)&gt;=設定!$I$28,設定!$G$8,IF(S138/IF($S$2="",100,$S$2)&lt;設定!$I$29,設定!$G$10,設定!$G$9)))</f>
        <v/>
      </c>
    </row>
    <row r="139" customFormat="false" ht="21" hidden="false" customHeight="true" outlineLevel="0" collapsed="false">
      <c r="A139" s="91" t="str">
        <f aca="false">IF(名簿!$D139="","",名簿!$B139&amp;"")</f>
        <v/>
      </c>
      <c r="B139" s="91" t="str">
        <f aca="false">IF(名簿!$D139="","",名簿!$C139)</f>
        <v/>
      </c>
      <c r="C139" s="59" t="str">
        <f aca="false">IF(名簿!$D139="","",名簿!$D139&amp;IF(名簿!$F139="転出","（転出）",""))</f>
        <v/>
      </c>
      <c r="D139" s="149"/>
      <c r="E139" s="61" t="str">
        <f aca="false">IF(OR($C139="",名簿!$F139="転出"),"",IF($C$2="学級ごと",$A139,IF($C$2="前の単元と同じ",単元06!$E139&amp;"",$D139&amp;"")))</f>
        <v/>
      </c>
      <c r="F139" s="150"/>
      <c r="G139" s="150"/>
      <c r="H139" s="150"/>
      <c r="I139" s="151"/>
      <c r="J139" s="41" t="str">
        <f aca="false">IF($E139="","",$E139&amp;"|"&amp;COUNTIF($E$5:$E139,$E139))</f>
        <v/>
      </c>
      <c r="K139" s="40" t="str">
        <f aca="false">IF($I139="","",LEN($I139))</f>
        <v/>
      </c>
      <c r="L139" s="13"/>
      <c r="M139" s="13"/>
      <c r="N139" s="13"/>
      <c r="O139" s="13"/>
      <c r="P139" s="152"/>
      <c r="Q139" s="149"/>
      <c r="R139" s="152"/>
      <c r="S139" s="152"/>
      <c r="T139" s="62" t="str">
        <f aca="false">IF(OR($C139="",R139=""),"",IF(R139/IF($R$2="",100,$R$2)&gt;=設定!$I$28,設定!$G$8,IF(R139/IF($R$2="",100,$R$2)&lt;設定!$I$29,設定!$G$10,設定!$G$9)))</f>
        <v/>
      </c>
      <c r="U139" s="62" t="str">
        <f aca="false">IF(OR($C139="",S139=""),"",IF(S139/IF($S$2="",100,$S$2)&gt;=設定!$I$28,設定!$G$8,IF(S139/IF($S$2="",100,$S$2)&lt;設定!$I$29,設定!$G$10,設定!$G$9)))</f>
        <v/>
      </c>
    </row>
    <row r="140" customFormat="false" ht="21" hidden="false" customHeight="true" outlineLevel="0" collapsed="false">
      <c r="A140" s="91" t="str">
        <f aca="false">IF(名簿!$D140="","",名簿!$B140&amp;"")</f>
        <v/>
      </c>
      <c r="B140" s="91" t="str">
        <f aca="false">IF(名簿!$D140="","",名簿!$C140)</f>
        <v/>
      </c>
      <c r="C140" s="59" t="str">
        <f aca="false">IF(名簿!$D140="","",名簿!$D140&amp;IF(名簿!$F140="転出","（転出）",""))</f>
        <v/>
      </c>
      <c r="D140" s="149"/>
      <c r="E140" s="61" t="str">
        <f aca="false">IF(OR($C140="",名簿!$F140="転出"),"",IF($C$2="学級ごと",$A140,IF($C$2="前の単元と同じ",単元06!$E140&amp;"",$D140&amp;"")))</f>
        <v/>
      </c>
      <c r="F140" s="150"/>
      <c r="G140" s="150"/>
      <c r="H140" s="150"/>
      <c r="I140" s="151"/>
      <c r="J140" s="41" t="str">
        <f aca="false">IF($E140="","",$E140&amp;"|"&amp;COUNTIF($E$5:$E140,$E140))</f>
        <v/>
      </c>
      <c r="K140" s="40" t="str">
        <f aca="false">IF($I140="","",LEN($I140))</f>
        <v/>
      </c>
      <c r="L140" s="13"/>
      <c r="M140" s="13"/>
      <c r="N140" s="13"/>
      <c r="O140" s="13"/>
      <c r="P140" s="152"/>
      <c r="Q140" s="149"/>
      <c r="R140" s="152"/>
      <c r="S140" s="152"/>
      <c r="T140" s="62" t="str">
        <f aca="false">IF(OR($C140="",R140=""),"",IF(R140/IF($R$2="",100,$R$2)&gt;=設定!$I$28,設定!$G$8,IF(R140/IF($R$2="",100,$R$2)&lt;設定!$I$29,設定!$G$10,設定!$G$9)))</f>
        <v/>
      </c>
      <c r="U140" s="62" t="str">
        <f aca="false">IF(OR($C140="",S140=""),"",IF(S140/IF($S$2="",100,$S$2)&gt;=設定!$I$28,設定!$G$8,IF(S140/IF($S$2="",100,$S$2)&lt;設定!$I$29,設定!$G$10,設定!$G$9)))</f>
        <v/>
      </c>
    </row>
    <row r="141" customFormat="false" ht="21" hidden="false" customHeight="true" outlineLevel="0" collapsed="false">
      <c r="A141" s="91" t="str">
        <f aca="false">IF(名簿!$D141="","",名簿!$B141&amp;"")</f>
        <v/>
      </c>
      <c r="B141" s="91" t="str">
        <f aca="false">IF(名簿!$D141="","",名簿!$C141)</f>
        <v/>
      </c>
      <c r="C141" s="59" t="str">
        <f aca="false">IF(名簿!$D141="","",名簿!$D141&amp;IF(名簿!$F141="転出","（転出）",""))</f>
        <v/>
      </c>
      <c r="D141" s="149"/>
      <c r="E141" s="61" t="str">
        <f aca="false">IF(OR($C141="",名簿!$F141="転出"),"",IF($C$2="学級ごと",$A141,IF($C$2="前の単元と同じ",単元06!$E141&amp;"",$D141&amp;"")))</f>
        <v/>
      </c>
      <c r="F141" s="150"/>
      <c r="G141" s="150"/>
      <c r="H141" s="150"/>
      <c r="I141" s="151"/>
      <c r="J141" s="41" t="str">
        <f aca="false">IF($E141="","",$E141&amp;"|"&amp;COUNTIF($E$5:$E141,$E141))</f>
        <v/>
      </c>
      <c r="K141" s="40" t="str">
        <f aca="false">IF($I141="","",LEN($I141))</f>
        <v/>
      </c>
      <c r="L141" s="13"/>
      <c r="M141" s="13"/>
      <c r="N141" s="13"/>
      <c r="O141" s="13"/>
      <c r="P141" s="152"/>
      <c r="Q141" s="149"/>
      <c r="R141" s="152"/>
      <c r="S141" s="152"/>
      <c r="T141" s="62" t="str">
        <f aca="false">IF(OR($C141="",R141=""),"",IF(R141/IF($R$2="",100,$R$2)&gt;=設定!$I$28,設定!$G$8,IF(R141/IF($R$2="",100,$R$2)&lt;設定!$I$29,設定!$G$10,設定!$G$9)))</f>
        <v/>
      </c>
      <c r="U141" s="62" t="str">
        <f aca="false">IF(OR($C141="",S141=""),"",IF(S141/IF($S$2="",100,$S$2)&gt;=設定!$I$28,設定!$G$8,IF(S141/IF($S$2="",100,$S$2)&lt;設定!$I$29,設定!$G$10,設定!$G$9)))</f>
        <v/>
      </c>
    </row>
    <row r="142" customFormat="false" ht="21" hidden="false" customHeight="true" outlineLevel="0" collapsed="false">
      <c r="A142" s="91" t="str">
        <f aca="false">IF(名簿!$D142="","",名簿!$B142&amp;"")</f>
        <v/>
      </c>
      <c r="B142" s="91" t="str">
        <f aca="false">IF(名簿!$D142="","",名簿!$C142)</f>
        <v/>
      </c>
      <c r="C142" s="59" t="str">
        <f aca="false">IF(名簿!$D142="","",名簿!$D142&amp;IF(名簿!$F142="転出","（転出）",""))</f>
        <v/>
      </c>
      <c r="D142" s="149"/>
      <c r="E142" s="61" t="str">
        <f aca="false">IF(OR($C142="",名簿!$F142="転出"),"",IF($C$2="学級ごと",$A142,IF($C$2="前の単元と同じ",単元06!$E142&amp;"",$D142&amp;"")))</f>
        <v/>
      </c>
      <c r="F142" s="150"/>
      <c r="G142" s="150"/>
      <c r="H142" s="150"/>
      <c r="I142" s="151"/>
      <c r="J142" s="41" t="str">
        <f aca="false">IF($E142="","",$E142&amp;"|"&amp;COUNTIF($E$5:$E142,$E142))</f>
        <v/>
      </c>
      <c r="K142" s="40" t="str">
        <f aca="false">IF($I142="","",LEN($I142))</f>
        <v/>
      </c>
      <c r="L142" s="13"/>
      <c r="M142" s="13"/>
      <c r="N142" s="13"/>
      <c r="O142" s="13"/>
      <c r="P142" s="152"/>
      <c r="Q142" s="149"/>
      <c r="R142" s="152"/>
      <c r="S142" s="152"/>
      <c r="T142" s="62" t="str">
        <f aca="false">IF(OR($C142="",R142=""),"",IF(R142/IF($R$2="",100,$R$2)&gt;=設定!$I$28,設定!$G$8,IF(R142/IF($R$2="",100,$R$2)&lt;設定!$I$29,設定!$G$10,設定!$G$9)))</f>
        <v/>
      </c>
      <c r="U142" s="62" t="str">
        <f aca="false">IF(OR($C142="",S142=""),"",IF(S142/IF($S$2="",100,$S$2)&gt;=設定!$I$28,設定!$G$8,IF(S142/IF($S$2="",100,$S$2)&lt;設定!$I$29,設定!$G$10,設定!$G$9)))</f>
        <v/>
      </c>
    </row>
    <row r="143" customFormat="false" ht="21" hidden="false" customHeight="true" outlineLevel="0" collapsed="false">
      <c r="A143" s="91" t="str">
        <f aca="false">IF(名簿!$D143="","",名簿!$B143&amp;"")</f>
        <v/>
      </c>
      <c r="B143" s="91" t="str">
        <f aca="false">IF(名簿!$D143="","",名簿!$C143)</f>
        <v/>
      </c>
      <c r="C143" s="59" t="str">
        <f aca="false">IF(名簿!$D143="","",名簿!$D143&amp;IF(名簿!$F143="転出","（転出）",""))</f>
        <v/>
      </c>
      <c r="D143" s="149"/>
      <c r="E143" s="61" t="str">
        <f aca="false">IF(OR($C143="",名簿!$F143="転出"),"",IF($C$2="学級ごと",$A143,IF($C$2="前の単元と同じ",単元06!$E143&amp;"",$D143&amp;"")))</f>
        <v/>
      </c>
      <c r="F143" s="150"/>
      <c r="G143" s="150"/>
      <c r="H143" s="150"/>
      <c r="I143" s="151"/>
      <c r="J143" s="41" t="str">
        <f aca="false">IF($E143="","",$E143&amp;"|"&amp;COUNTIF($E$5:$E143,$E143))</f>
        <v/>
      </c>
      <c r="K143" s="40" t="str">
        <f aca="false">IF($I143="","",LEN($I143))</f>
        <v/>
      </c>
      <c r="L143" s="13"/>
      <c r="M143" s="13"/>
      <c r="N143" s="13"/>
      <c r="O143" s="13"/>
      <c r="P143" s="152"/>
      <c r="Q143" s="149"/>
      <c r="R143" s="152"/>
      <c r="S143" s="152"/>
      <c r="T143" s="62" t="str">
        <f aca="false">IF(OR($C143="",R143=""),"",IF(R143/IF($R$2="",100,$R$2)&gt;=設定!$I$28,設定!$G$8,IF(R143/IF($R$2="",100,$R$2)&lt;設定!$I$29,設定!$G$10,設定!$G$9)))</f>
        <v/>
      </c>
      <c r="U143" s="62" t="str">
        <f aca="false">IF(OR($C143="",S143=""),"",IF(S143/IF($S$2="",100,$S$2)&gt;=設定!$I$28,設定!$G$8,IF(S143/IF($S$2="",100,$S$2)&lt;設定!$I$29,設定!$G$10,設定!$G$9)))</f>
        <v/>
      </c>
    </row>
    <row r="144" customFormat="false" ht="21" hidden="false" customHeight="true" outlineLevel="0" collapsed="false">
      <c r="A144" s="91" t="str">
        <f aca="false">IF(名簿!$D144="","",名簿!$B144&amp;"")</f>
        <v/>
      </c>
      <c r="B144" s="91" t="str">
        <f aca="false">IF(名簿!$D144="","",名簿!$C144)</f>
        <v/>
      </c>
      <c r="C144" s="59" t="str">
        <f aca="false">IF(名簿!$D144="","",名簿!$D144&amp;IF(名簿!$F144="転出","（転出）",""))</f>
        <v/>
      </c>
      <c r="D144" s="149"/>
      <c r="E144" s="61" t="str">
        <f aca="false">IF(OR($C144="",名簿!$F144="転出"),"",IF($C$2="学級ごと",$A144,IF($C$2="前の単元と同じ",単元06!$E144&amp;"",$D144&amp;"")))</f>
        <v/>
      </c>
      <c r="F144" s="150"/>
      <c r="G144" s="150"/>
      <c r="H144" s="150"/>
      <c r="I144" s="151"/>
      <c r="J144" s="41" t="str">
        <f aca="false">IF($E144="","",$E144&amp;"|"&amp;COUNTIF($E$5:$E144,$E144))</f>
        <v/>
      </c>
      <c r="K144" s="40" t="str">
        <f aca="false">IF($I144="","",LEN($I144))</f>
        <v/>
      </c>
      <c r="L144" s="13"/>
      <c r="M144" s="13"/>
      <c r="N144" s="13"/>
      <c r="O144" s="13"/>
      <c r="P144" s="152"/>
      <c r="Q144" s="149"/>
      <c r="R144" s="152"/>
      <c r="S144" s="152"/>
      <c r="T144" s="62" t="str">
        <f aca="false">IF(OR($C144="",R144=""),"",IF(R144/IF($R$2="",100,$R$2)&gt;=設定!$I$28,設定!$G$8,IF(R144/IF($R$2="",100,$R$2)&lt;設定!$I$29,設定!$G$10,設定!$G$9)))</f>
        <v/>
      </c>
      <c r="U144" s="62" t="str">
        <f aca="false">IF(OR($C144="",S144=""),"",IF(S144/IF($S$2="",100,$S$2)&gt;=設定!$I$28,設定!$G$8,IF(S144/IF($S$2="",100,$S$2)&lt;設定!$I$29,設定!$G$10,設定!$G$9)))</f>
        <v/>
      </c>
    </row>
    <row r="145" customFormat="false" ht="21" hidden="false" customHeight="true" outlineLevel="0" collapsed="false">
      <c r="A145" s="91" t="str">
        <f aca="false">IF(名簿!$D145="","",名簿!$B145&amp;"")</f>
        <v/>
      </c>
      <c r="B145" s="91" t="str">
        <f aca="false">IF(名簿!$D145="","",名簿!$C145)</f>
        <v/>
      </c>
      <c r="C145" s="59" t="str">
        <f aca="false">IF(名簿!$D145="","",名簿!$D145&amp;IF(名簿!$F145="転出","（転出）",""))</f>
        <v/>
      </c>
      <c r="D145" s="149"/>
      <c r="E145" s="61" t="str">
        <f aca="false">IF(OR($C145="",名簿!$F145="転出"),"",IF($C$2="学級ごと",$A145,IF($C$2="前の単元と同じ",単元06!$E145&amp;"",$D145&amp;"")))</f>
        <v/>
      </c>
      <c r="F145" s="150"/>
      <c r="G145" s="150"/>
      <c r="H145" s="150"/>
      <c r="I145" s="151"/>
      <c r="J145" s="41" t="str">
        <f aca="false">IF($E145="","",$E145&amp;"|"&amp;COUNTIF($E$5:$E145,$E145))</f>
        <v/>
      </c>
      <c r="K145" s="40" t="str">
        <f aca="false">IF($I145="","",LEN($I145))</f>
        <v/>
      </c>
      <c r="L145" s="13"/>
      <c r="M145" s="13"/>
      <c r="N145" s="13"/>
      <c r="O145" s="13"/>
      <c r="P145" s="152"/>
      <c r="Q145" s="149"/>
      <c r="R145" s="152"/>
      <c r="S145" s="152"/>
      <c r="T145" s="62" t="str">
        <f aca="false">IF(OR($C145="",R145=""),"",IF(R145/IF($R$2="",100,$R$2)&gt;=設定!$I$28,設定!$G$8,IF(R145/IF($R$2="",100,$R$2)&lt;設定!$I$29,設定!$G$10,設定!$G$9)))</f>
        <v/>
      </c>
      <c r="U145" s="62" t="str">
        <f aca="false">IF(OR($C145="",S145=""),"",IF(S145/IF($S$2="",100,$S$2)&gt;=設定!$I$28,設定!$G$8,IF(S145/IF($S$2="",100,$S$2)&lt;設定!$I$29,設定!$G$10,設定!$G$9)))</f>
        <v/>
      </c>
    </row>
    <row r="146" customFormat="false" ht="21" hidden="false" customHeight="true" outlineLevel="0" collapsed="false">
      <c r="A146" s="91" t="str">
        <f aca="false">IF(名簿!$D146="","",名簿!$B146&amp;"")</f>
        <v/>
      </c>
      <c r="B146" s="91" t="str">
        <f aca="false">IF(名簿!$D146="","",名簿!$C146)</f>
        <v/>
      </c>
      <c r="C146" s="59" t="str">
        <f aca="false">IF(名簿!$D146="","",名簿!$D146&amp;IF(名簿!$F146="転出","（転出）",""))</f>
        <v/>
      </c>
      <c r="D146" s="149"/>
      <c r="E146" s="61" t="str">
        <f aca="false">IF(OR($C146="",名簿!$F146="転出"),"",IF($C$2="学級ごと",$A146,IF($C$2="前の単元と同じ",単元06!$E146&amp;"",$D146&amp;"")))</f>
        <v/>
      </c>
      <c r="F146" s="150"/>
      <c r="G146" s="150"/>
      <c r="H146" s="150"/>
      <c r="I146" s="151"/>
      <c r="J146" s="41" t="str">
        <f aca="false">IF($E146="","",$E146&amp;"|"&amp;COUNTIF($E$5:$E146,$E146))</f>
        <v/>
      </c>
      <c r="K146" s="40" t="str">
        <f aca="false">IF($I146="","",LEN($I146))</f>
        <v/>
      </c>
      <c r="L146" s="13"/>
      <c r="M146" s="13"/>
      <c r="N146" s="13"/>
      <c r="O146" s="13"/>
      <c r="P146" s="152"/>
      <c r="Q146" s="149"/>
      <c r="R146" s="152"/>
      <c r="S146" s="152"/>
      <c r="T146" s="62" t="str">
        <f aca="false">IF(OR($C146="",R146=""),"",IF(R146/IF($R$2="",100,$R$2)&gt;=設定!$I$28,設定!$G$8,IF(R146/IF($R$2="",100,$R$2)&lt;設定!$I$29,設定!$G$10,設定!$G$9)))</f>
        <v/>
      </c>
      <c r="U146" s="62" t="str">
        <f aca="false">IF(OR($C146="",S146=""),"",IF(S146/IF($S$2="",100,$S$2)&gt;=設定!$I$28,設定!$G$8,IF(S146/IF($S$2="",100,$S$2)&lt;設定!$I$29,設定!$G$10,設定!$G$9)))</f>
        <v/>
      </c>
    </row>
    <row r="147" customFormat="false" ht="21" hidden="false" customHeight="true" outlineLevel="0" collapsed="false">
      <c r="A147" s="91" t="str">
        <f aca="false">IF(名簿!$D147="","",名簿!$B147&amp;"")</f>
        <v/>
      </c>
      <c r="B147" s="91" t="str">
        <f aca="false">IF(名簿!$D147="","",名簿!$C147)</f>
        <v/>
      </c>
      <c r="C147" s="59" t="str">
        <f aca="false">IF(名簿!$D147="","",名簿!$D147&amp;IF(名簿!$F147="転出","（転出）",""))</f>
        <v/>
      </c>
      <c r="D147" s="149"/>
      <c r="E147" s="61" t="str">
        <f aca="false">IF(OR($C147="",名簿!$F147="転出"),"",IF($C$2="学級ごと",$A147,IF($C$2="前の単元と同じ",単元06!$E147&amp;"",$D147&amp;"")))</f>
        <v/>
      </c>
      <c r="F147" s="150"/>
      <c r="G147" s="150"/>
      <c r="H147" s="150"/>
      <c r="I147" s="151"/>
      <c r="J147" s="41" t="str">
        <f aca="false">IF($E147="","",$E147&amp;"|"&amp;COUNTIF($E$5:$E147,$E147))</f>
        <v/>
      </c>
      <c r="K147" s="40" t="str">
        <f aca="false">IF($I147="","",LEN($I147))</f>
        <v/>
      </c>
      <c r="L147" s="13"/>
      <c r="M147" s="13"/>
      <c r="N147" s="13"/>
      <c r="O147" s="13"/>
      <c r="P147" s="152"/>
      <c r="Q147" s="149"/>
      <c r="R147" s="152"/>
      <c r="S147" s="152"/>
      <c r="T147" s="62" t="str">
        <f aca="false">IF(OR($C147="",R147=""),"",IF(R147/IF($R$2="",100,$R$2)&gt;=設定!$I$28,設定!$G$8,IF(R147/IF($R$2="",100,$R$2)&lt;設定!$I$29,設定!$G$10,設定!$G$9)))</f>
        <v/>
      </c>
      <c r="U147" s="62" t="str">
        <f aca="false">IF(OR($C147="",S147=""),"",IF(S147/IF($S$2="",100,$S$2)&gt;=設定!$I$28,設定!$G$8,IF(S147/IF($S$2="",100,$S$2)&lt;設定!$I$29,設定!$G$10,設定!$G$9)))</f>
        <v/>
      </c>
    </row>
    <row r="148" customFormat="false" ht="21" hidden="false" customHeight="true" outlineLevel="0" collapsed="false">
      <c r="A148" s="91" t="str">
        <f aca="false">IF(名簿!$D148="","",名簿!$B148&amp;"")</f>
        <v/>
      </c>
      <c r="B148" s="91" t="str">
        <f aca="false">IF(名簿!$D148="","",名簿!$C148)</f>
        <v/>
      </c>
      <c r="C148" s="59" t="str">
        <f aca="false">IF(名簿!$D148="","",名簿!$D148&amp;IF(名簿!$F148="転出","（転出）",""))</f>
        <v/>
      </c>
      <c r="D148" s="149"/>
      <c r="E148" s="61" t="str">
        <f aca="false">IF(OR($C148="",名簿!$F148="転出"),"",IF($C$2="学級ごと",$A148,IF($C$2="前の単元と同じ",単元06!$E148&amp;"",$D148&amp;"")))</f>
        <v/>
      </c>
      <c r="F148" s="150"/>
      <c r="G148" s="150"/>
      <c r="H148" s="150"/>
      <c r="I148" s="151"/>
      <c r="J148" s="41" t="str">
        <f aca="false">IF($E148="","",$E148&amp;"|"&amp;COUNTIF($E$5:$E148,$E148))</f>
        <v/>
      </c>
      <c r="K148" s="40" t="str">
        <f aca="false">IF($I148="","",LEN($I148))</f>
        <v/>
      </c>
      <c r="L148" s="13"/>
      <c r="M148" s="13"/>
      <c r="N148" s="13"/>
      <c r="O148" s="13"/>
      <c r="P148" s="152"/>
      <c r="Q148" s="149"/>
      <c r="R148" s="152"/>
      <c r="S148" s="152"/>
      <c r="T148" s="62" t="str">
        <f aca="false">IF(OR($C148="",R148=""),"",IF(R148/IF($R$2="",100,$R$2)&gt;=設定!$I$28,設定!$G$8,IF(R148/IF($R$2="",100,$R$2)&lt;設定!$I$29,設定!$G$10,設定!$G$9)))</f>
        <v/>
      </c>
      <c r="U148" s="62" t="str">
        <f aca="false">IF(OR($C148="",S148=""),"",IF(S148/IF($S$2="",100,$S$2)&gt;=設定!$I$28,設定!$G$8,IF(S148/IF($S$2="",100,$S$2)&lt;設定!$I$29,設定!$G$10,設定!$G$9)))</f>
        <v/>
      </c>
    </row>
    <row r="149" customFormat="false" ht="21" hidden="false" customHeight="true" outlineLevel="0" collapsed="false">
      <c r="A149" s="91" t="str">
        <f aca="false">IF(名簿!$D149="","",名簿!$B149&amp;"")</f>
        <v/>
      </c>
      <c r="B149" s="91" t="str">
        <f aca="false">IF(名簿!$D149="","",名簿!$C149)</f>
        <v/>
      </c>
      <c r="C149" s="59" t="str">
        <f aca="false">IF(名簿!$D149="","",名簿!$D149&amp;IF(名簿!$F149="転出","（転出）",""))</f>
        <v/>
      </c>
      <c r="D149" s="149"/>
      <c r="E149" s="61" t="str">
        <f aca="false">IF(OR($C149="",名簿!$F149="転出"),"",IF($C$2="学級ごと",$A149,IF($C$2="前の単元と同じ",単元06!$E149&amp;"",$D149&amp;"")))</f>
        <v/>
      </c>
      <c r="F149" s="150"/>
      <c r="G149" s="150"/>
      <c r="H149" s="150"/>
      <c r="I149" s="151"/>
      <c r="J149" s="41" t="str">
        <f aca="false">IF($E149="","",$E149&amp;"|"&amp;COUNTIF($E$5:$E149,$E149))</f>
        <v/>
      </c>
      <c r="K149" s="40" t="str">
        <f aca="false">IF($I149="","",LEN($I149))</f>
        <v/>
      </c>
      <c r="L149" s="13"/>
      <c r="M149" s="13"/>
      <c r="N149" s="13"/>
      <c r="O149" s="13"/>
      <c r="P149" s="152"/>
      <c r="Q149" s="149"/>
      <c r="R149" s="152"/>
      <c r="S149" s="152"/>
      <c r="T149" s="62" t="str">
        <f aca="false">IF(OR($C149="",R149=""),"",IF(R149/IF($R$2="",100,$R$2)&gt;=設定!$I$28,設定!$G$8,IF(R149/IF($R$2="",100,$R$2)&lt;設定!$I$29,設定!$G$10,設定!$G$9)))</f>
        <v/>
      </c>
      <c r="U149" s="62" t="str">
        <f aca="false">IF(OR($C149="",S149=""),"",IF(S149/IF($S$2="",100,$S$2)&gt;=設定!$I$28,設定!$G$8,IF(S149/IF($S$2="",100,$S$2)&lt;設定!$I$29,設定!$G$10,設定!$G$9)))</f>
        <v/>
      </c>
    </row>
    <row r="150" customFormat="false" ht="21" hidden="false" customHeight="true" outlineLevel="0" collapsed="false">
      <c r="A150" s="91" t="str">
        <f aca="false">IF(名簿!$D150="","",名簿!$B150&amp;"")</f>
        <v/>
      </c>
      <c r="B150" s="91" t="str">
        <f aca="false">IF(名簿!$D150="","",名簿!$C150)</f>
        <v/>
      </c>
      <c r="C150" s="59" t="str">
        <f aca="false">IF(名簿!$D150="","",名簿!$D150&amp;IF(名簿!$F150="転出","（転出）",""))</f>
        <v/>
      </c>
      <c r="D150" s="149"/>
      <c r="E150" s="61" t="str">
        <f aca="false">IF(OR($C150="",名簿!$F150="転出"),"",IF($C$2="学級ごと",$A150,IF($C$2="前の単元と同じ",単元06!$E150&amp;"",$D150&amp;"")))</f>
        <v/>
      </c>
      <c r="F150" s="150"/>
      <c r="G150" s="150"/>
      <c r="H150" s="150"/>
      <c r="I150" s="151"/>
      <c r="J150" s="41" t="str">
        <f aca="false">IF($E150="","",$E150&amp;"|"&amp;COUNTIF($E$5:$E150,$E150))</f>
        <v/>
      </c>
      <c r="K150" s="40" t="str">
        <f aca="false">IF($I150="","",LEN($I150))</f>
        <v/>
      </c>
      <c r="L150" s="13"/>
      <c r="M150" s="13"/>
      <c r="N150" s="13"/>
      <c r="O150" s="13"/>
      <c r="P150" s="152"/>
      <c r="Q150" s="149"/>
      <c r="R150" s="152"/>
      <c r="S150" s="152"/>
      <c r="T150" s="62" t="str">
        <f aca="false">IF(OR($C150="",R150=""),"",IF(R150/IF($R$2="",100,$R$2)&gt;=設定!$I$28,設定!$G$8,IF(R150/IF($R$2="",100,$R$2)&lt;設定!$I$29,設定!$G$10,設定!$G$9)))</f>
        <v/>
      </c>
      <c r="U150" s="62" t="str">
        <f aca="false">IF(OR($C150="",S150=""),"",IF(S150/IF($S$2="",100,$S$2)&gt;=設定!$I$28,設定!$G$8,IF(S150/IF($S$2="",100,$S$2)&lt;設定!$I$29,設定!$G$10,設定!$G$9)))</f>
        <v/>
      </c>
    </row>
    <row r="151" customFormat="false" ht="21" hidden="false" customHeight="true" outlineLevel="0" collapsed="false">
      <c r="A151" s="91" t="str">
        <f aca="false">IF(名簿!$D151="","",名簿!$B151&amp;"")</f>
        <v/>
      </c>
      <c r="B151" s="91" t="str">
        <f aca="false">IF(名簿!$D151="","",名簿!$C151)</f>
        <v/>
      </c>
      <c r="C151" s="59" t="str">
        <f aca="false">IF(名簿!$D151="","",名簿!$D151&amp;IF(名簿!$F151="転出","（転出）",""))</f>
        <v/>
      </c>
      <c r="D151" s="149"/>
      <c r="E151" s="61" t="str">
        <f aca="false">IF(OR($C151="",名簿!$F151="転出"),"",IF($C$2="学級ごと",$A151,IF($C$2="前の単元と同じ",単元06!$E151&amp;"",$D151&amp;"")))</f>
        <v/>
      </c>
      <c r="F151" s="150"/>
      <c r="G151" s="150"/>
      <c r="H151" s="150"/>
      <c r="I151" s="151"/>
      <c r="J151" s="41" t="str">
        <f aca="false">IF($E151="","",$E151&amp;"|"&amp;COUNTIF($E$5:$E151,$E151))</f>
        <v/>
      </c>
      <c r="K151" s="40" t="str">
        <f aca="false">IF($I151="","",LEN($I151))</f>
        <v/>
      </c>
      <c r="L151" s="13"/>
      <c r="M151" s="13"/>
      <c r="N151" s="13"/>
      <c r="O151" s="13"/>
      <c r="P151" s="152"/>
      <c r="Q151" s="149"/>
      <c r="R151" s="152"/>
      <c r="S151" s="152"/>
      <c r="T151" s="62" t="str">
        <f aca="false">IF(OR($C151="",R151=""),"",IF(R151/IF($R$2="",100,$R$2)&gt;=設定!$I$28,設定!$G$8,IF(R151/IF($R$2="",100,$R$2)&lt;設定!$I$29,設定!$G$10,設定!$G$9)))</f>
        <v/>
      </c>
      <c r="U151" s="62" t="str">
        <f aca="false">IF(OR($C151="",S151=""),"",IF(S151/IF($S$2="",100,$S$2)&gt;=設定!$I$28,設定!$G$8,IF(S151/IF($S$2="",100,$S$2)&lt;設定!$I$29,設定!$G$10,設定!$G$9)))</f>
        <v/>
      </c>
    </row>
    <row r="152" customFormat="false" ht="21" hidden="false" customHeight="true" outlineLevel="0" collapsed="false">
      <c r="A152" s="91" t="str">
        <f aca="false">IF(名簿!$D152="","",名簿!$B152&amp;"")</f>
        <v/>
      </c>
      <c r="B152" s="91" t="str">
        <f aca="false">IF(名簿!$D152="","",名簿!$C152)</f>
        <v/>
      </c>
      <c r="C152" s="59" t="str">
        <f aca="false">IF(名簿!$D152="","",名簿!$D152&amp;IF(名簿!$F152="転出","（転出）",""))</f>
        <v/>
      </c>
      <c r="D152" s="149"/>
      <c r="E152" s="61" t="str">
        <f aca="false">IF(OR($C152="",名簿!$F152="転出"),"",IF($C$2="学級ごと",$A152,IF($C$2="前の単元と同じ",単元06!$E152&amp;"",$D152&amp;"")))</f>
        <v/>
      </c>
      <c r="F152" s="150"/>
      <c r="G152" s="150"/>
      <c r="H152" s="150"/>
      <c r="I152" s="151"/>
      <c r="J152" s="41" t="str">
        <f aca="false">IF($E152="","",$E152&amp;"|"&amp;COUNTIF($E$5:$E152,$E152))</f>
        <v/>
      </c>
      <c r="K152" s="40" t="str">
        <f aca="false">IF($I152="","",LEN($I152))</f>
        <v/>
      </c>
      <c r="L152" s="13"/>
      <c r="M152" s="13"/>
      <c r="N152" s="13"/>
      <c r="O152" s="13"/>
      <c r="P152" s="152"/>
      <c r="Q152" s="149"/>
      <c r="R152" s="152"/>
      <c r="S152" s="152"/>
      <c r="T152" s="62" t="str">
        <f aca="false">IF(OR($C152="",R152=""),"",IF(R152/IF($R$2="",100,$R$2)&gt;=設定!$I$28,設定!$G$8,IF(R152/IF($R$2="",100,$R$2)&lt;設定!$I$29,設定!$G$10,設定!$G$9)))</f>
        <v/>
      </c>
      <c r="U152" s="62" t="str">
        <f aca="false">IF(OR($C152="",S152=""),"",IF(S152/IF($S$2="",100,$S$2)&gt;=設定!$I$28,設定!$G$8,IF(S152/IF($S$2="",100,$S$2)&lt;設定!$I$29,設定!$G$10,設定!$G$9)))</f>
        <v/>
      </c>
    </row>
    <row r="153" customFormat="false" ht="21" hidden="false" customHeight="true" outlineLevel="0" collapsed="false">
      <c r="A153" s="91" t="str">
        <f aca="false">IF(名簿!$D153="","",名簿!$B153&amp;"")</f>
        <v/>
      </c>
      <c r="B153" s="91" t="str">
        <f aca="false">IF(名簿!$D153="","",名簿!$C153)</f>
        <v/>
      </c>
      <c r="C153" s="59" t="str">
        <f aca="false">IF(名簿!$D153="","",名簿!$D153&amp;IF(名簿!$F153="転出","（転出）",""))</f>
        <v/>
      </c>
      <c r="D153" s="149"/>
      <c r="E153" s="61" t="str">
        <f aca="false">IF(OR($C153="",名簿!$F153="転出"),"",IF($C$2="学級ごと",$A153,IF($C$2="前の単元と同じ",単元06!$E153&amp;"",$D153&amp;"")))</f>
        <v/>
      </c>
      <c r="F153" s="150"/>
      <c r="G153" s="150"/>
      <c r="H153" s="150"/>
      <c r="I153" s="151"/>
      <c r="J153" s="41" t="str">
        <f aca="false">IF($E153="","",$E153&amp;"|"&amp;COUNTIF($E$5:$E153,$E153))</f>
        <v/>
      </c>
      <c r="K153" s="40" t="str">
        <f aca="false">IF($I153="","",LEN($I153))</f>
        <v/>
      </c>
      <c r="L153" s="13"/>
      <c r="M153" s="13"/>
      <c r="N153" s="13"/>
      <c r="O153" s="13"/>
      <c r="P153" s="152"/>
      <c r="Q153" s="149"/>
      <c r="R153" s="152"/>
      <c r="S153" s="152"/>
      <c r="T153" s="62" t="str">
        <f aca="false">IF(OR($C153="",R153=""),"",IF(R153/IF($R$2="",100,$R$2)&gt;=設定!$I$28,設定!$G$8,IF(R153/IF($R$2="",100,$R$2)&lt;設定!$I$29,設定!$G$10,設定!$G$9)))</f>
        <v/>
      </c>
      <c r="U153" s="62" t="str">
        <f aca="false">IF(OR($C153="",S153=""),"",IF(S153/IF($S$2="",100,$S$2)&gt;=設定!$I$28,設定!$G$8,IF(S153/IF($S$2="",100,$S$2)&lt;設定!$I$29,設定!$G$10,設定!$G$9)))</f>
        <v/>
      </c>
    </row>
    <row r="154" customFormat="false" ht="21" hidden="false" customHeight="true" outlineLevel="0" collapsed="false">
      <c r="A154" s="91" t="str">
        <f aca="false">IF(名簿!$D154="","",名簿!$B154&amp;"")</f>
        <v/>
      </c>
      <c r="B154" s="91" t="str">
        <f aca="false">IF(名簿!$D154="","",名簿!$C154)</f>
        <v/>
      </c>
      <c r="C154" s="59" t="str">
        <f aca="false">IF(名簿!$D154="","",名簿!$D154&amp;IF(名簿!$F154="転出","（転出）",""))</f>
        <v/>
      </c>
      <c r="D154" s="149"/>
      <c r="E154" s="61" t="str">
        <f aca="false">IF(OR($C154="",名簿!$F154="転出"),"",IF($C$2="学級ごと",$A154,IF($C$2="前の単元と同じ",単元06!$E154&amp;"",$D154&amp;"")))</f>
        <v/>
      </c>
      <c r="F154" s="150"/>
      <c r="G154" s="150"/>
      <c r="H154" s="150"/>
      <c r="I154" s="151"/>
      <c r="J154" s="41" t="str">
        <f aca="false">IF($E154="","",$E154&amp;"|"&amp;COUNTIF($E$5:$E154,$E154))</f>
        <v/>
      </c>
      <c r="K154" s="40" t="str">
        <f aca="false">IF($I154="","",LEN($I154))</f>
        <v/>
      </c>
      <c r="L154" s="13"/>
      <c r="M154" s="13"/>
      <c r="N154" s="13"/>
      <c r="O154" s="13"/>
      <c r="P154" s="152"/>
      <c r="Q154" s="149"/>
      <c r="R154" s="152"/>
      <c r="S154" s="152"/>
      <c r="T154" s="62" t="str">
        <f aca="false">IF(OR($C154="",R154=""),"",IF(R154/IF($R$2="",100,$R$2)&gt;=設定!$I$28,設定!$G$8,IF(R154/IF($R$2="",100,$R$2)&lt;設定!$I$29,設定!$G$10,設定!$G$9)))</f>
        <v/>
      </c>
      <c r="U154" s="62" t="str">
        <f aca="false">IF(OR($C154="",S154=""),"",IF(S154/IF($S$2="",100,$S$2)&gt;=設定!$I$28,設定!$G$8,IF(S154/IF($S$2="",100,$S$2)&lt;設定!$I$29,設定!$G$10,設定!$G$9)))</f>
        <v/>
      </c>
    </row>
    <row r="155" customFormat="false" ht="21" hidden="false" customHeight="true" outlineLevel="0" collapsed="false">
      <c r="A155" s="91" t="str">
        <f aca="false">IF(名簿!$D155="","",名簿!$B155&amp;"")</f>
        <v/>
      </c>
      <c r="B155" s="91" t="str">
        <f aca="false">IF(名簿!$D155="","",名簿!$C155)</f>
        <v/>
      </c>
      <c r="C155" s="59" t="str">
        <f aca="false">IF(名簿!$D155="","",名簿!$D155&amp;IF(名簿!$F155="転出","（転出）",""))</f>
        <v/>
      </c>
      <c r="D155" s="149"/>
      <c r="E155" s="61" t="str">
        <f aca="false">IF(OR($C155="",名簿!$F155="転出"),"",IF($C$2="学級ごと",$A155,IF($C$2="前の単元と同じ",単元06!$E155&amp;"",$D155&amp;"")))</f>
        <v/>
      </c>
      <c r="F155" s="150"/>
      <c r="G155" s="150"/>
      <c r="H155" s="150"/>
      <c r="I155" s="151"/>
      <c r="J155" s="41" t="str">
        <f aca="false">IF($E155="","",$E155&amp;"|"&amp;COUNTIF($E$5:$E155,$E155))</f>
        <v/>
      </c>
      <c r="K155" s="40" t="str">
        <f aca="false">IF($I155="","",LEN($I155))</f>
        <v/>
      </c>
      <c r="L155" s="13"/>
      <c r="M155" s="13"/>
      <c r="N155" s="13"/>
      <c r="O155" s="13"/>
      <c r="P155" s="152"/>
      <c r="Q155" s="149"/>
      <c r="R155" s="152"/>
      <c r="S155" s="152"/>
      <c r="T155" s="62" t="str">
        <f aca="false">IF(OR($C155="",R155=""),"",IF(R155/IF($R$2="",100,$R$2)&gt;=設定!$I$28,設定!$G$8,IF(R155/IF($R$2="",100,$R$2)&lt;設定!$I$29,設定!$G$10,設定!$G$9)))</f>
        <v/>
      </c>
      <c r="U155" s="62" t="str">
        <f aca="false">IF(OR($C155="",S155=""),"",IF(S155/IF($S$2="",100,$S$2)&gt;=設定!$I$28,設定!$G$8,IF(S155/IF($S$2="",100,$S$2)&lt;設定!$I$29,設定!$G$10,設定!$G$9)))</f>
        <v/>
      </c>
    </row>
    <row r="156" customFormat="false" ht="21" hidden="false" customHeight="true" outlineLevel="0" collapsed="false">
      <c r="A156" s="91" t="str">
        <f aca="false">IF(名簿!$D156="","",名簿!$B156&amp;"")</f>
        <v/>
      </c>
      <c r="B156" s="91" t="str">
        <f aca="false">IF(名簿!$D156="","",名簿!$C156)</f>
        <v/>
      </c>
      <c r="C156" s="59" t="str">
        <f aca="false">IF(名簿!$D156="","",名簿!$D156&amp;IF(名簿!$F156="転出","（転出）",""))</f>
        <v/>
      </c>
      <c r="D156" s="149"/>
      <c r="E156" s="61" t="str">
        <f aca="false">IF(OR($C156="",名簿!$F156="転出"),"",IF($C$2="学級ごと",$A156,IF($C$2="前の単元と同じ",単元06!$E156&amp;"",$D156&amp;"")))</f>
        <v/>
      </c>
      <c r="F156" s="150"/>
      <c r="G156" s="150"/>
      <c r="H156" s="150"/>
      <c r="I156" s="151"/>
      <c r="J156" s="41" t="str">
        <f aca="false">IF($E156="","",$E156&amp;"|"&amp;COUNTIF($E$5:$E156,$E156))</f>
        <v/>
      </c>
      <c r="K156" s="40" t="str">
        <f aca="false">IF($I156="","",LEN($I156))</f>
        <v/>
      </c>
      <c r="L156" s="13"/>
      <c r="M156" s="13"/>
      <c r="N156" s="13"/>
      <c r="O156" s="13"/>
      <c r="P156" s="152"/>
      <c r="Q156" s="149"/>
      <c r="R156" s="152"/>
      <c r="S156" s="152"/>
      <c r="T156" s="62" t="str">
        <f aca="false">IF(OR($C156="",R156=""),"",IF(R156/IF($R$2="",100,$R$2)&gt;=設定!$I$28,設定!$G$8,IF(R156/IF($R$2="",100,$R$2)&lt;設定!$I$29,設定!$G$10,設定!$G$9)))</f>
        <v/>
      </c>
      <c r="U156" s="62" t="str">
        <f aca="false">IF(OR($C156="",S156=""),"",IF(S156/IF($S$2="",100,$S$2)&gt;=設定!$I$28,設定!$G$8,IF(S156/IF($S$2="",100,$S$2)&lt;設定!$I$29,設定!$G$10,設定!$G$9)))</f>
        <v/>
      </c>
    </row>
    <row r="157" customFormat="false" ht="21" hidden="false" customHeight="true" outlineLevel="0" collapsed="false">
      <c r="A157" s="91" t="str">
        <f aca="false">IF(名簿!$D157="","",名簿!$B157&amp;"")</f>
        <v/>
      </c>
      <c r="B157" s="91" t="str">
        <f aca="false">IF(名簿!$D157="","",名簿!$C157)</f>
        <v/>
      </c>
      <c r="C157" s="59" t="str">
        <f aca="false">IF(名簿!$D157="","",名簿!$D157&amp;IF(名簿!$F157="転出","（転出）",""))</f>
        <v/>
      </c>
      <c r="D157" s="149"/>
      <c r="E157" s="61" t="str">
        <f aca="false">IF(OR($C157="",名簿!$F157="転出"),"",IF($C$2="学級ごと",$A157,IF($C$2="前の単元と同じ",単元06!$E157&amp;"",$D157&amp;"")))</f>
        <v/>
      </c>
      <c r="F157" s="150"/>
      <c r="G157" s="150"/>
      <c r="H157" s="150"/>
      <c r="I157" s="151"/>
      <c r="J157" s="41" t="str">
        <f aca="false">IF($E157="","",$E157&amp;"|"&amp;COUNTIF($E$5:$E157,$E157))</f>
        <v/>
      </c>
      <c r="K157" s="40" t="str">
        <f aca="false">IF($I157="","",LEN($I157))</f>
        <v/>
      </c>
      <c r="L157" s="13"/>
      <c r="M157" s="13"/>
      <c r="N157" s="13"/>
      <c r="O157" s="13"/>
      <c r="P157" s="152"/>
      <c r="Q157" s="149"/>
      <c r="R157" s="152"/>
      <c r="S157" s="152"/>
      <c r="T157" s="62" t="str">
        <f aca="false">IF(OR($C157="",R157=""),"",IF(R157/IF($R$2="",100,$R$2)&gt;=設定!$I$28,設定!$G$8,IF(R157/IF($R$2="",100,$R$2)&lt;設定!$I$29,設定!$G$10,設定!$G$9)))</f>
        <v/>
      </c>
      <c r="U157" s="62" t="str">
        <f aca="false">IF(OR($C157="",S157=""),"",IF(S157/IF($S$2="",100,$S$2)&gt;=設定!$I$28,設定!$G$8,IF(S157/IF($S$2="",100,$S$2)&lt;設定!$I$29,設定!$G$10,設定!$G$9)))</f>
        <v/>
      </c>
    </row>
    <row r="158" customFormat="false" ht="21" hidden="false" customHeight="true" outlineLevel="0" collapsed="false">
      <c r="A158" s="91" t="str">
        <f aca="false">IF(名簿!$D158="","",名簿!$B158&amp;"")</f>
        <v/>
      </c>
      <c r="B158" s="91" t="str">
        <f aca="false">IF(名簿!$D158="","",名簿!$C158)</f>
        <v/>
      </c>
      <c r="C158" s="59" t="str">
        <f aca="false">IF(名簿!$D158="","",名簿!$D158&amp;IF(名簿!$F158="転出","（転出）",""))</f>
        <v/>
      </c>
      <c r="D158" s="149"/>
      <c r="E158" s="61" t="str">
        <f aca="false">IF(OR($C158="",名簿!$F158="転出"),"",IF($C$2="学級ごと",$A158,IF($C$2="前の単元と同じ",単元06!$E158&amp;"",$D158&amp;"")))</f>
        <v/>
      </c>
      <c r="F158" s="150"/>
      <c r="G158" s="150"/>
      <c r="H158" s="150"/>
      <c r="I158" s="151"/>
      <c r="J158" s="41" t="str">
        <f aca="false">IF($E158="","",$E158&amp;"|"&amp;COUNTIF($E$5:$E158,$E158))</f>
        <v/>
      </c>
      <c r="K158" s="40" t="str">
        <f aca="false">IF($I158="","",LEN($I158))</f>
        <v/>
      </c>
      <c r="L158" s="13"/>
      <c r="M158" s="13"/>
      <c r="N158" s="13"/>
      <c r="O158" s="13"/>
      <c r="P158" s="152"/>
      <c r="Q158" s="149"/>
      <c r="R158" s="152"/>
      <c r="S158" s="152"/>
      <c r="T158" s="62" t="str">
        <f aca="false">IF(OR($C158="",R158=""),"",IF(R158/IF($R$2="",100,$R$2)&gt;=設定!$I$28,設定!$G$8,IF(R158/IF($R$2="",100,$R$2)&lt;設定!$I$29,設定!$G$10,設定!$G$9)))</f>
        <v/>
      </c>
      <c r="U158" s="62" t="str">
        <f aca="false">IF(OR($C158="",S158=""),"",IF(S158/IF($S$2="",100,$S$2)&gt;=設定!$I$28,設定!$G$8,IF(S158/IF($S$2="",100,$S$2)&lt;設定!$I$29,設定!$G$10,設定!$G$9)))</f>
        <v/>
      </c>
    </row>
    <row r="159" customFormat="false" ht="21" hidden="false" customHeight="true" outlineLevel="0" collapsed="false">
      <c r="A159" s="91" t="str">
        <f aca="false">IF(名簿!$D159="","",名簿!$B159&amp;"")</f>
        <v/>
      </c>
      <c r="B159" s="91" t="str">
        <f aca="false">IF(名簿!$D159="","",名簿!$C159)</f>
        <v/>
      </c>
      <c r="C159" s="59" t="str">
        <f aca="false">IF(名簿!$D159="","",名簿!$D159&amp;IF(名簿!$F159="転出","（転出）",""))</f>
        <v/>
      </c>
      <c r="D159" s="149"/>
      <c r="E159" s="61" t="str">
        <f aca="false">IF(OR($C159="",名簿!$F159="転出"),"",IF($C$2="学級ごと",$A159,IF($C$2="前の単元と同じ",単元06!$E159&amp;"",$D159&amp;"")))</f>
        <v/>
      </c>
      <c r="F159" s="150"/>
      <c r="G159" s="150"/>
      <c r="H159" s="150"/>
      <c r="I159" s="151"/>
      <c r="J159" s="41" t="str">
        <f aca="false">IF($E159="","",$E159&amp;"|"&amp;COUNTIF($E$5:$E159,$E159))</f>
        <v/>
      </c>
      <c r="K159" s="40" t="str">
        <f aca="false">IF($I159="","",LEN($I159))</f>
        <v/>
      </c>
      <c r="L159" s="13"/>
      <c r="M159" s="13"/>
      <c r="N159" s="13"/>
      <c r="O159" s="13"/>
      <c r="P159" s="152"/>
      <c r="Q159" s="149"/>
      <c r="R159" s="152"/>
      <c r="S159" s="152"/>
      <c r="T159" s="62" t="str">
        <f aca="false">IF(OR($C159="",R159=""),"",IF(R159/IF($R$2="",100,$R$2)&gt;=設定!$I$28,設定!$G$8,IF(R159/IF($R$2="",100,$R$2)&lt;設定!$I$29,設定!$G$10,設定!$G$9)))</f>
        <v/>
      </c>
      <c r="U159" s="62" t="str">
        <f aca="false">IF(OR($C159="",S159=""),"",IF(S159/IF($S$2="",100,$S$2)&gt;=設定!$I$28,設定!$G$8,IF(S159/IF($S$2="",100,$S$2)&lt;設定!$I$29,設定!$G$10,設定!$G$9)))</f>
        <v/>
      </c>
    </row>
    <row r="160" customFormat="false" ht="21" hidden="false" customHeight="true" outlineLevel="0" collapsed="false">
      <c r="A160" s="91" t="str">
        <f aca="false">IF(名簿!$D160="","",名簿!$B160&amp;"")</f>
        <v/>
      </c>
      <c r="B160" s="91" t="str">
        <f aca="false">IF(名簿!$D160="","",名簿!$C160)</f>
        <v/>
      </c>
      <c r="C160" s="59" t="str">
        <f aca="false">IF(名簿!$D160="","",名簿!$D160&amp;IF(名簿!$F160="転出","（転出）",""))</f>
        <v/>
      </c>
      <c r="D160" s="149"/>
      <c r="E160" s="61" t="str">
        <f aca="false">IF(OR($C160="",名簿!$F160="転出"),"",IF($C$2="学級ごと",$A160,IF($C$2="前の単元と同じ",単元06!$E160&amp;"",$D160&amp;"")))</f>
        <v/>
      </c>
      <c r="F160" s="150"/>
      <c r="G160" s="150"/>
      <c r="H160" s="150"/>
      <c r="I160" s="151"/>
      <c r="J160" s="41" t="str">
        <f aca="false">IF($E160="","",$E160&amp;"|"&amp;COUNTIF($E$5:$E160,$E160))</f>
        <v/>
      </c>
      <c r="K160" s="40" t="str">
        <f aca="false">IF($I160="","",LEN($I160))</f>
        <v/>
      </c>
      <c r="L160" s="13"/>
      <c r="M160" s="13"/>
      <c r="N160" s="13"/>
      <c r="O160" s="13"/>
      <c r="P160" s="152"/>
      <c r="Q160" s="149"/>
      <c r="R160" s="152"/>
      <c r="S160" s="152"/>
      <c r="T160" s="62" t="str">
        <f aca="false">IF(OR($C160="",R160=""),"",IF(R160/IF($R$2="",100,$R$2)&gt;=設定!$I$28,設定!$G$8,IF(R160/IF($R$2="",100,$R$2)&lt;設定!$I$29,設定!$G$10,設定!$G$9)))</f>
        <v/>
      </c>
      <c r="U160" s="62" t="str">
        <f aca="false">IF(OR($C160="",S160=""),"",IF(S160/IF($S$2="",100,$S$2)&gt;=設定!$I$28,設定!$G$8,IF(S160/IF($S$2="",100,$S$2)&lt;設定!$I$29,設定!$G$10,設定!$G$9)))</f>
        <v/>
      </c>
    </row>
    <row r="161" customFormat="false" ht="21" hidden="false" customHeight="true" outlineLevel="0" collapsed="false">
      <c r="A161" s="91" t="str">
        <f aca="false">IF(名簿!$D161="","",名簿!$B161&amp;"")</f>
        <v/>
      </c>
      <c r="B161" s="91" t="str">
        <f aca="false">IF(名簿!$D161="","",名簿!$C161)</f>
        <v/>
      </c>
      <c r="C161" s="59" t="str">
        <f aca="false">IF(名簿!$D161="","",名簿!$D161&amp;IF(名簿!$F161="転出","（転出）",""))</f>
        <v/>
      </c>
      <c r="D161" s="149"/>
      <c r="E161" s="61" t="str">
        <f aca="false">IF(OR($C161="",名簿!$F161="転出"),"",IF($C$2="学級ごと",$A161,IF($C$2="前の単元と同じ",単元06!$E161&amp;"",$D161&amp;"")))</f>
        <v/>
      </c>
      <c r="F161" s="150"/>
      <c r="G161" s="150"/>
      <c r="H161" s="150"/>
      <c r="I161" s="151"/>
      <c r="J161" s="41" t="str">
        <f aca="false">IF($E161="","",$E161&amp;"|"&amp;COUNTIF($E$5:$E161,$E161))</f>
        <v/>
      </c>
      <c r="K161" s="40" t="str">
        <f aca="false">IF($I161="","",LEN($I161))</f>
        <v/>
      </c>
      <c r="L161" s="13"/>
      <c r="M161" s="13"/>
      <c r="N161" s="13"/>
      <c r="O161" s="13"/>
      <c r="P161" s="152"/>
      <c r="Q161" s="149"/>
      <c r="R161" s="152"/>
      <c r="S161" s="152"/>
      <c r="T161" s="62" t="str">
        <f aca="false">IF(OR($C161="",R161=""),"",IF(R161/IF($R$2="",100,$R$2)&gt;=設定!$I$28,設定!$G$8,IF(R161/IF($R$2="",100,$R$2)&lt;設定!$I$29,設定!$G$10,設定!$G$9)))</f>
        <v/>
      </c>
      <c r="U161" s="62" t="str">
        <f aca="false">IF(OR($C161="",S161=""),"",IF(S161/IF($S$2="",100,$S$2)&gt;=設定!$I$28,設定!$G$8,IF(S161/IF($S$2="",100,$S$2)&lt;設定!$I$29,設定!$G$10,設定!$G$9)))</f>
        <v/>
      </c>
    </row>
    <row r="162" customFormat="false" ht="21" hidden="false" customHeight="true" outlineLevel="0" collapsed="false">
      <c r="A162" s="91" t="str">
        <f aca="false">IF(名簿!$D162="","",名簿!$B162&amp;"")</f>
        <v/>
      </c>
      <c r="B162" s="91" t="str">
        <f aca="false">IF(名簿!$D162="","",名簿!$C162)</f>
        <v/>
      </c>
      <c r="C162" s="59" t="str">
        <f aca="false">IF(名簿!$D162="","",名簿!$D162&amp;IF(名簿!$F162="転出","（転出）",""))</f>
        <v/>
      </c>
      <c r="D162" s="149"/>
      <c r="E162" s="61" t="str">
        <f aca="false">IF(OR($C162="",名簿!$F162="転出"),"",IF($C$2="学級ごと",$A162,IF($C$2="前の単元と同じ",単元06!$E162&amp;"",$D162&amp;"")))</f>
        <v/>
      </c>
      <c r="F162" s="150"/>
      <c r="G162" s="150"/>
      <c r="H162" s="150"/>
      <c r="I162" s="151"/>
      <c r="J162" s="41" t="str">
        <f aca="false">IF($E162="","",$E162&amp;"|"&amp;COUNTIF($E$5:$E162,$E162))</f>
        <v/>
      </c>
      <c r="K162" s="40" t="str">
        <f aca="false">IF($I162="","",LEN($I162))</f>
        <v/>
      </c>
      <c r="L162" s="13"/>
      <c r="M162" s="13"/>
      <c r="N162" s="13"/>
      <c r="O162" s="13"/>
      <c r="P162" s="152"/>
      <c r="Q162" s="149"/>
      <c r="R162" s="152"/>
      <c r="S162" s="152"/>
      <c r="T162" s="62" t="str">
        <f aca="false">IF(OR($C162="",R162=""),"",IF(R162/IF($R$2="",100,$R$2)&gt;=設定!$I$28,設定!$G$8,IF(R162/IF($R$2="",100,$R$2)&lt;設定!$I$29,設定!$G$10,設定!$G$9)))</f>
        <v/>
      </c>
      <c r="U162" s="62" t="str">
        <f aca="false">IF(OR($C162="",S162=""),"",IF(S162/IF($S$2="",100,$S$2)&gt;=設定!$I$28,設定!$G$8,IF(S162/IF($S$2="",100,$S$2)&lt;設定!$I$29,設定!$G$10,設定!$G$9)))</f>
        <v/>
      </c>
    </row>
    <row r="163" customFormat="false" ht="21" hidden="false" customHeight="true" outlineLevel="0" collapsed="false">
      <c r="A163" s="91" t="str">
        <f aca="false">IF(名簿!$D163="","",名簿!$B163&amp;"")</f>
        <v/>
      </c>
      <c r="B163" s="91" t="str">
        <f aca="false">IF(名簿!$D163="","",名簿!$C163)</f>
        <v/>
      </c>
      <c r="C163" s="59" t="str">
        <f aca="false">IF(名簿!$D163="","",名簿!$D163&amp;IF(名簿!$F163="転出","（転出）",""))</f>
        <v/>
      </c>
      <c r="D163" s="149"/>
      <c r="E163" s="61" t="str">
        <f aca="false">IF(OR($C163="",名簿!$F163="転出"),"",IF($C$2="学級ごと",$A163,IF($C$2="前の単元と同じ",単元06!$E163&amp;"",$D163&amp;"")))</f>
        <v/>
      </c>
      <c r="F163" s="150"/>
      <c r="G163" s="150"/>
      <c r="H163" s="150"/>
      <c r="I163" s="151"/>
      <c r="J163" s="41" t="str">
        <f aca="false">IF($E163="","",$E163&amp;"|"&amp;COUNTIF($E$5:$E163,$E163))</f>
        <v/>
      </c>
      <c r="K163" s="40" t="str">
        <f aca="false">IF($I163="","",LEN($I163))</f>
        <v/>
      </c>
      <c r="L163" s="13"/>
      <c r="M163" s="13"/>
      <c r="N163" s="13"/>
      <c r="O163" s="13"/>
      <c r="P163" s="152"/>
      <c r="Q163" s="149"/>
      <c r="R163" s="152"/>
      <c r="S163" s="152"/>
      <c r="T163" s="62" t="str">
        <f aca="false">IF(OR($C163="",R163=""),"",IF(R163/IF($R$2="",100,$R$2)&gt;=設定!$I$28,設定!$G$8,IF(R163/IF($R$2="",100,$R$2)&lt;設定!$I$29,設定!$G$10,設定!$G$9)))</f>
        <v/>
      </c>
      <c r="U163" s="62" t="str">
        <f aca="false">IF(OR($C163="",S163=""),"",IF(S163/IF($S$2="",100,$S$2)&gt;=設定!$I$28,設定!$G$8,IF(S163/IF($S$2="",100,$S$2)&lt;設定!$I$29,設定!$G$10,設定!$G$9)))</f>
        <v/>
      </c>
    </row>
    <row r="164" customFormat="false" ht="21" hidden="false" customHeight="true" outlineLevel="0" collapsed="false">
      <c r="A164" s="91" t="str">
        <f aca="false">IF(名簿!$D164="","",名簿!$B164&amp;"")</f>
        <v/>
      </c>
      <c r="B164" s="91" t="str">
        <f aca="false">IF(名簿!$D164="","",名簿!$C164)</f>
        <v/>
      </c>
      <c r="C164" s="59" t="str">
        <f aca="false">IF(名簿!$D164="","",名簿!$D164&amp;IF(名簿!$F164="転出","（転出）",""))</f>
        <v/>
      </c>
      <c r="D164" s="149"/>
      <c r="E164" s="61" t="str">
        <f aca="false">IF(OR($C164="",名簿!$F164="転出"),"",IF($C$2="学級ごと",$A164,IF($C$2="前の単元と同じ",単元06!$E164&amp;"",$D164&amp;"")))</f>
        <v/>
      </c>
      <c r="F164" s="150"/>
      <c r="G164" s="150"/>
      <c r="H164" s="150"/>
      <c r="I164" s="151"/>
      <c r="J164" s="41" t="str">
        <f aca="false">IF($E164="","",$E164&amp;"|"&amp;COUNTIF($E$5:$E164,$E164))</f>
        <v/>
      </c>
      <c r="K164" s="40" t="str">
        <f aca="false">IF($I164="","",LEN($I164))</f>
        <v/>
      </c>
      <c r="L164" s="13"/>
      <c r="M164" s="13"/>
      <c r="N164" s="13"/>
      <c r="O164" s="13"/>
      <c r="P164" s="152"/>
      <c r="Q164" s="149"/>
      <c r="R164" s="152"/>
      <c r="S164" s="152"/>
      <c r="T164" s="62" t="str">
        <f aca="false">IF(OR($C164="",R164=""),"",IF(R164/IF($R$2="",100,$R$2)&gt;=設定!$I$28,設定!$G$8,IF(R164/IF($R$2="",100,$R$2)&lt;設定!$I$29,設定!$G$10,設定!$G$9)))</f>
        <v/>
      </c>
      <c r="U164" s="62" t="str">
        <f aca="false">IF(OR($C164="",S164=""),"",IF(S164/IF($S$2="",100,$S$2)&gt;=設定!$I$28,設定!$G$8,IF(S164/IF($S$2="",100,$S$2)&lt;設定!$I$29,設定!$G$10,設定!$G$9)))</f>
        <v/>
      </c>
    </row>
  </sheetData>
  <sheetProtection sheet="true" formatColumns="false" formatRows="false" autoFilter="false"/>
  <autoFilter ref="A4:I164"/>
  <mergeCells count="5">
    <mergeCell ref="A1:I1"/>
    <mergeCell ref="R1:U1"/>
    <mergeCell ref="A2:B2"/>
    <mergeCell ref="D2:I2"/>
    <mergeCell ref="T2:U2"/>
  </mergeCells>
  <conditionalFormatting sqref="A5:C164">
    <cfRule type="expression" priority="2" aboveAverage="0" equalAverage="0" bottom="0" percent="0" rank="0" text="" dxfId="37">
      <formula>RIGHT($C5,4)="（転出）"</formula>
    </cfRule>
    <cfRule type="expression" priority="3" aboveAverage="0" equalAverage="0" bottom="0" percent="0" rank="0" text="" dxfId="8">
      <formula>$C5&lt;&gt;""</formula>
    </cfRule>
  </conditionalFormatting>
  <conditionalFormatting sqref="D5:D164">
    <cfRule type="expression" priority="4" aboveAverage="0" equalAverage="0" bottom="0" percent="0" rank="0" text="" dxfId="37">
      <formula>RIGHT($C5,4)="（転出）"</formula>
    </cfRule>
    <cfRule type="expression" priority="5" aboveAverage="0" equalAverage="0" bottom="0" percent="0" rank="0" text="" dxfId="38">
      <formula>AND($C5&lt;&gt;"",$C$2&lt;&gt;"習熟度別")</formula>
    </cfRule>
    <cfRule type="expression" priority="6" aboveAverage="0" equalAverage="0" bottom="0" percent="0" rank="0" text="" dxfId="39">
      <formula>AND($C5&lt;&gt;"",$E5="")</formula>
    </cfRule>
    <cfRule type="expression" priority="7" aboveAverage="0" equalAverage="0" bottom="0" percent="0" rank="0" text="" dxfId="39">
      <formula>AND($C5&lt;&gt;"",$D5&lt;&gt;"",COUNTIF(コース一覧,$D5)=0)</formula>
    </cfRule>
    <cfRule type="expression" priority="8" aboveAverage="0" equalAverage="0" bottom="0" percent="0" rank="0" text="" dxfId="40">
      <formula>AND($C5&lt;&gt;"",$C$2="習熟度別",$Q5&lt;&gt;"",$E5&lt;&gt;"",$Q5&lt;&gt;$E5)</formula>
    </cfRule>
    <cfRule type="expression" priority="9" aboveAverage="0" equalAverage="0" bottom="0" percent="0" rank="0" text="" dxfId="41">
      <formula>$C5&lt;&gt;""</formula>
    </cfRule>
  </conditionalFormatting>
  <conditionalFormatting sqref="E5:E164">
    <cfRule type="expression" priority="10" aboveAverage="0" equalAverage="0" bottom="0" percent="0" rank="0" text="" dxfId="37">
      <formula>RIGHT($C5,4)="（転出）"</formula>
    </cfRule>
    <cfRule type="expression" priority="11" aboveAverage="0" equalAverage="0" bottom="0" percent="0" rank="0" text="" dxfId="42">
      <formula>AND($E5&lt;&gt;"",$E5=$L$2)</formula>
    </cfRule>
    <cfRule type="expression" priority="12" aboveAverage="0" equalAverage="0" bottom="0" percent="0" rank="0" text="" dxfId="43">
      <formula>AND($E5&lt;&gt;"",$E5=$L$3)</formula>
    </cfRule>
    <cfRule type="expression" priority="13" aboveAverage="0" equalAverage="0" bottom="0" percent="0" rank="0" text="" dxfId="44">
      <formula>AND($E5&lt;&gt;"",$E5=$L$4)</formula>
    </cfRule>
    <cfRule type="expression" priority="14" aboveAverage="0" equalAverage="0" bottom="0" percent="0" rank="0" text="" dxfId="45">
      <formula>AND($E5&lt;&gt;"",$E5=$L$5)</formula>
    </cfRule>
    <cfRule type="expression" priority="15" aboveAverage="0" equalAverage="0" bottom="0" percent="0" rank="0" text="" dxfId="46">
      <formula>AND($E5&lt;&gt;"",$E5=$L$6)</formula>
    </cfRule>
    <cfRule type="expression" priority="16" aboveAverage="0" equalAverage="0" bottom="0" percent="0" rank="0" text="" dxfId="8">
      <formula>$C5&lt;&gt;""</formula>
    </cfRule>
  </conditionalFormatting>
  <conditionalFormatting sqref="F5:H164">
    <cfRule type="expression" priority="17" aboveAverage="0" equalAverage="0" bottom="0" percent="0" rank="0" text="" dxfId="37">
      <formula>RIGHT($C5,4)="（転出）"</formula>
    </cfRule>
    <cfRule type="expression" priority="18" aboveAverage="0" equalAverage="0" bottom="0" percent="0" rank="0" text="" dxfId="12">
      <formula>AND(F5&lt;&gt;"",F5=設定!$G$10)</formula>
    </cfRule>
    <cfRule type="expression" priority="19" aboveAverage="0" equalAverage="0" bottom="0" percent="0" rank="0" text="" dxfId="47">
      <formula>AND(F5&lt;&gt;"",F5=設定!$G$8)</formula>
    </cfRule>
    <cfRule type="expression" priority="20" aboveAverage="0" equalAverage="0" bottom="0" percent="0" rank="0" text="" dxfId="41">
      <formula>AND($C5&lt;&gt;"",$E5&lt;&gt;"")</formula>
    </cfRule>
    <cfRule type="expression" priority="21" aboveAverage="0" equalAverage="0" bottom="0" percent="0" rank="0" text="" dxfId="8">
      <formula>$C5&lt;&gt;""</formula>
    </cfRule>
  </conditionalFormatting>
  <conditionalFormatting sqref="I5:I164">
    <cfRule type="expression" priority="22" aboveAverage="0" equalAverage="0" bottom="0" percent="0" rank="0" text="" dxfId="37">
      <formula>RIGHT($C5,4)="（転出）"</formula>
    </cfRule>
    <cfRule type="expression" priority="23" aboveAverage="0" equalAverage="0" bottom="0" percent="0" rank="0" text="" dxfId="48">
      <formula>AND($C5&lt;&gt;"",$I5&lt;&gt;"",ISNUMBER(設定!$I$22),LEN($I5)&gt;設定!$I$22)</formula>
    </cfRule>
    <cfRule type="expression" priority="24" aboveAverage="0" equalAverage="0" bottom="0" percent="0" rank="0" text="" dxfId="41">
      <formula>AND($C5&lt;&gt;"",$E5&lt;&gt;"")</formula>
    </cfRule>
    <cfRule type="expression" priority="25" aboveAverage="0" equalAverage="0" bottom="0" percent="0" rank="0" text="" dxfId="8">
      <formula>$C5&lt;&gt;""</formula>
    </cfRule>
  </conditionalFormatting>
  <conditionalFormatting sqref="K5:K164">
    <cfRule type="expression" priority="26" aboveAverage="0" equalAverage="0" bottom="0" percent="0" rank="0" text="" dxfId="49">
      <formula>AND($K5&lt;&gt;"",ISNUMBER(設定!$I$22),$K5&gt;設定!$I$22)</formula>
    </cfRule>
    <cfRule type="expression" priority="27" aboveAverage="0" equalAverage="0" bottom="0" percent="0" rank="0" text="" dxfId="50">
      <formula>$C5&lt;&gt;""</formula>
    </cfRule>
  </conditionalFormatting>
  <conditionalFormatting sqref="P5:P164">
    <cfRule type="expression" priority="28" aboveAverage="0" equalAverage="0" bottom="0" percent="0" rank="0" text="" dxfId="41">
      <formula>$C5&lt;&gt;""</formula>
    </cfRule>
  </conditionalFormatting>
  <conditionalFormatting sqref="R5:R164">
    <cfRule type="expression" priority="29" aboveAverage="0" equalAverage="0" bottom="0" percent="0" rank="0" text="" dxfId="49">
      <formula>AND($C5&lt;&gt;"",$R5&lt;&gt;"",$R$2&lt;&gt;"",$R5&gt;$R$2)</formula>
    </cfRule>
    <cfRule type="expression" priority="30" aboveAverage="0" equalAverage="0" bottom="0" percent="0" rank="0" text="" dxfId="41">
      <formula>$C5&lt;&gt;""</formula>
    </cfRule>
  </conditionalFormatting>
  <conditionalFormatting sqref="S5:S164">
    <cfRule type="expression" priority="31" aboveAverage="0" equalAverage="0" bottom="0" percent="0" rank="0" text="" dxfId="49">
      <formula>AND($C5&lt;&gt;"",$S5&lt;&gt;"",$S$2&lt;&gt;"",$S5&gt;$S$2)</formula>
    </cfRule>
    <cfRule type="expression" priority="32" aboveAverage="0" equalAverage="0" bottom="0" percent="0" rank="0" text="" dxfId="41">
      <formula>$C5&lt;&gt;""</formula>
    </cfRule>
  </conditionalFormatting>
  <conditionalFormatting sqref="T5:U164">
    <cfRule type="expression" priority="33" aboveAverage="0" equalAverage="0" bottom="0" percent="0" rank="0" text="" dxfId="12">
      <formula>AND(T5&lt;&gt;"",T5=設定!$G$10)</formula>
    </cfRule>
    <cfRule type="expression" priority="34" aboveAverage="0" equalAverage="0" bottom="0" percent="0" rank="0" text="" dxfId="51">
      <formula>AND(T5&lt;&gt;"",T5=設定!$G$8)</formula>
    </cfRule>
    <cfRule type="expression" priority="35" aboveAverage="0" equalAverage="0" bottom="0" percent="0" rank="0" text="" dxfId="19">
      <formula>$C5&lt;&gt;""</formula>
    </cfRule>
  </conditionalFormatting>
  <conditionalFormatting sqref="Q5:Q164">
    <cfRule type="expression" priority="36" aboveAverage="0" equalAverage="0" bottom="0" percent="0" rank="0" text="" dxfId="40">
      <formula>AND($C5&lt;&gt;"",$Q5&lt;&gt;"",$E5&lt;&gt;"",$Q5&lt;&gt;$E5)</formula>
    </cfRule>
    <cfRule type="expression" priority="37" aboveAverage="0" equalAverage="0" bottom="0" percent="0" rank="0" text="" dxfId="41">
      <formula>$C5&lt;&gt;""</formula>
    </cfRule>
  </conditionalFormatting>
  <conditionalFormatting sqref="L2:N2">
    <cfRule type="expression" priority="38" aboveAverage="0" equalAverage="0" bottom="0" percent="0" rank="0" text="" dxfId="14">
      <formula>$L2=""</formula>
    </cfRule>
  </conditionalFormatting>
  <conditionalFormatting sqref="L3:N3">
    <cfRule type="expression" priority="39" aboveAverage="0" equalAverage="0" bottom="0" percent="0" rank="0" text="" dxfId="14">
      <formula>$L3=""</formula>
    </cfRule>
  </conditionalFormatting>
  <conditionalFormatting sqref="L4:N4">
    <cfRule type="expression" priority="40" aboveAverage="0" equalAverage="0" bottom="0" percent="0" rank="0" text="" dxfId="14">
      <formula>$L4=""</formula>
    </cfRule>
  </conditionalFormatting>
  <conditionalFormatting sqref="L5:N5">
    <cfRule type="expression" priority="41" aboveAverage="0" equalAverage="0" bottom="0" percent="0" rank="0" text="" dxfId="14">
      <formula>$L5=""</formula>
    </cfRule>
  </conditionalFormatting>
  <conditionalFormatting sqref="L6:N6">
    <cfRule type="expression" priority="42" aboveAverage="0" equalAverage="0" bottom="0" percent="0" rank="0" text="" dxfId="14">
      <formula>$L6=""</formula>
    </cfRule>
  </conditionalFormatting>
  <conditionalFormatting sqref="N7">
    <cfRule type="expression" priority="43" aboveAverage="0" equalAverage="0" bottom="0" percent="0" rank="0" text="" dxfId="52">
      <formula>$N$7=0</formula>
    </cfRule>
  </conditionalFormatting>
  <dataValidations count="6">
    <dataValidation allowBlank="true" error="点数（数字）を入力してください。" errorStyle="stop" operator="between" showDropDown="false" showErrorMessage="true" showInputMessage="false" sqref="R2:S2 P5:P164 R5:S164" type="decimal">
      <formula1>0</formula1>
      <formula2>1000</formula2>
    </dataValidation>
    <dataValidation allowBlank="false" error="一覧から選んでください。" errorStyle="stop" errorTitle="入力エラー" operator="between" showDropDown="false" showErrorMessage="true" showInputMessage="false" sqref="C2" type="list">
      <formula1>"習熟度別,前の単元と同じ,学級ごと"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D5:D164" type="list">
      <formula1>コース一覧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Q5:Q164" type="list">
      <formula1>コース一覧</formula1>
      <formula2>0</formula2>
    </dataValidation>
    <dataValidation allowBlank="true" error="設定シートの評価記号（A/B/C）から選んでください。" errorStyle="stop" errorTitle="入力エラー" operator="between" showDropDown="false" showErrorMessage="true" showInputMessage="false" sqref="F5:H164" type="list">
      <formula1>評価記号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M2:M6" type="list">
      <formula1>担当者一覧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U16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5"/>
    <col collapsed="false" customWidth="true" hidden="false" outlineLevel="0" max="3" min="3" style="0" width="17"/>
    <col collapsed="false" customWidth="true" hidden="false" outlineLevel="0" max="4" min="4" style="0" width="11"/>
    <col collapsed="false" customWidth="true" hidden="false" outlineLevel="0" max="5" min="5" style="0" width="12"/>
    <col collapsed="false" customWidth="true" hidden="false" outlineLevel="0" max="8" min="6" style="0" width="6"/>
    <col collapsed="false" customWidth="true" hidden="false" outlineLevel="0" max="9" min="9" style="0" width="55"/>
    <col collapsed="false" customWidth="true" hidden="true" outlineLevel="0" max="10" min="10" style="0" width="3"/>
    <col collapsed="false" customWidth="true" hidden="false" outlineLevel="0" max="11" min="11" style="0" width="5"/>
    <col collapsed="false" customWidth="true" hidden="false" outlineLevel="0" max="12" min="12" style="0" width="14"/>
    <col collapsed="false" customWidth="true" hidden="false" outlineLevel="0" max="13" min="13" style="0" width="13"/>
    <col collapsed="false" customWidth="true" hidden="false" outlineLevel="0" max="14" min="14" style="0" width="7"/>
    <col collapsed="false" customWidth="true" hidden="false" outlineLevel="0" max="15" min="15" style="0" width="2"/>
    <col collapsed="false" customWidth="true" hidden="false" outlineLevel="0" max="16" min="16" style="0" width="9"/>
    <col collapsed="false" customWidth="true" hidden="false" outlineLevel="0" max="17" min="17" style="0" width="12"/>
    <col collapsed="false" customWidth="true" hidden="false" outlineLevel="0" max="19" min="18" style="0" width="7"/>
    <col collapsed="false" customWidth="true" hidden="false" outlineLevel="0" max="21" min="20" style="0" width="6"/>
  </cols>
  <sheetData>
    <row r="1" customFormat="false" ht="33.75" hidden="false" customHeight="true" outlineLevel="0" collapsed="false">
      <c r="A1" s="14" t="str">
        <f aca="false">"単元8　"&amp;IF(設定!$D$24="","（設定シートで単元名を入力）",設定!$D$24)&amp;IF(設定!$C$24="","","　／　"&amp;設定!$C$24&amp;IF(ISNUMBER(設定!$C$24),"学期",""))</f>
        <v>単元8　（設定シートで単元名を入力）</v>
      </c>
      <c r="B1" s="14"/>
      <c r="C1" s="14"/>
      <c r="D1" s="14"/>
      <c r="E1" s="14"/>
      <c r="F1" s="14"/>
      <c r="G1" s="14"/>
      <c r="H1" s="14"/>
      <c r="I1" s="14"/>
      <c r="J1" s="13"/>
      <c r="K1" s="13"/>
      <c r="L1" s="16" t="s">
        <v>153</v>
      </c>
      <c r="M1" s="16" t="s">
        <v>68</v>
      </c>
      <c r="N1" s="16" t="s">
        <v>128</v>
      </c>
      <c r="O1" s="13"/>
      <c r="P1" s="13"/>
      <c r="Q1" s="13"/>
      <c r="R1" s="131" t="s">
        <v>154</v>
      </c>
      <c r="S1" s="131"/>
      <c r="T1" s="131"/>
      <c r="U1" s="131"/>
    </row>
    <row r="2" customFormat="false" ht="25.5" hidden="false" customHeight="true" outlineLevel="0" collapsed="false">
      <c r="A2" s="16" t="s">
        <v>131</v>
      </c>
      <c r="B2" s="16"/>
      <c r="C2" s="138" t="s">
        <v>164</v>
      </c>
      <c r="D2" s="139" t="str">
        <f aca="false">IF($C$2="習熟度別","← D列「コース」で一人ずつ選びます",IF($C$2="前の単元と同じ","← 前の単元のコースをそのまま使います","← 在籍学級のまま分かれます"))</f>
        <v>← D列「コース」で一人ずつ選びます</v>
      </c>
      <c r="E2" s="139"/>
      <c r="F2" s="139"/>
      <c r="G2" s="139"/>
      <c r="H2" s="139"/>
      <c r="I2" s="139"/>
      <c r="J2" s="13"/>
      <c r="K2" s="13"/>
      <c r="L2" s="119" t="str">
        <f aca="false">IF($C$2="前の単元と同じ",単元07!$L2&amp;"",IF($C$2="学級ごと",IF(設定!$B$8="","",設定!$B$8&amp;""),IF(設定!$D$8="","",設定!$D$8&amp;"")))</f>
        <v>深める</v>
      </c>
      <c r="M2" s="39"/>
      <c r="N2" s="140" t="n">
        <f aca="false">IF($L2="","",COUNTIF($E$5:$E$164,$L2))</f>
        <v>0</v>
      </c>
      <c r="O2" s="13"/>
      <c r="P2" s="13"/>
      <c r="Q2" s="13"/>
      <c r="R2" s="141" t="n">
        <v>100</v>
      </c>
      <c r="S2" s="141" t="n">
        <v>100</v>
      </c>
      <c r="T2" s="142" t="s">
        <v>165</v>
      </c>
      <c r="U2" s="142"/>
    </row>
    <row r="3" customFormat="false" ht="17.15" hidden="false" customHeight="false" outlineLevel="0" collapsed="false">
      <c r="A3" s="4" t="s">
        <v>166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23" t="str">
        <f aca="false">IF($C$2="前の単元と同じ",単元07!$L3&amp;"",IF($C$2="学級ごと",IF(設定!$B$9="","",設定!$B$9&amp;""),IF(設定!$D$9="","",設定!$D$9&amp;"")))</f>
        <v>広げるA</v>
      </c>
      <c r="M3" s="39"/>
      <c r="N3" s="140" t="n">
        <f aca="false">IF($L3="","",COUNTIF($E$5:$E$164,$L3))</f>
        <v>0</v>
      </c>
      <c r="O3" s="13"/>
      <c r="P3" s="143" t="s">
        <v>167</v>
      </c>
      <c r="Q3" s="13"/>
      <c r="R3" s="144" t="s">
        <v>168</v>
      </c>
      <c r="S3" s="13"/>
      <c r="T3" s="13"/>
      <c r="U3" s="13"/>
    </row>
    <row r="4" customFormat="false" ht="30" hidden="false" customHeight="true" outlineLevel="0" collapsed="false">
      <c r="A4" s="16" t="s">
        <v>121</v>
      </c>
      <c r="B4" s="16" t="s">
        <v>122</v>
      </c>
      <c r="C4" s="16" t="s">
        <v>123</v>
      </c>
      <c r="D4" s="145" t="s">
        <v>153</v>
      </c>
      <c r="E4" s="16" t="s">
        <v>169</v>
      </c>
      <c r="F4" s="146" t="str">
        <f aca="false">設定!$I$8</f>
        <v>知</v>
      </c>
      <c r="G4" s="146" t="str">
        <f aca="false">設定!$I$9</f>
        <v>思</v>
      </c>
      <c r="H4" s="146" t="str">
        <f aca="false">設定!$I$10</f>
        <v>態</v>
      </c>
      <c r="I4" s="146" t="s">
        <v>107</v>
      </c>
      <c r="J4" s="16"/>
      <c r="K4" s="110" t="s">
        <v>170</v>
      </c>
      <c r="L4" s="124" t="str">
        <f aca="false">IF($C$2="前の単元と同じ",単元07!$L4&amp;"",IF($C$2="学級ごと",IF(設定!$B$10="","",設定!$B$10&amp;""),IF(設定!$D$10="","",設定!$D$10&amp;"")))</f>
        <v>広げるB</v>
      </c>
      <c r="M4" s="39"/>
      <c r="N4" s="140" t="n">
        <f aca="false">IF($L4="","",COUNTIF($E$5:$E$164,$L4))</f>
        <v>0</v>
      </c>
      <c r="O4" s="13"/>
      <c r="P4" s="147" t="s">
        <v>171</v>
      </c>
      <c r="Q4" s="147" t="s">
        <v>172</v>
      </c>
      <c r="R4" s="131" t="str">
        <f aca="false">設定!$I$8&amp;"得点"</f>
        <v>知得点</v>
      </c>
      <c r="S4" s="131" t="str">
        <f aca="false">設定!$I$9&amp;"得点"</f>
        <v>思得点</v>
      </c>
      <c r="T4" s="148" t="str">
        <f aca="false">設定!$I$8&amp;"目安"</f>
        <v>知目安</v>
      </c>
      <c r="U4" s="148" t="str">
        <f aca="false">設定!$I$9&amp;"目安"</f>
        <v>思目安</v>
      </c>
    </row>
    <row r="5" customFormat="false" ht="21" hidden="false" customHeight="true" outlineLevel="0" collapsed="false">
      <c r="A5" s="91" t="str">
        <f aca="false">IF(名簿!$D5="","",名簿!$B5&amp;"")</f>
        <v/>
      </c>
      <c r="B5" s="91" t="str">
        <f aca="false">IF(名簿!$D5="","",名簿!$C5)</f>
        <v/>
      </c>
      <c r="C5" s="59" t="str">
        <f aca="false">IF(名簿!$D5="","",名簿!$D5&amp;IF(名簿!$F5="転出","（転出）",""))</f>
        <v/>
      </c>
      <c r="D5" s="149"/>
      <c r="E5" s="61" t="str">
        <f aca="false">IF(OR($C5="",名簿!$F5="転出"),"",IF($C$2="学級ごと",$A5,IF($C$2="前の単元と同じ",単元07!$E5&amp;"",$D5&amp;"")))</f>
        <v/>
      </c>
      <c r="F5" s="150"/>
      <c r="G5" s="150"/>
      <c r="H5" s="150"/>
      <c r="I5" s="151"/>
      <c r="J5" s="41" t="str">
        <f aca="false">IF($E5="","",$E5&amp;"|"&amp;COUNTIF($E$5:$E5,$E5))</f>
        <v/>
      </c>
      <c r="K5" s="40" t="str">
        <f aca="false">IF($I5="","",LEN($I5))</f>
        <v/>
      </c>
      <c r="L5" s="125" t="str">
        <f aca="false">IF($C$2="前の単元と同じ",単元07!$L5&amp;"",IF($C$2="学級ごと",IF(設定!$B$11="","",設定!$B$11&amp;""),IF(設定!$D$11="","",設定!$D$11&amp;"")))</f>
        <v>かためる</v>
      </c>
      <c r="M5" s="39"/>
      <c r="N5" s="140" t="n">
        <f aca="false">IF($L5="","",COUNTIF($E$5:$E$164,$L5))</f>
        <v>0</v>
      </c>
      <c r="O5" s="13"/>
      <c r="P5" s="152"/>
      <c r="Q5" s="149"/>
      <c r="R5" s="152"/>
      <c r="S5" s="152"/>
      <c r="T5" s="62" t="str">
        <f aca="false">IF(OR($C5="",R5=""),"",IF(R5/IF($R$2="",100,$R$2)&gt;=設定!$I$28,設定!$G$8,IF(R5/IF($R$2="",100,$R$2)&lt;設定!$I$29,設定!$G$10,設定!$G$9)))</f>
        <v/>
      </c>
      <c r="U5" s="62" t="str">
        <f aca="false">IF(OR($C5="",S5=""),"",IF(S5/IF($S$2="",100,$S$2)&gt;=設定!$I$28,設定!$G$8,IF(S5/IF($S$2="",100,$S$2)&lt;設定!$I$29,設定!$G$10,設定!$G$9)))</f>
        <v/>
      </c>
    </row>
    <row r="6" customFormat="false" ht="21" hidden="false" customHeight="true" outlineLevel="0" collapsed="false">
      <c r="A6" s="91" t="str">
        <f aca="false">IF(名簿!$D6="","",名簿!$B6&amp;"")</f>
        <v/>
      </c>
      <c r="B6" s="91" t="str">
        <f aca="false">IF(名簿!$D6="","",名簿!$C6)</f>
        <v/>
      </c>
      <c r="C6" s="59" t="str">
        <f aca="false">IF(名簿!$D6="","",名簿!$D6&amp;IF(名簿!$F6="転出","（転出）",""))</f>
        <v/>
      </c>
      <c r="D6" s="149"/>
      <c r="E6" s="61" t="str">
        <f aca="false">IF(OR($C6="",名簿!$F6="転出"),"",IF($C$2="学級ごと",$A6,IF($C$2="前の単元と同じ",単元07!$E6&amp;"",$D6&amp;"")))</f>
        <v/>
      </c>
      <c r="F6" s="150"/>
      <c r="G6" s="150"/>
      <c r="H6" s="150"/>
      <c r="I6" s="151"/>
      <c r="J6" s="41" t="str">
        <f aca="false">IF($E6="","",$E6&amp;"|"&amp;COUNTIF($E$5:$E6,$E6))</f>
        <v/>
      </c>
      <c r="K6" s="40" t="str">
        <f aca="false">IF($I6="","",LEN($I6))</f>
        <v/>
      </c>
      <c r="L6" s="126" t="str">
        <f aca="false">IF($C$2="前の単元と同じ",単元07!$L6&amp;"",IF($C$2="学級ごと",IF(設定!$B$12="","",設定!$B$12&amp;""),IF(設定!$D$12="","",設定!$D$12&amp;"")))</f>
        <v/>
      </c>
      <c r="M6" s="39"/>
      <c r="N6" s="153" t="str">
        <f aca="false">IF($L6="","",COUNTIF($E$5:$E$164,$L6))</f>
        <v/>
      </c>
      <c r="O6" s="13"/>
      <c r="P6" s="152"/>
      <c r="Q6" s="149"/>
      <c r="R6" s="152"/>
      <c r="S6" s="152"/>
      <c r="T6" s="62" t="str">
        <f aca="false">IF(OR($C6="",R6=""),"",IF(R6/IF($R$2="",100,$R$2)&gt;=設定!$I$28,設定!$G$8,IF(R6/IF($R$2="",100,$R$2)&lt;設定!$I$29,設定!$G$10,設定!$G$9)))</f>
        <v/>
      </c>
      <c r="U6" s="62" t="str">
        <f aca="false">IF(OR($C6="",S6=""),"",IF(S6/IF($S$2="",100,$S$2)&gt;=設定!$I$28,設定!$G$8,IF(S6/IF($S$2="",100,$S$2)&lt;設定!$I$29,設定!$G$10,設定!$G$9)))</f>
        <v/>
      </c>
    </row>
    <row r="7" customFormat="false" ht="21" hidden="false" customHeight="true" outlineLevel="0" collapsed="false">
      <c r="A7" s="91" t="str">
        <f aca="false">IF(名簿!$D7="","",名簿!$B7&amp;"")</f>
        <v/>
      </c>
      <c r="B7" s="91" t="str">
        <f aca="false">IF(名簿!$D7="","",名簿!$C7)</f>
        <v/>
      </c>
      <c r="C7" s="59" t="str">
        <f aca="false">IF(名簿!$D7="","",名簿!$D7&amp;IF(名簿!$F7="転出","（転出）",""))</f>
        <v/>
      </c>
      <c r="D7" s="149"/>
      <c r="E7" s="61" t="str">
        <f aca="false">IF(OR($C7="",名簿!$F7="転出"),"",IF($C$2="学級ごと",$A7,IF($C$2="前の単元と同じ",単元07!$E7&amp;"",$D7&amp;"")))</f>
        <v/>
      </c>
      <c r="F7" s="150"/>
      <c r="G7" s="150"/>
      <c r="H7" s="150"/>
      <c r="I7" s="151"/>
      <c r="J7" s="41" t="str">
        <f aca="false">IF($E7="","",$E7&amp;"|"&amp;COUNTIF($E$5:$E7,$E7))</f>
        <v/>
      </c>
      <c r="K7" s="40" t="str">
        <f aca="false">IF($I7="","",LEN($I7))</f>
        <v/>
      </c>
      <c r="L7" s="154" t="s">
        <v>133</v>
      </c>
      <c r="M7" s="155" t="s">
        <v>173</v>
      </c>
      <c r="N7" s="156" t="n">
        <f aca="false">SUMPRODUCT(($C$5:$C$164&lt;&gt;"")*(名簿!$F$5:$F$164&lt;&gt;"転出")*($E$5:$E$164=""))</f>
        <v>0</v>
      </c>
      <c r="O7" s="13"/>
      <c r="P7" s="152"/>
      <c r="Q7" s="149"/>
      <c r="R7" s="152"/>
      <c r="S7" s="152"/>
      <c r="T7" s="62" t="str">
        <f aca="false">IF(OR($C7="",R7=""),"",IF(R7/IF($R$2="",100,$R$2)&gt;=設定!$I$28,設定!$G$8,IF(R7/IF($R$2="",100,$R$2)&lt;設定!$I$29,設定!$G$10,設定!$G$9)))</f>
        <v/>
      </c>
      <c r="U7" s="62" t="str">
        <f aca="false">IF(OR($C7="",S7=""),"",IF(S7/IF($S$2="",100,$S$2)&gt;=設定!$I$28,設定!$G$8,IF(S7/IF($S$2="",100,$S$2)&lt;設定!$I$29,設定!$G$10,設定!$G$9)))</f>
        <v/>
      </c>
    </row>
    <row r="8" customFormat="false" ht="21" hidden="false" customHeight="true" outlineLevel="0" collapsed="false">
      <c r="A8" s="91" t="str">
        <f aca="false">IF(名簿!$D8="","",名簿!$B8&amp;"")</f>
        <v/>
      </c>
      <c r="B8" s="91" t="str">
        <f aca="false">IF(名簿!$D8="","",名簿!$C8)</f>
        <v/>
      </c>
      <c r="C8" s="59" t="str">
        <f aca="false">IF(名簿!$D8="","",名簿!$D8&amp;IF(名簿!$F8="転出","（転出）",""))</f>
        <v/>
      </c>
      <c r="D8" s="149"/>
      <c r="E8" s="61" t="str">
        <f aca="false">IF(OR($C8="",名簿!$F8="転出"),"",IF($C$2="学級ごと",$A8,IF($C$2="前の単元と同じ",単元07!$E8&amp;"",$D8&amp;"")))</f>
        <v/>
      </c>
      <c r="F8" s="150"/>
      <c r="G8" s="150"/>
      <c r="H8" s="150"/>
      <c r="I8" s="151"/>
      <c r="J8" s="41" t="str">
        <f aca="false">IF($E8="","",$E8&amp;"|"&amp;COUNTIF($E$5:$E8,$E8))</f>
        <v/>
      </c>
      <c r="K8" s="40" t="str">
        <f aca="false">IF($I8="","",LEN($I8))</f>
        <v/>
      </c>
      <c r="L8" s="157" t="s">
        <v>174</v>
      </c>
      <c r="M8" s="158" t="s">
        <v>175</v>
      </c>
      <c r="N8" s="159" t="n">
        <f aca="false">SUMPRODUCT(($E$5:$E$164&lt;&gt;"")*(($F$5:$F$164="")+($G$5:$G$164="")+($H$5:$H$164="")&gt;0))</f>
        <v>0</v>
      </c>
      <c r="O8" s="13"/>
      <c r="P8" s="152"/>
      <c r="Q8" s="149"/>
      <c r="R8" s="152"/>
      <c r="S8" s="152"/>
      <c r="T8" s="62" t="str">
        <f aca="false">IF(OR($C8="",R8=""),"",IF(R8/IF($R$2="",100,$R$2)&gt;=設定!$I$28,設定!$G$8,IF(R8/IF($R$2="",100,$R$2)&lt;設定!$I$29,設定!$G$10,設定!$G$9)))</f>
        <v/>
      </c>
      <c r="U8" s="62" t="str">
        <f aca="false">IF(OR($C8="",S8=""),"",IF(S8/IF($S$2="",100,$S$2)&gt;=設定!$I$28,設定!$G$8,IF(S8/IF($S$2="",100,$S$2)&lt;設定!$I$29,設定!$G$10,設定!$G$9)))</f>
        <v/>
      </c>
    </row>
    <row r="9" customFormat="false" ht="21" hidden="false" customHeight="true" outlineLevel="0" collapsed="false">
      <c r="A9" s="91" t="str">
        <f aca="false">IF(名簿!$D9="","",名簿!$B9&amp;"")</f>
        <v/>
      </c>
      <c r="B9" s="91" t="str">
        <f aca="false">IF(名簿!$D9="","",名簿!$C9)</f>
        <v/>
      </c>
      <c r="C9" s="59" t="str">
        <f aca="false">IF(名簿!$D9="","",名簿!$D9&amp;IF(名簿!$F9="転出","（転出）",""))</f>
        <v/>
      </c>
      <c r="D9" s="149"/>
      <c r="E9" s="61" t="str">
        <f aca="false">IF(OR($C9="",名簿!$F9="転出"),"",IF($C$2="学級ごと",$A9,IF($C$2="前の単元と同じ",単元07!$E9&amp;"",$D9&amp;"")))</f>
        <v/>
      </c>
      <c r="F9" s="150"/>
      <c r="G9" s="150"/>
      <c r="H9" s="150"/>
      <c r="I9" s="151"/>
      <c r="J9" s="41" t="str">
        <f aca="false">IF($E9="","",$E9&amp;"|"&amp;COUNTIF($E$5:$E9,$E9))</f>
        <v/>
      </c>
      <c r="K9" s="40" t="str">
        <f aca="false">IF($I9="","",LEN($I9))</f>
        <v/>
      </c>
      <c r="L9" s="13"/>
      <c r="M9" s="13"/>
      <c r="N9" s="13"/>
      <c r="O9" s="13"/>
      <c r="P9" s="152"/>
      <c r="Q9" s="149"/>
      <c r="R9" s="152"/>
      <c r="S9" s="152"/>
      <c r="T9" s="62" t="str">
        <f aca="false">IF(OR($C9="",R9=""),"",IF(R9/IF($R$2="",100,$R$2)&gt;=設定!$I$28,設定!$G$8,IF(R9/IF($R$2="",100,$R$2)&lt;設定!$I$29,設定!$G$10,設定!$G$9)))</f>
        <v/>
      </c>
      <c r="U9" s="62" t="str">
        <f aca="false">IF(OR($C9="",S9=""),"",IF(S9/IF($S$2="",100,$S$2)&gt;=設定!$I$28,設定!$G$8,IF(S9/IF($S$2="",100,$S$2)&lt;設定!$I$29,設定!$G$10,設定!$G$9)))</f>
        <v/>
      </c>
    </row>
    <row r="10" customFormat="false" ht="21" hidden="false" customHeight="true" outlineLevel="0" collapsed="false">
      <c r="A10" s="91" t="str">
        <f aca="false">IF(名簿!$D10="","",名簿!$B10&amp;"")</f>
        <v/>
      </c>
      <c r="B10" s="91" t="str">
        <f aca="false">IF(名簿!$D10="","",名簿!$C10)</f>
        <v/>
      </c>
      <c r="C10" s="59" t="str">
        <f aca="false">IF(名簿!$D10="","",名簿!$D10&amp;IF(名簿!$F10="転出","（転出）",""))</f>
        <v/>
      </c>
      <c r="D10" s="149"/>
      <c r="E10" s="61" t="str">
        <f aca="false">IF(OR($C10="",名簿!$F10="転出"),"",IF($C$2="学級ごと",$A10,IF($C$2="前の単元と同じ",単元07!$E10&amp;"",$D10&amp;"")))</f>
        <v/>
      </c>
      <c r="F10" s="150"/>
      <c r="G10" s="150"/>
      <c r="H10" s="150"/>
      <c r="I10" s="151"/>
      <c r="J10" s="41" t="str">
        <f aca="false">IF($E10="","",$E10&amp;"|"&amp;COUNTIF($E$5:$E10,$E10))</f>
        <v/>
      </c>
      <c r="K10" s="40" t="str">
        <f aca="false">IF($I10="","",LEN($I10))</f>
        <v/>
      </c>
      <c r="L10" s="13"/>
      <c r="M10" s="13"/>
      <c r="N10" s="13"/>
      <c r="O10" s="13"/>
      <c r="P10" s="152"/>
      <c r="Q10" s="149"/>
      <c r="R10" s="152"/>
      <c r="S10" s="152"/>
      <c r="T10" s="62" t="str">
        <f aca="false">IF(OR($C10="",R10=""),"",IF(R10/IF($R$2="",100,$R$2)&gt;=設定!$I$28,設定!$G$8,IF(R10/IF($R$2="",100,$R$2)&lt;設定!$I$29,設定!$G$10,設定!$G$9)))</f>
        <v/>
      </c>
      <c r="U10" s="62" t="str">
        <f aca="false">IF(OR($C10="",S10=""),"",IF(S10/IF($S$2="",100,$S$2)&gt;=設定!$I$28,設定!$G$8,IF(S10/IF($S$2="",100,$S$2)&lt;設定!$I$29,設定!$G$10,設定!$G$9)))</f>
        <v/>
      </c>
    </row>
    <row r="11" customFormat="false" ht="21" hidden="false" customHeight="true" outlineLevel="0" collapsed="false">
      <c r="A11" s="91" t="str">
        <f aca="false">IF(名簿!$D11="","",名簿!$B11&amp;"")</f>
        <v/>
      </c>
      <c r="B11" s="91" t="str">
        <f aca="false">IF(名簿!$D11="","",名簿!$C11)</f>
        <v/>
      </c>
      <c r="C11" s="59" t="str">
        <f aca="false">IF(名簿!$D11="","",名簿!$D11&amp;IF(名簿!$F11="転出","（転出）",""))</f>
        <v/>
      </c>
      <c r="D11" s="149"/>
      <c r="E11" s="61" t="str">
        <f aca="false">IF(OR($C11="",名簿!$F11="転出"),"",IF($C$2="学級ごと",$A11,IF($C$2="前の単元と同じ",単元07!$E11&amp;"",$D11&amp;"")))</f>
        <v/>
      </c>
      <c r="F11" s="150"/>
      <c r="G11" s="150"/>
      <c r="H11" s="150"/>
      <c r="I11" s="151"/>
      <c r="J11" s="41" t="str">
        <f aca="false">IF($E11="","",$E11&amp;"|"&amp;COUNTIF($E$5:$E11,$E11))</f>
        <v/>
      </c>
      <c r="K11" s="40" t="str">
        <f aca="false">IF($I11="","",LEN($I11))</f>
        <v/>
      </c>
      <c r="L11" s="13"/>
      <c r="M11" s="13"/>
      <c r="N11" s="13"/>
      <c r="O11" s="13"/>
      <c r="P11" s="152"/>
      <c r="Q11" s="149"/>
      <c r="R11" s="152"/>
      <c r="S11" s="152"/>
      <c r="T11" s="62" t="str">
        <f aca="false">IF(OR($C11="",R11=""),"",IF(R11/IF($R$2="",100,$R$2)&gt;=設定!$I$28,設定!$G$8,IF(R11/IF($R$2="",100,$R$2)&lt;設定!$I$29,設定!$G$10,設定!$G$9)))</f>
        <v/>
      </c>
      <c r="U11" s="62" t="str">
        <f aca="false">IF(OR($C11="",S11=""),"",IF(S11/IF($S$2="",100,$S$2)&gt;=設定!$I$28,設定!$G$8,IF(S11/IF($S$2="",100,$S$2)&lt;設定!$I$29,設定!$G$10,設定!$G$9)))</f>
        <v/>
      </c>
    </row>
    <row r="12" customFormat="false" ht="21" hidden="false" customHeight="true" outlineLevel="0" collapsed="false">
      <c r="A12" s="91" t="str">
        <f aca="false">IF(名簿!$D12="","",名簿!$B12&amp;"")</f>
        <v/>
      </c>
      <c r="B12" s="91" t="str">
        <f aca="false">IF(名簿!$D12="","",名簿!$C12)</f>
        <v/>
      </c>
      <c r="C12" s="59" t="str">
        <f aca="false">IF(名簿!$D12="","",名簿!$D12&amp;IF(名簿!$F12="転出","（転出）",""))</f>
        <v/>
      </c>
      <c r="D12" s="149"/>
      <c r="E12" s="61" t="str">
        <f aca="false">IF(OR($C12="",名簿!$F12="転出"),"",IF($C$2="学級ごと",$A12,IF($C$2="前の単元と同じ",単元07!$E12&amp;"",$D12&amp;"")))</f>
        <v/>
      </c>
      <c r="F12" s="150"/>
      <c r="G12" s="150"/>
      <c r="H12" s="150"/>
      <c r="I12" s="151"/>
      <c r="J12" s="41" t="str">
        <f aca="false">IF($E12="","",$E12&amp;"|"&amp;COUNTIF($E$5:$E12,$E12))</f>
        <v/>
      </c>
      <c r="K12" s="40" t="str">
        <f aca="false">IF($I12="","",LEN($I12))</f>
        <v/>
      </c>
      <c r="L12" s="13"/>
      <c r="M12" s="13"/>
      <c r="N12" s="13"/>
      <c r="O12" s="13"/>
      <c r="P12" s="152"/>
      <c r="Q12" s="149"/>
      <c r="R12" s="152"/>
      <c r="S12" s="152"/>
      <c r="T12" s="62" t="str">
        <f aca="false">IF(OR($C12="",R12=""),"",IF(R12/IF($R$2="",100,$R$2)&gt;=設定!$I$28,設定!$G$8,IF(R12/IF($R$2="",100,$R$2)&lt;設定!$I$29,設定!$G$10,設定!$G$9)))</f>
        <v/>
      </c>
      <c r="U12" s="62" t="str">
        <f aca="false">IF(OR($C12="",S12=""),"",IF(S12/IF($S$2="",100,$S$2)&gt;=設定!$I$28,設定!$G$8,IF(S12/IF($S$2="",100,$S$2)&lt;設定!$I$29,設定!$G$10,設定!$G$9)))</f>
        <v/>
      </c>
    </row>
    <row r="13" customFormat="false" ht="21" hidden="false" customHeight="true" outlineLevel="0" collapsed="false">
      <c r="A13" s="91" t="str">
        <f aca="false">IF(名簿!$D13="","",名簿!$B13&amp;"")</f>
        <v/>
      </c>
      <c r="B13" s="91" t="str">
        <f aca="false">IF(名簿!$D13="","",名簿!$C13)</f>
        <v/>
      </c>
      <c r="C13" s="59" t="str">
        <f aca="false">IF(名簿!$D13="","",名簿!$D13&amp;IF(名簿!$F13="転出","（転出）",""))</f>
        <v/>
      </c>
      <c r="D13" s="149"/>
      <c r="E13" s="61" t="str">
        <f aca="false">IF(OR($C13="",名簿!$F13="転出"),"",IF($C$2="学級ごと",$A13,IF($C$2="前の単元と同じ",単元07!$E13&amp;"",$D13&amp;"")))</f>
        <v/>
      </c>
      <c r="F13" s="150"/>
      <c r="G13" s="150"/>
      <c r="H13" s="150"/>
      <c r="I13" s="151"/>
      <c r="J13" s="41" t="str">
        <f aca="false">IF($E13="","",$E13&amp;"|"&amp;COUNTIF($E$5:$E13,$E13))</f>
        <v/>
      </c>
      <c r="K13" s="40" t="str">
        <f aca="false">IF($I13="","",LEN($I13))</f>
        <v/>
      </c>
      <c r="L13" s="13"/>
      <c r="M13" s="13"/>
      <c r="N13" s="13"/>
      <c r="O13" s="13"/>
      <c r="P13" s="152"/>
      <c r="Q13" s="149"/>
      <c r="R13" s="152"/>
      <c r="S13" s="152"/>
      <c r="T13" s="62" t="str">
        <f aca="false">IF(OR($C13="",R13=""),"",IF(R13/IF($R$2="",100,$R$2)&gt;=設定!$I$28,設定!$G$8,IF(R13/IF($R$2="",100,$R$2)&lt;設定!$I$29,設定!$G$10,設定!$G$9)))</f>
        <v/>
      </c>
      <c r="U13" s="62" t="str">
        <f aca="false">IF(OR($C13="",S13=""),"",IF(S13/IF($S$2="",100,$S$2)&gt;=設定!$I$28,設定!$G$8,IF(S13/IF($S$2="",100,$S$2)&lt;設定!$I$29,設定!$G$10,設定!$G$9)))</f>
        <v/>
      </c>
    </row>
    <row r="14" customFormat="false" ht="21" hidden="false" customHeight="true" outlineLevel="0" collapsed="false">
      <c r="A14" s="91" t="str">
        <f aca="false">IF(名簿!$D14="","",名簿!$B14&amp;"")</f>
        <v/>
      </c>
      <c r="B14" s="91" t="str">
        <f aca="false">IF(名簿!$D14="","",名簿!$C14)</f>
        <v/>
      </c>
      <c r="C14" s="59" t="str">
        <f aca="false">IF(名簿!$D14="","",名簿!$D14&amp;IF(名簿!$F14="転出","（転出）",""))</f>
        <v/>
      </c>
      <c r="D14" s="149"/>
      <c r="E14" s="61" t="str">
        <f aca="false">IF(OR($C14="",名簿!$F14="転出"),"",IF($C$2="学級ごと",$A14,IF($C$2="前の単元と同じ",単元07!$E14&amp;"",$D14&amp;"")))</f>
        <v/>
      </c>
      <c r="F14" s="150"/>
      <c r="G14" s="150"/>
      <c r="H14" s="150"/>
      <c r="I14" s="151"/>
      <c r="J14" s="41" t="str">
        <f aca="false">IF($E14="","",$E14&amp;"|"&amp;COUNTIF($E$5:$E14,$E14))</f>
        <v/>
      </c>
      <c r="K14" s="40" t="str">
        <f aca="false">IF($I14="","",LEN($I14))</f>
        <v/>
      </c>
      <c r="L14" s="13"/>
      <c r="M14" s="13"/>
      <c r="N14" s="13"/>
      <c r="O14" s="13"/>
      <c r="P14" s="152"/>
      <c r="Q14" s="149"/>
      <c r="R14" s="152"/>
      <c r="S14" s="152"/>
      <c r="T14" s="62" t="str">
        <f aca="false">IF(OR($C14="",R14=""),"",IF(R14/IF($R$2="",100,$R$2)&gt;=設定!$I$28,設定!$G$8,IF(R14/IF($R$2="",100,$R$2)&lt;設定!$I$29,設定!$G$10,設定!$G$9)))</f>
        <v/>
      </c>
      <c r="U14" s="62" t="str">
        <f aca="false">IF(OR($C14="",S14=""),"",IF(S14/IF($S$2="",100,$S$2)&gt;=設定!$I$28,設定!$G$8,IF(S14/IF($S$2="",100,$S$2)&lt;設定!$I$29,設定!$G$10,設定!$G$9)))</f>
        <v/>
      </c>
    </row>
    <row r="15" customFormat="false" ht="21" hidden="false" customHeight="true" outlineLevel="0" collapsed="false">
      <c r="A15" s="91" t="str">
        <f aca="false">IF(名簿!$D15="","",名簿!$B15&amp;"")</f>
        <v/>
      </c>
      <c r="B15" s="91" t="str">
        <f aca="false">IF(名簿!$D15="","",名簿!$C15)</f>
        <v/>
      </c>
      <c r="C15" s="59" t="str">
        <f aca="false">IF(名簿!$D15="","",名簿!$D15&amp;IF(名簿!$F15="転出","（転出）",""))</f>
        <v/>
      </c>
      <c r="D15" s="149"/>
      <c r="E15" s="61" t="str">
        <f aca="false">IF(OR($C15="",名簿!$F15="転出"),"",IF($C$2="学級ごと",$A15,IF($C$2="前の単元と同じ",単元07!$E15&amp;"",$D15&amp;"")))</f>
        <v/>
      </c>
      <c r="F15" s="150"/>
      <c r="G15" s="150"/>
      <c r="H15" s="150"/>
      <c r="I15" s="151"/>
      <c r="J15" s="41" t="str">
        <f aca="false">IF($E15="","",$E15&amp;"|"&amp;COUNTIF($E$5:$E15,$E15))</f>
        <v/>
      </c>
      <c r="K15" s="40" t="str">
        <f aca="false">IF($I15="","",LEN($I15))</f>
        <v/>
      </c>
      <c r="L15" s="13"/>
      <c r="M15" s="13"/>
      <c r="N15" s="13"/>
      <c r="O15" s="13"/>
      <c r="P15" s="152"/>
      <c r="Q15" s="149"/>
      <c r="R15" s="152"/>
      <c r="S15" s="152"/>
      <c r="T15" s="62" t="str">
        <f aca="false">IF(OR($C15="",R15=""),"",IF(R15/IF($R$2="",100,$R$2)&gt;=設定!$I$28,設定!$G$8,IF(R15/IF($R$2="",100,$R$2)&lt;設定!$I$29,設定!$G$10,設定!$G$9)))</f>
        <v/>
      </c>
      <c r="U15" s="62" t="str">
        <f aca="false">IF(OR($C15="",S15=""),"",IF(S15/IF($S$2="",100,$S$2)&gt;=設定!$I$28,設定!$G$8,IF(S15/IF($S$2="",100,$S$2)&lt;設定!$I$29,設定!$G$10,設定!$G$9)))</f>
        <v/>
      </c>
    </row>
    <row r="16" customFormat="false" ht="21" hidden="false" customHeight="true" outlineLevel="0" collapsed="false">
      <c r="A16" s="91" t="str">
        <f aca="false">IF(名簿!$D16="","",名簿!$B16&amp;"")</f>
        <v/>
      </c>
      <c r="B16" s="91" t="str">
        <f aca="false">IF(名簿!$D16="","",名簿!$C16)</f>
        <v/>
      </c>
      <c r="C16" s="59" t="str">
        <f aca="false">IF(名簿!$D16="","",名簿!$D16&amp;IF(名簿!$F16="転出","（転出）",""))</f>
        <v/>
      </c>
      <c r="D16" s="149"/>
      <c r="E16" s="61" t="str">
        <f aca="false">IF(OR($C16="",名簿!$F16="転出"),"",IF($C$2="学級ごと",$A16,IF($C$2="前の単元と同じ",単元07!$E16&amp;"",$D16&amp;"")))</f>
        <v/>
      </c>
      <c r="F16" s="150"/>
      <c r="G16" s="150"/>
      <c r="H16" s="150"/>
      <c r="I16" s="151"/>
      <c r="J16" s="41" t="str">
        <f aca="false">IF($E16="","",$E16&amp;"|"&amp;COUNTIF($E$5:$E16,$E16))</f>
        <v/>
      </c>
      <c r="K16" s="40" t="str">
        <f aca="false">IF($I16="","",LEN($I16))</f>
        <v/>
      </c>
      <c r="L16" s="13"/>
      <c r="M16" s="13"/>
      <c r="N16" s="13"/>
      <c r="O16" s="13"/>
      <c r="P16" s="152"/>
      <c r="Q16" s="149"/>
      <c r="R16" s="152"/>
      <c r="S16" s="152"/>
      <c r="T16" s="62" t="str">
        <f aca="false">IF(OR($C16="",R16=""),"",IF(R16/IF($R$2="",100,$R$2)&gt;=設定!$I$28,設定!$G$8,IF(R16/IF($R$2="",100,$R$2)&lt;設定!$I$29,設定!$G$10,設定!$G$9)))</f>
        <v/>
      </c>
      <c r="U16" s="62" t="str">
        <f aca="false">IF(OR($C16="",S16=""),"",IF(S16/IF($S$2="",100,$S$2)&gt;=設定!$I$28,設定!$G$8,IF(S16/IF($S$2="",100,$S$2)&lt;設定!$I$29,設定!$G$10,設定!$G$9)))</f>
        <v/>
      </c>
    </row>
    <row r="17" customFormat="false" ht="21" hidden="false" customHeight="true" outlineLevel="0" collapsed="false">
      <c r="A17" s="91" t="str">
        <f aca="false">IF(名簿!$D17="","",名簿!$B17&amp;"")</f>
        <v/>
      </c>
      <c r="B17" s="91" t="str">
        <f aca="false">IF(名簿!$D17="","",名簿!$C17)</f>
        <v/>
      </c>
      <c r="C17" s="59" t="str">
        <f aca="false">IF(名簿!$D17="","",名簿!$D17&amp;IF(名簿!$F17="転出","（転出）",""))</f>
        <v/>
      </c>
      <c r="D17" s="149"/>
      <c r="E17" s="61" t="str">
        <f aca="false">IF(OR($C17="",名簿!$F17="転出"),"",IF($C$2="学級ごと",$A17,IF($C$2="前の単元と同じ",単元07!$E17&amp;"",$D17&amp;"")))</f>
        <v/>
      </c>
      <c r="F17" s="150"/>
      <c r="G17" s="150"/>
      <c r="H17" s="150"/>
      <c r="I17" s="151"/>
      <c r="J17" s="41" t="str">
        <f aca="false">IF($E17="","",$E17&amp;"|"&amp;COUNTIF($E$5:$E17,$E17))</f>
        <v/>
      </c>
      <c r="K17" s="40" t="str">
        <f aca="false">IF($I17="","",LEN($I17))</f>
        <v/>
      </c>
      <c r="L17" s="13"/>
      <c r="M17" s="13"/>
      <c r="N17" s="13"/>
      <c r="O17" s="13"/>
      <c r="P17" s="152"/>
      <c r="Q17" s="149"/>
      <c r="R17" s="152"/>
      <c r="S17" s="152"/>
      <c r="T17" s="62" t="str">
        <f aca="false">IF(OR($C17="",R17=""),"",IF(R17/IF($R$2="",100,$R$2)&gt;=設定!$I$28,設定!$G$8,IF(R17/IF($R$2="",100,$R$2)&lt;設定!$I$29,設定!$G$10,設定!$G$9)))</f>
        <v/>
      </c>
      <c r="U17" s="62" t="str">
        <f aca="false">IF(OR($C17="",S17=""),"",IF(S17/IF($S$2="",100,$S$2)&gt;=設定!$I$28,設定!$G$8,IF(S17/IF($S$2="",100,$S$2)&lt;設定!$I$29,設定!$G$10,設定!$G$9)))</f>
        <v/>
      </c>
    </row>
    <row r="18" customFormat="false" ht="21" hidden="false" customHeight="true" outlineLevel="0" collapsed="false">
      <c r="A18" s="91" t="str">
        <f aca="false">IF(名簿!$D18="","",名簿!$B18&amp;"")</f>
        <v/>
      </c>
      <c r="B18" s="91" t="str">
        <f aca="false">IF(名簿!$D18="","",名簿!$C18)</f>
        <v/>
      </c>
      <c r="C18" s="59" t="str">
        <f aca="false">IF(名簿!$D18="","",名簿!$D18&amp;IF(名簿!$F18="転出","（転出）",""))</f>
        <v/>
      </c>
      <c r="D18" s="149"/>
      <c r="E18" s="61" t="str">
        <f aca="false">IF(OR($C18="",名簿!$F18="転出"),"",IF($C$2="学級ごと",$A18,IF($C$2="前の単元と同じ",単元07!$E18&amp;"",$D18&amp;"")))</f>
        <v/>
      </c>
      <c r="F18" s="150"/>
      <c r="G18" s="150"/>
      <c r="H18" s="150"/>
      <c r="I18" s="151"/>
      <c r="J18" s="41" t="str">
        <f aca="false">IF($E18="","",$E18&amp;"|"&amp;COUNTIF($E$5:$E18,$E18))</f>
        <v/>
      </c>
      <c r="K18" s="40" t="str">
        <f aca="false">IF($I18="","",LEN($I18))</f>
        <v/>
      </c>
      <c r="L18" s="13"/>
      <c r="M18" s="13"/>
      <c r="N18" s="13"/>
      <c r="O18" s="13"/>
      <c r="P18" s="152"/>
      <c r="Q18" s="149"/>
      <c r="R18" s="152"/>
      <c r="S18" s="152"/>
      <c r="T18" s="62" t="str">
        <f aca="false">IF(OR($C18="",R18=""),"",IF(R18/IF($R$2="",100,$R$2)&gt;=設定!$I$28,設定!$G$8,IF(R18/IF($R$2="",100,$R$2)&lt;設定!$I$29,設定!$G$10,設定!$G$9)))</f>
        <v/>
      </c>
      <c r="U18" s="62" t="str">
        <f aca="false">IF(OR($C18="",S18=""),"",IF(S18/IF($S$2="",100,$S$2)&gt;=設定!$I$28,設定!$G$8,IF(S18/IF($S$2="",100,$S$2)&lt;設定!$I$29,設定!$G$10,設定!$G$9)))</f>
        <v/>
      </c>
    </row>
    <row r="19" customFormat="false" ht="21" hidden="false" customHeight="true" outlineLevel="0" collapsed="false">
      <c r="A19" s="91" t="str">
        <f aca="false">IF(名簿!$D19="","",名簿!$B19&amp;"")</f>
        <v/>
      </c>
      <c r="B19" s="91" t="str">
        <f aca="false">IF(名簿!$D19="","",名簿!$C19)</f>
        <v/>
      </c>
      <c r="C19" s="59" t="str">
        <f aca="false">IF(名簿!$D19="","",名簿!$D19&amp;IF(名簿!$F19="転出","（転出）",""))</f>
        <v/>
      </c>
      <c r="D19" s="149"/>
      <c r="E19" s="61" t="str">
        <f aca="false">IF(OR($C19="",名簿!$F19="転出"),"",IF($C$2="学級ごと",$A19,IF($C$2="前の単元と同じ",単元07!$E19&amp;"",$D19&amp;"")))</f>
        <v/>
      </c>
      <c r="F19" s="150"/>
      <c r="G19" s="150"/>
      <c r="H19" s="150"/>
      <c r="I19" s="151"/>
      <c r="J19" s="41" t="str">
        <f aca="false">IF($E19="","",$E19&amp;"|"&amp;COUNTIF($E$5:$E19,$E19))</f>
        <v/>
      </c>
      <c r="K19" s="40" t="str">
        <f aca="false">IF($I19="","",LEN($I19))</f>
        <v/>
      </c>
      <c r="L19" s="13"/>
      <c r="M19" s="13"/>
      <c r="N19" s="13"/>
      <c r="O19" s="13"/>
      <c r="P19" s="152"/>
      <c r="Q19" s="149"/>
      <c r="R19" s="152"/>
      <c r="S19" s="152"/>
      <c r="T19" s="62" t="str">
        <f aca="false">IF(OR($C19="",R19=""),"",IF(R19/IF($R$2="",100,$R$2)&gt;=設定!$I$28,設定!$G$8,IF(R19/IF($R$2="",100,$R$2)&lt;設定!$I$29,設定!$G$10,設定!$G$9)))</f>
        <v/>
      </c>
      <c r="U19" s="62" t="str">
        <f aca="false">IF(OR($C19="",S19=""),"",IF(S19/IF($S$2="",100,$S$2)&gt;=設定!$I$28,設定!$G$8,IF(S19/IF($S$2="",100,$S$2)&lt;設定!$I$29,設定!$G$10,設定!$G$9)))</f>
        <v/>
      </c>
    </row>
    <row r="20" customFormat="false" ht="21" hidden="false" customHeight="true" outlineLevel="0" collapsed="false">
      <c r="A20" s="91" t="str">
        <f aca="false">IF(名簿!$D20="","",名簿!$B20&amp;"")</f>
        <v/>
      </c>
      <c r="B20" s="91" t="str">
        <f aca="false">IF(名簿!$D20="","",名簿!$C20)</f>
        <v/>
      </c>
      <c r="C20" s="59" t="str">
        <f aca="false">IF(名簿!$D20="","",名簿!$D20&amp;IF(名簿!$F20="転出","（転出）",""))</f>
        <v/>
      </c>
      <c r="D20" s="149"/>
      <c r="E20" s="61" t="str">
        <f aca="false">IF(OR($C20="",名簿!$F20="転出"),"",IF($C$2="学級ごと",$A20,IF($C$2="前の単元と同じ",単元07!$E20&amp;"",$D20&amp;"")))</f>
        <v/>
      </c>
      <c r="F20" s="150"/>
      <c r="G20" s="150"/>
      <c r="H20" s="150"/>
      <c r="I20" s="151"/>
      <c r="J20" s="41" t="str">
        <f aca="false">IF($E20="","",$E20&amp;"|"&amp;COUNTIF($E$5:$E20,$E20))</f>
        <v/>
      </c>
      <c r="K20" s="40" t="str">
        <f aca="false">IF($I20="","",LEN($I20))</f>
        <v/>
      </c>
      <c r="L20" s="13"/>
      <c r="M20" s="13"/>
      <c r="N20" s="13"/>
      <c r="O20" s="13"/>
      <c r="P20" s="152"/>
      <c r="Q20" s="149"/>
      <c r="R20" s="152"/>
      <c r="S20" s="152"/>
      <c r="T20" s="62" t="str">
        <f aca="false">IF(OR($C20="",R20=""),"",IF(R20/IF($R$2="",100,$R$2)&gt;=設定!$I$28,設定!$G$8,IF(R20/IF($R$2="",100,$R$2)&lt;設定!$I$29,設定!$G$10,設定!$G$9)))</f>
        <v/>
      </c>
      <c r="U20" s="62" t="str">
        <f aca="false">IF(OR($C20="",S20=""),"",IF(S20/IF($S$2="",100,$S$2)&gt;=設定!$I$28,設定!$G$8,IF(S20/IF($S$2="",100,$S$2)&lt;設定!$I$29,設定!$G$10,設定!$G$9)))</f>
        <v/>
      </c>
    </row>
    <row r="21" customFormat="false" ht="21" hidden="false" customHeight="true" outlineLevel="0" collapsed="false">
      <c r="A21" s="91" t="str">
        <f aca="false">IF(名簿!$D21="","",名簿!$B21&amp;"")</f>
        <v/>
      </c>
      <c r="B21" s="91" t="str">
        <f aca="false">IF(名簿!$D21="","",名簿!$C21)</f>
        <v/>
      </c>
      <c r="C21" s="59" t="str">
        <f aca="false">IF(名簿!$D21="","",名簿!$D21&amp;IF(名簿!$F21="転出","（転出）",""))</f>
        <v/>
      </c>
      <c r="D21" s="149"/>
      <c r="E21" s="61" t="str">
        <f aca="false">IF(OR($C21="",名簿!$F21="転出"),"",IF($C$2="学級ごと",$A21,IF($C$2="前の単元と同じ",単元07!$E21&amp;"",$D21&amp;"")))</f>
        <v/>
      </c>
      <c r="F21" s="150"/>
      <c r="G21" s="150"/>
      <c r="H21" s="150"/>
      <c r="I21" s="151"/>
      <c r="J21" s="41" t="str">
        <f aca="false">IF($E21="","",$E21&amp;"|"&amp;COUNTIF($E$5:$E21,$E21))</f>
        <v/>
      </c>
      <c r="K21" s="40" t="str">
        <f aca="false">IF($I21="","",LEN($I21))</f>
        <v/>
      </c>
      <c r="L21" s="13"/>
      <c r="M21" s="13"/>
      <c r="N21" s="13"/>
      <c r="O21" s="13"/>
      <c r="P21" s="152"/>
      <c r="Q21" s="149"/>
      <c r="R21" s="152"/>
      <c r="S21" s="152"/>
      <c r="T21" s="62" t="str">
        <f aca="false">IF(OR($C21="",R21=""),"",IF(R21/IF($R$2="",100,$R$2)&gt;=設定!$I$28,設定!$G$8,IF(R21/IF($R$2="",100,$R$2)&lt;設定!$I$29,設定!$G$10,設定!$G$9)))</f>
        <v/>
      </c>
      <c r="U21" s="62" t="str">
        <f aca="false">IF(OR($C21="",S21=""),"",IF(S21/IF($S$2="",100,$S$2)&gt;=設定!$I$28,設定!$G$8,IF(S21/IF($S$2="",100,$S$2)&lt;設定!$I$29,設定!$G$10,設定!$G$9)))</f>
        <v/>
      </c>
    </row>
    <row r="22" customFormat="false" ht="21" hidden="false" customHeight="true" outlineLevel="0" collapsed="false">
      <c r="A22" s="91" t="str">
        <f aca="false">IF(名簿!$D22="","",名簿!$B22&amp;"")</f>
        <v/>
      </c>
      <c r="B22" s="91" t="str">
        <f aca="false">IF(名簿!$D22="","",名簿!$C22)</f>
        <v/>
      </c>
      <c r="C22" s="59" t="str">
        <f aca="false">IF(名簿!$D22="","",名簿!$D22&amp;IF(名簿!$F22="転出","（転出）",""))</f>
        <v/>
      </c>
      <c r="D22" s="149"/>
      <c r="E22" s="61" t="str">
        <f aca="false">IF(OR($C22="",名簿!$F22="転出"),"",IF($C$2="学級ごと",$A22,IF($C$2="前の単元と同じ",単元07!$E22&amp;"",$D22&amp;"")))</f>
        <v/>
      </c>
      <c r="F22" s="150"/>
      <c r="G22" s="150"/>
      <c r="H22" s="150"/>
      <c r="I22" s="151"/>
      <c r="J22" s="41" t="str">
        <f aca="false">IF($E22="","",$E22&amp;"|"&amp;COUNTIF($E$5:$E22,$E22))</f>
        <v/>
      </c>
      <c r="K22" s="40" t="str">
        <f aca="false">IF($I22="","",LEN($I22))</f>
        <v/>
      </c>
      <c r="L22" s="13"/>
      <c r="M22" s="13"/>
      <c r="N22" s="13"/>
      <c r="O22" s="13"/>
      <c r="P22" s="152"/>
      <c r="Q22" s="149"/>
      <c r="R22" s="152"/>
      <c r="S22" s="152"/>
      <c r="T22" s="62" t="str">
        <f aca="false">IF(OR($C22="",R22=""),"",IF(R22/IF($R$2="",100,$R$2)&gt;=設定!$I$28,設定!$G$8,IF(R22/IF($R$2="",100,$R$2)&lt;設定!$I$29,設定!$G$10,設定!$G$9)))</f>
        <v/>
      </c>
      <c r="U22" s="62" t="str">
        <f aca="false">IF(OR($C22="",S22=""),"",IF(S22/IF($S$2="",100,$S$2)&gt;=設定!$I$28,設定!$G$8,IF(S22/IF($S$2="",100,$S$2)&lt;設定!$I$29,設定!$G$10,設定!$G$9)))</f>
        <v/>
      </c>
    </row>
    <row r="23" customFormat="false" ht="21" hidden="false" customHeight="true" outlineLevel="0" collapsed="false">
      <c r="A23" s="91" t="str">
        <f aca="false">IF(名簿!$D23="","",名簿!$B23&amp;"")</f>
        <v/>
      </c>
      <c r="B23" s="91" t="str">
        <f aca="false">IF(名簿!$D23="","",名簿!$C23)</f>
        <v/>
      </c>
      <c r="C23" s="59" t="str">
        <f aca="false">IF(名簿!$D23="","",名簿!$D23&amp;IF(名簿!$F23="転出","（転出）",""))</f>
        <v/>
      </c>
      <c r="D23" s="149"/>
      <c r="E23" s="61" t="str">
        <f aca="false">IF(OR($C23="",名簿!$F23="転出"),"",IF($C$2="学級ごと",$A23,IF($C$2="前の単元と同じ",単元07!$E23&amp;"",$D23&amp;"")))</f>
        <v/>
      </c>
      <c r="F23" s="150"/>
      <c r="G23" s="150"/>
      <c r="H23" s="150"/>
      <c r="I23" s="151"/>
      <c r="J23" s="41" t="str">
        <f aca="false">IF($E23="","",$E23&amp;"|"&amp;COUNTIF($E$5:$E23,$E23))</f>
        <v/>
      </c>
      <c r="K23" s="40" t="str">
        <f aca="false">IF($I23="","",LEN($I23))</f>
        <v/>
      </c>
      <c r="L23" s="13"/>
      <c r="M23" s="13"/>
      <c r="N23" s="13"/>
      <c r="O23" s="13"/>
      <c r="P23" s="152"/>
      <c r="Q23" s="149"/>
      <c r="R23" s="152"/>
      <c r="S23" s="152"/>
      <c r="T23" s="62" t="str">
        <f aca="false">IF(OR($C23="",R23=""),"",IF(R23/IF($R$2="",100,$R$2)&gt;=設定!$I$28,設定!$G$8,IF(R23/IF($R$2="",100,$R$2)&lt;設定!$I$29,設定!$G$10,設定!$G$9)))</f>
        <v/>
      </c>
      <c r="U23" s="62" t="str">
        <f aca="false">IF(OR($C23="",S23=""),"",IF(S23/IF($S$2="",100,$S$2)&gt;=設定!$I$28,設定!$G$8,IF(S23/IF($S$2="",100,$S$2)&lt;設定!$I$29,設定!$G$10,設定!$G$9)))</f>
        <v/>
      </c>
    </row>
    <row r="24" customFormat="false" ht="21" hidden="false" customHeight="true" outlineLevel="0" collapsed="false">
      <c r="A24" s="91" t="str">
        <f aca="false">IF(名簿!$D24="","",名簿!$B24&amp;"")</f>
        <v/>
      </c>
      <c r="B24" s="91" t="str">
        <f aca="false">IF(名簿!$D24="","",名簿!$C24)</f>
        <v/>
      </c>
      <c r="C24" s="59" t="str">
        <f aca="false">IF(名簿!$D24="","",名簿!$D24&amp;IF(名簿!$F24="転出","（転出）",""))</f>
        <v/>
      </c>
      <c r="D24" s="149"/>
      <c r="E24" s="61" t="str">
        <f aca="false">IF(OR($C24="",名簿!$F24="転出"),"",IF($C$2="学級ごと",$A24,IF($C$2="前の単元と同じ",単元07!$E24&amp;"",$D24&amp;"")))</f>
        <v/>
      </c>
      <c r="F24" s="150"/>
      <c r="G24" s="150"/>
      <c r="H24" s="150"/>
      <c r="I24" s="151"/>
      <c r="J24" s="41" t="str">
        <f aca="false">IF($E24="","",$E24&amp;"|"&amp;COUNTIF($E$5:$E24,$E24))</f>
        <v/>
      </c>
      <c r="K24" s="40" t="str">
        <f aca="false">IF($I24="","",LEN($I24))</f>
        <v/>
      </c>
      <c r="L24" s="13"/>
      <c r="M24" s="13"/>
      <c r="N24" s="13"/>
      <c r="O24" s="13"/>
      <c r="P24" s="152"/>
      <c r="Q24" s="149"/>
      <c r="R24" s="152"/>
      <c r="S24" s="152"/>
      <c r="T24" s="62" t="str">
        <f aca="false">IF(OR($C24="",R24=""),"",IF(R24/IF($R$2="",100,$R$2)&gt;=設定!$I$28,設定!$G$8,IF(R24/IF($R$2="",100,$R$2)&lt;設定!$I$29,設定!$G$10,設定!$G$9)))</f>
        <v/>
      </c>
      <c r="U24" s="62" t="str">
        <f aca="false">IF(OR($C24="",S24=""),"",IF(S24/IF($S$2="",100,$S$2)&gt;=設定!$I$28,設定!$G$8,IF(S24/IF($S$2="",100,$S$2)&lt;設定!$I$29,設定!$G$10,設定!$G$9)))</f>
        <v/>
      </c>
    </row>
    <row r="25" customFormat="false" ht="21" hidden="false" customHeight="true" outlineLevel="0" collapsed="false">
      <c r="A25" s="91" t="str">
        <f aca="false">IF(名簿!$D25="","",名簿!$B25&amp;"")</f>
        <v/>
      </c>
      <c r="B25" s="91" t="str">
        <f aca="false">IF(名簿!$D25="","",名簿!$C25)</f>
        <v/>
      </c>
      <c r="C25" s="59" t="str">
        <f aca="false">IF(名簿!$D25="","",名簿!$D25&amp;IF(名簿!$F25="転出","（転出）",""))</f>
        <v/>
      </c>
      <c r="D25" s="149"/>
      <c r="E25" s="61" t="str">
        <f aca="false">IF(OR($C25="",名簿!$F25="転出"),"",IF($C$2="学級ごと",$A25,IF($C$2="前の単元と同じ",単元07!$E25&amp;"",$D25&amp;"")))</f>
        <v/>
      </c>
      <c r="F25" s="150"/>
      <c r="G25" s="150"/>
      <c r="H25" s="150"/>
      <c r="I25" s="151"/>
      <c r="J25" s="41" t="str">
        <f aca="false">IF($E25="","",$E25&amp;"|"&amp;COUNTIF($E$5:$E25,$E25))</f>
        <v/>
      </c>
      <c r="K25" s="40" t="str">
        <f aca="false">IF($I25="","",LEN($I25))</f>
        <v/>
      </c>
      <c r="L25" s="13"/>
      <c r="M25" s="13"/>
      <c r="N25" s="13"/>
      <c r="O25" s="13"/>
      <c r="P25" s="152"/>
      <c r="Q25" s="149"/>
      <c r="R25" s="152"/>
      <c r="S25" s="152"/>
      <c r="T25" s="62" t="str">
        <f aca="false">IF(OR($C25="",R25=""),"",IF(R25/IF($R$2="",100,$R$2)&gt;=設定!$I$28,設定!$G$8,IF(R25/IF($R$2="",100,$R$2)&lt;設定!$I$29,設定!$G$10,設定!$G$9)))</f>
        <v/>
      </c>
      <c r="U25" s="62" t="str">
        <f aca="false">IF(OR($C25="",S25=""),"",IF(S25/IF($S$2="",100,$S$2)&gt;=設定!$I$28,設定!$G$8,IF(S25/IF($S$2="",100,$S$2)&lt;設定!$I$29,設定!$G$10,設定!$G$9)))</f>
        <v/>
      </c>
    </row>
    <row r="26" customFormat="false" ht="21" hidden="false" customHeight="true" outlineLevel="0" collapsed="false">
      <c r="A26" s="91" t="str">
        <f aca="false">IF(名簿!$D26="","",名簿!$B26&amp;"")</f>
        <v/>
      </c>
      <c r="B26" s="91" t="str">
        <f aca="false">IF(名簿!$D26="","",名簿!$C26)</f>
        <v/>
      </c>
      <c r="C26" s="59" t="str">
        <f aca="false">IF(名簿!$D26="","",名簿!$D26&amp;IF(名簿!$F26="転出","（転出）",""))</f>
        <v/>
      </c>
      <c r="D26" s="149"/>
      <c r="E26" s="61" t="str">
        <f aca="false">IF(OR($C26="",名簿!$F26="転出"),"",IF($C$2="学級ごと",$A26,IF($C$2="前の単元と同じ",単元07!$E26&amp;"",$D26&amp;"")))</f>
        <v/>
      </c>
      <c r="F26" s="150"/>
      <c r="G26" s="150"/>
      <c r="H26" s="150"/>
      <c r="I26" s="151"/>
      <c r="J26" s="41" t="str">
        <f aca="false">IF($E26="","",$E26&amp;"|"&amp;COUNTIF($E$5:$E26,$E26))</f>
        <v/>
      </c>
      <c r="K26" s="40" t="str">
        <f aca="false">IF($I26="","",LEN($I26))</f>
        <v/>
      </c>
      <c r="L26" s="13"/>
      <c r="M26" s="13"/>
      <c r="N26" s="13"/>
      <c r="O26" s="13"/>
      <c r="P26" s="152"/>
      <c r="Q26" s="149"/>
      <c r="R26" s="152"/>
      <c r="S26" s="152"/>
      <c r="T26" s="62" t="str">
        <f aca="false">IF(OR($C26="",R26=""),"",IF(R26/IF($R$2="",100,$R$2)&gt;=設定!$I$28,設定!$G$8,IF(R26/IF($R$2="",100,$R$2)&lt;設定!$I$29,設定!$G$10,設定!$G$9)))</f>
        <v/>
      </c>
      <c r="U26" s="62" t="str">
        <f aca="false">IF(OR($C26="",S26=""),"",IF(S26/IF($S$2="",100,$S$2)&gt;=設定!$I$28,設定!$G$8,IF(S26/IF($S$2="",100,$S$2)&lt;設定!$I$29,設定!$G$10,設定!$G$9)))</f>
        <v/>
      </c>
    </row>
    <row r="27" customFormat="false" ht="21" hidden="false" customHeight="true" outlineLevel="0" collapsed="false">
      <c r="A27" s="91" t="str">
        <f aca="false">IF(名簿!$D27="","",名簿!$B27&amp;"")</f>
        <v/>
      </c>
      <c r="B27" s="91" t="str">
        <f aca="false">IF(名簿!$D27="","",名簿!$C27)</f>
        <v/>
      </c>
      <c r="C27" s="59" t="str">
        <f aca="false">IF(名簿!$D27="","",名簿!$D27&amp;IF(名簿!$F27="転出","（転出）",""))</f>
        <v/>
      </c>
      <c r="D27" s="149"/>
      <c r="E27" s="61" t="str">
        <f aca="false">IF(OR($C27="",名簿!$F27="転出"),"",IF($C$2="学級ごと",$A27,IF($C$2="前の単元と同じ",単元07!$E27&amp;"",$D27&amp;"")))</f>
        <v/>
      </c>
      <c r="F27" s="150"/>
      <c r="G27" s="150"/>
      <c r="H27" s="150"/>
      <c r="I27" s="151"/>
      <c r="J27" s="41" t="str">
        <f aca="false">IF($E27="","",$E27&amp;"|"&amp;COUNTIF($E$5:$E27,$E27))</f>
        <v/>
      </c>
      <c r="K27" s="40" t="str">
        <f aca="false">IF($I27="","",LEN($I27))</f>
        <v/>
      </c>
      <c r="L27" s="13"/>
      <c r="M27" s="13"/>
      <c r="N27" s="13"/>
      <c r="O27" s="13"/>
      <c r="P27" s="152"/>
      <c r="Q27" s="149"/>
      <c r="R27" s="152"/>
      <c r="S27" s="152"/>
      <c r="T27" s="62" t="str">
        <f aca="false">IF(OR($C27="",R27=""),"",IF(R27/IF($R$2="",100,$R$2)&gt;=設定!$I$28,設定!$G$8,IF(R27/IF($R$2="",100,$R$2)&lt;設定!$I$29,設定!$G$10,設定!$G$9)))</f>
        <v/>
      </c>
      <c r="U27" s="62" t="str">
        <f aca="false">IF(OR($C27="",S27=""),"",IF(S27/IF($S$2="",100,$S$2)&gt;=設定!$I$28,設定!$G$8,IF(S27/IF($S$2="",100,$S$2)&lt;設定!$I$29,設定!$G$10,設定!$G$9)))</f>
        <v/>
      </c>
    </row>
    <row r="28" customFormat="false" ht="21" hidden="false" customHeight="true" outlineLevel="0" collapsed="false">
      <c r="A28" s="91" t="str">
        <f aca="false">IF(名簿!$D28="","",名簿!$B28&amp;"")</f>
        <v/>
      </c>
      <c r="B28" s="91" t="str">
        <f aca="false">IF(名簿!$D28="","",名簿!$C28)</f>
        <v/>
      </c>
      <c r="C28" s="59" t="str">
        <f aca="false">IF(名簿!$D28="","",名簿!$D28&amp;IF(名簿!$F28="転出","（転出）",""))</f>
        <v/>
      </c>
      <c r="D28" s="149"/>
      <c r="E28" s="61" t="str">
        <f aca="false">IF(OR($C28="",名簿!$F28="転出"),"",IF($C$2="学級ごと",$A28,IF($C$2="前の単元と同じ",単元07!$E28&amp;"",$D28&amp;"")))</f>
        <v/>
      </c>
      <c r="F28" s="150"/>
      <c r="G28" s="150"/>
      <c r="H28" s="150"/>
      <c r="I28" s="151"/>
      <c r="J28" s="41" t="str">
        <f aca="false">IF($E28="","",$E28&amp;"|"&amp;COUNTIF($E$5:$E28,$E28))</f>
        <v/>
      </c>
      <c r="K28" s="40" t="str">
        <f aca="false">IF($I28="","",LEN($I28))</f>
        <v/>
      </c>
      <c r="L28" s="13"/>
      <c r="M28" s="13"/>
      <c r="N28" s="13"/>
      <c r="O28" s="13"/>
      <c r="P28" s="152"/>
      <c r="Q28" s="149"/>
      <c r="R28" s="152"/>
      <c r="S28" s="152"/>
      <c r="T28" s="62" t="str">
        <f aca="false">IF(OR($C28="",R28=""),"",IF(R28/IF($R$2="",100,$R$2)&gt;=設定!$I$28,設定!$G$8,IF(R28/IF($R$2="",100,$R$2)&lt;設定!$I$29,設定!$G$10,設定!$G$9)))</f>
        <v/>
      </c>
      <c r="U28" s="62" t="str">
        <f aca="false">IF(OR($C28="",S28=""),"",IF(S28/IF($S$2="",100,$S$2)&gt;=設定!$I$28,設定!$G$8,IF(S28/IF($S$2="",100,$S$2)&lt;設定!$I$29,設定!$G$10,設定!$G$9)))</f>
        <v/>
      </c>
    </row>
    <row r="29" customFormat="false" ht="21" hidden="false" customHeight="true" outlineLevel="0" collapsed="false">
      <c r="A29" s="91" t="str">
        <f aca="false">IF(名簿!$D29="","",名簿!$B29&amp;"")</f>
        <v/>
      </c>
      <c r="B29" s="91" t="str">
        <f aca="false">IF(名簿!$D29="","",名簿!$C29)</f>
        <v/>
      </c>
      <c r="C29" s="59" t="str">
        <f aca="false">IF(名簿!$D29="","",名簿!$D29&amp;IF(名簿!$F29="転出","（転出）",""))</f>
        <v/>
      </c>
      <c r="D29" s="149"/>
      <c r="E29" s="61" t="str">
        <f aca="false">IF(OR($C29="",名簿!$F29="転出"),"",IF($C$2="学級ごと",$A29,IF($C$2="前の単元と同じ",単元07!$E29&amp;"",$D29&amp;"")))</f>
        <v/>
      </c>
      <c r="F29" s="150"/>
      <c r="G29" s="150"/>
      <c r="H29" s="150"/>
      <c r="I29" s="151"/>
      <c r="J29" s="41" t="str">
        <f aca="false">IF($E29="","",$E29&amp;"|"&amp;COUNTIF($E$5:$E29,$E29))</f>
        <v/>
      </c>
      <c r="K29" s="40" t="str">
        <f aca="false">IF($I29="","",LEN($I29))</f>
        <v/>
      </c>
      <c r="L29" s="13"/>
      <c r="M29" s="13"/>
      <c r="N29" s="13"/>
      <c r="O29" s="13"/>
      <c r="P29" s="152"/>
      <c r="Q29" s="149"/>
      <c r="R29" s="152"/>
      <c r="S29" s="152"/>
      <c r="T29" s="62" t="str">
        <f aca="false">IF(OR($C29="",R29=""),"",IF(R29/IF($R$2="",100,$R$2)&gt;=設定!$I$28,設定!$G$8,IF(R29/IF($R$2="",100,$R$2)&lt;設定!$I$29,設定!$G$10,設定!$G$9)))</f>
        <v/>
      </c>
      <c r="U29" s="62" t="str">
        <f aca="false">IF(OR($C29="",S29=""),"",IF(S29/IF($S$2="",100,$S$2)&gt;=設定!$I$28,設定!$G$8,IF(S29/IF($S$2="",100,$S$2)&lt;設定!$I$29,設定!$G$10,設定!$G$9)))</f>
        <v/>
      </c>
    </row>
    <row r="30" customFormat="false" ht="21" hidden="false" customHeight="true" outlineLevel="0" collapsed="false">
      <c r="A30" s="91" t="str">
        <f aca="false">IF(名簿!$D30="","",名簿!$B30&amp;"")</f>
        <v/>
      </c>
      <c r="B30" s="91" t="str">
        <f aca="false">IF(名簿!$D30="","",名簿!$C30)</f>
        <v/>
      </c>
      <c r="C30" s="59" t="str">
        <f aca="false">IF(名簿!$D30="","",名簿!$D30&amp;IF(名簿!$F30="転出","（転出）",""))</f>
        <v/>
      </c>
      <c r="D30" s="149"/>
      <c r="E30" s="61" t="str">
        <f aca="false">IF(OR($C30="",名簿!$F30="転出"),"",IF($C$2="学級ごと",$A30,IF($C$2="前の単元と同じ",単元07!$E30&amp;"",$D30&amp;"")))</f>
        <v/>
      </c>
      <c r="F30" s="150"/>
      <c r="G30" s="150"/>
      <c r="H30" s="150"/>
      <c r="I30" s="151"/>
      <c r="J30" s="41" t="str">
        <f aca="false">IF($E30="","",$E30&amp;"|"&amp;COUNTIF($E$5:$E30,$E30))</f>
        <v/>
      </c>
      <c r="K30" s="40" t="str">
        <f aca="false">IF($I30="","",LEN($I30))</f>
        <v/>
      </c>
      <c r="L30" s="13"/>
      <c r="M30" s="13"/>
      <c r="N30" s="13"/>
      <c r="O30" s="13"/>
      <c r="P30" s="152"/>
      <c r="Q30" s="149"/>
      <c r="R30" s="152"/>
      <c r="S30" s="152"/>
      <c r="T30" s="62" t="str">
        <f aca="false">IF(OR($C30="",R30=""),"",IF(R30/IF($R$2="",100,$R$2)&gt;=設定!$I$28,設定!$G$8,IF(R30/IF($R$2="",100,$R$2)&lt;設定!$I$29,設定!$G$10,設定!$G$9)))</f>
        <v/>
      </c>
      <c r="U30" s="62" t="str">
        <f aca="false">IF(OR($C30="",S30=""),"",IF(S30/IF($S$2="",100,$S$2)&gt;=設定!$I$28,設定!$G$8,IF(S30/IF($S$2="",100,$S$2)&lt;設定!$I$29,設定!$G$10,設定!$G$9)))</f>
        <v/>
      </c>
    </row>
    <row r="31" customFormat="false" ht="21" hidden="false" customHeight="true" outlineLevel="0" collapsed="false">
      <c r="A31" s="91" t="str">
        <f aca="false">IF(名簿!$D31="","",名簿!$B31&amp;"")</f>
        <v/>
      </c>
      <c r="B31" s="91" t="str">
        <f aca="false">IF(名簿!$D31="","",名簿!$C31)</f>
        <v/>
      </c>
      <c r="C31" s="59" t="str">
        <f aca="false">IF(名簿!$D31="","",名簿!$D31&amp;IF(名簿!$F31="転出","（転出）",""))</f>
        <v/>
      </c>
      <c r="D31" s="149"/>
      <c r="E31" s="61" t="str">
        <f aca="false">IF(OR($C31="",名簿!$F31="転出"),"",IF($C$2="学級ごと",$A31,IF($C$2="前の単元と同じ",単元07!$E31&amp;"",$D31&amp;"")))</f>
        <v/>
      </c>
      <c r="F31" s="150"/>
      <c r="G31" s="150"/>
      <c r="H31" s="150"/>
      <c r="I31" s="151"/>
      <c r="J31" s="41" t="str">
        <f aca="false">IF($E31="","",$E31&amp;"|"&amp;COUNTIF($E$5:$E31,$E31))</f>
        <v/>
      </c>
      <c r="K31" s="40" t="str">
        <f aca="false">IF($I31="","",LEN($I31))</f>
        <v/>
      </c>
      <c r="L31" s="13"/>
      <c r="M31" s="13"/>
      <c r="N31" s="13"/>
      <c r="O31" s="13"/>
      <c r="P31" s="152"/>
      <c r="Q31" s="149"/>
      <c r="R31" s="152"/>
      <c r="S31" s="152"/>
      <c r="T31" s="62" t="str">
        <f aca="false">IF(OR($C31="",R31=""),"",IF(R31/IF($R$2="",100,$R$2)&gt;=設定!$I$28,設定!$G$8,IF(R31/IF($R$2="",100,$R$2)&lt;設定!$I$29,設定!$G$10,設定!$G$9)))</f>
        <v/>
      </c>
      <c r="U31" s="62" t="str">
        <f aca="false">IF(OR($C31="",S31=""),"",IF(S31/IF($S$2="",100,$S$2)&gt;=設定!$I$28,設定!$G$8,IF(S31/IF($S$2="",100,$S$2)&lt;設定!$I$29,設定!$G$10,設定!$G$9)))</f>
        <v/>
      </c>
    </row>
    <row r="32" customFormat="false" ht="21" hidden="false" customHeight="true" outlineLevel="0" collapsed="false">
      <c r="A32" s="91" t="str">
        <f aca="false">IF(名簿!$D32="","",名簿!$B32&amp;"")</f>
        <v/>
      </c>
      <c r="B32" s="91" t="str">
        <f aca="false">IF(名簿!$D32="","",名簿!$C32)</f>
        <v/>
      </c>
      <c r="C32" s="59" t="str">
        <f aca="false">IF(名簿!$D32="","",名簿!$D32&amp;IF(名簿!$F32="転出","（転出）",""))</f>
        <v/>
      </c>
      <c r="D32" s="149"/>
      <c r="E32" s="61" t="str">
        <f aca="false">IF(OR($C32="",名簿!$F32="転出"),"",IF($C$2="学級ごと",$A32,IF($C$2="前の単元と同じ",単元07!$E32&amp;"",$D32&amp;"")))</f>
        <v/>
      </c>
      <c r="F32" s="150"/>
      <c r="G32" s="150"/>
      <c r="H32" s="150"/>
      <c r="I32" s="151"/>
      <c r="J32" s="41" t="str">
        <f aca="false">IF($E32="","",$E32&amp;"|"&amp;COUNTIF($E$5:$E32,$E32))</f>
        <v/>
      </c>
      <c r="K32" s="40" t="str">
        <f aca="false">IF($I32="","",LEN($I32))</f>
        <v/>
      </c>
      <c r="L32" s="13"/>
      <c r="M32" s="13"/>
      <c r="N32" s="13"/>
      <c r="O32" s="13"/>
      <c r="P32" s="152"/>
      <c r="Q32" s="149"/>
      <c r="R32" s="152"/>
      <c r="S32" s="152"/>
      <c r="T32" s="62" t="str">
        <f aca="false">IF(OR($C32="",R32=""),"",IF(R32/IF($R$2="",100,$R$2)&gt;=設定!$I$28,設定!$G$8,IF(R32/IF($R$2="",100,$R$2)&lt;設定!$I$29,設定!$G$10,設定!$G$9)))</f>
        <v/>
      </c>
      <c r="U32" s="62" t="str">
        <f aca="false">IF(OR($C32="",S32=""),"",IF(S32/IF($S$2="",100,$S$2)&gt;=設定!$I$28,設定!$G$8,IF(S32/IF($S$2="",100,$S$2)&lt;設定!$I$29,設定!$G$10,設定!$G$9)))</f>
        <v/>
      </c>
    </row>
    <row r="33" customFormat="false" ht="21" hidden="false" customHeight="true" outlineLevel="0" collapsed="false">
      <c r="A33" s="91" t="str">
        <f aca="false">IF(名簿!$D33="","",名簿!$B33&amp;"")</f>
        <v/>
      </c>
      <c r="B33" s="91" t="str">
        <f aca="false">IF(名簿!$D33="","",名簿!$C33)</f>
        <v/>
      </c>
      <c r="C33" s="59" t="str">
        <f aca="false">IF(名簿!$D33="","",名簿!$D33&amp;IF(名簿!$F33="転出","（転出）",""))</f>
        <v/>
      </c>
      <c r="D33" s="149"/>
      <c r="E33" s="61" t="str">
        <f aca="false">IF(OR($C33="",名簿!$F33="転出"),"",IF($C$2="学級ごと",$A33,IF($C$2="前の単元と同じ",単元07!$E33&amp;"",$D33&amp;"")))</f>
        <v/>
      </c>
      <c r="F33" s="150"/>
      <c r="G33" s="150"/>
      <c r="H33" s="150"/>
      <c r="I33" s="151"/>
      <c r="J33" s="41" t="str">
        <f aca="false">IF($E33="","",$E33&amp;"|"&amp;COUNTIF($E$5:$E33,$E33))</f>
        <v/>
      </c>
      <c r="K33" s="40" t="str">
        <f aca="false">IF($I33="","",LEN($I33))</f>
        <v/>
      </c>
      <c r="L33" s="13"/>
      <c r="M33" s="13"/>
      <c r="N33" s="13"/>
      <c r="O33" s="13"/>
      <c r="P33" s="152"/>
      <c r="Q33" s="149"/>
      <c r="R33" s="152"/>
      <c r="S33" s="152"/>
      <c r="T33" s="62" t="str">
        <f aca="false">IF(OR($C33="",R33=""),"",IF(R33/IF($R$2="",100,$R$2)&gt;=設定!$I$28,設定!$G$8,IF(R33/IF($R$2="",100,$R$2)&lt;設定!$I$29,設定!$G$10,設定!$G$9)))</f>
        <v/>
      </c>
      <c r="U33" s="62" t="str">
        <f aca="false">IF(OR($C33="",S33=""),"",IF(S33/IF($S$2="",100,$S$2)&gt;=設定!$I$28,設定!$G$8,IF(S33/IF($S$2="",100,$S$2)&lt;設定!$I$29,設定!$G$10,設定!$G$9)))</f>
        <v/>
      </c>
    </row>
    <row r="34" customFormat="false" ht="21" hidden="false" customHeight="true" outlineLevel="0" collapsed="false">
      <c r="A34" s="91" t="str">
        <f aca="false">IF(名簿!$D34="","",名簿!$B34&amp;"")</f>
        <v/>
      </c>
      <c r="B34" s="91" t="str">
        <f aca="false">IF(名簿!$D34="","",名簿!$C34)</f>
        <v/>
      </c>
      <c r="C34" s="59" t="str">
        <f aca="false">IF(名簿!$D34="","",名簿!$D34&amp;IF(名簿!$F34="転出","（転出）",""))</f>
        <v/>
      </c>
      <c r="D34" s="149"/>
      <c r="E34" s="61" t="str">
        <f aca="false">IF(OR($C34="",名簿!$F34="転出"),"",IF($C$2="学級ごと",$A34,IF($C$2="前の単元と同じ",単元07!$E34&amp;"",$D34&amp;"")))</f>
        <v/>
      </c>
      <c r="F34" s="150"/>
      <c r="G34" s="150"/>
      <c r="H34" s="150"/>
      <c r="I34" s="151"/>
      <c r="J34" s="41" t="str">
        <f aca="false">IF($E34="","",$E34&amp;"|"&amp;COUNTIF($E$5:$E34,$E34))</f>
        <v/>
      </c>
      <c r="K34" s="40" t="str">
        <f aca="false">IF($I34="","",LEN($I34))</f>
        <v/>
      </c>
      <c r="L34" s="13"/>
      <c r="M34" s="13"/>
      <c r="N34" s="13"/>
      <c r="O34" s="13"/>
      <c r="P34" s="152"/>
      <c r="Q34" s="149"/>
      <c r="R34" s="152"/>
      <c r="S34" s="152"/>
      <c r="T34" s="62" t="str">
        <f aca="false">IF(OR($C34="",R34=""),"",IF(R34/IF($R$2="",100,$R$2)&gt;=設定!$I$28,設定!$G$8,IF(R34/IF($R$2="",100,$R$2)&lt;設定!$I$29,設定!$G$10,設定!$G$9)))</f>
        <v/>
      </c>
      <c r="U34" s="62" t="str">
        <f aca="false">IF(OR($C34="",S34=""),"",IF(S34/IF($S$2="",100,$S$2)&gt;=設定!$I$28,設定!$G$8,IF(S34/IF($S$2="",100,$S$2)&lt;設定!$I$29,設定!$G$10,設定!$G$9)))</f>
        <v/>
      </c>
    </row>
    <row r="35" customFormat="false" ht="21" hidden="false" customHeight="true" outlineLevel="0" collapsed="false">
      <c r="A35" s="91" t="str">
        <f aca="false">IF(名簿!$D35="","",名簿!$B35&amp;"")</f>
        <v/>
      </c>
      <c r="B35" s="91" t="str">
        <f aca="false">IF(名簿!$D35="","",名簿!$C35)</f>
        <v/>
      </c>
      <c r="C35" s="59" t="str">
        <f aca="false">IF(名簿!$D35="","",名簿!$D35&amp;IF(名簿!$F35="転出","（転出）",""))</f>
        <v/>
      </c>
      <c r="D35" s="149"/>
      <c r="E35" s="61" t="str">
        <f aca="false">IF(OR($C35="",名簿!$F35="転出"),"",IF($C$2="学級ごと",$A35,IF($C$2="前の単元と同じ",単元07!$E35&amp;"",$D35&amp;"")))</f>
        <v/>
      </c>
      <c r="F35" s="150"/>
      <c r="G35" s="150"/>
      <c r="H35" s="150"/>
      <c r="I35" s="151"/>
      <c r="J35" s="41" t="str">
        <f aca="false">IF($E35="","",$E35&amp;"|"&amp;COUNTIF($E$5:$E35,$E35))</f>
        <v/>
      </c>
      <c r="K35" s="40" t="str">
        <f aca="false">IF($I35="","",LEN($I35))</f>
        <v/>
      </c>
      <c r="L35" s="13"/>
      <c r="M35" s="13"/>
      <c r="N35" s="13"/>
      <c r="O35" s="13"/>
      <c r="P35" s="152"/>
      <c r="Q35" s="149"/>
      <c r="R35" s="152"/>
      <c r="S35" s="152"/>
      <c r="T35" s="62" t="str">
        <f aca="false">IF(OR($C35="",R35=""),"",IF(R35/IF($R$2="",100,$R$2)&gt;=設定!$I$28,設定!$G$8,IF(R35/IF($R$2="",100,$R$2)&lt;設定!$I$29,設定!$G$10,設定!$G$9)))</f>
        <v/>
      </c>
      <c r="U35" s="62" t="str">
        <f aca="false">IF(OR($C35="",S35=""),"",IF(S35/IF($S$2="",100,$S$2)&gt;=設定!$I$28,設定!$G$8,IF(S35/IF($S$2="",100,$S$2)&lt;設定!$I$29,設定!$G$10,設定!$G$9)))</f>
        <v/>
      </c>
    </row>
    <row r="36" customFormat="false" ht="21" hidden="false" customHeight="true" outlineLevel="0" collapsed="false">
      <c r="A36" s="91" t="str">
        <f aca="false">IF(名簿!$D36="","",名簿!$B36&amp;"")</f>
        <v/>
      </c>
      <c r="B36" s="91" t="str">
        <f aca="false">IF(名簿!$D36="","",名簿!$C36)</f>
        <v/>
      </c>
      <c r="C36" s="59" t="str">
        <f aca="false">IF(名簿!$D36="","",名簿!$D36&amp;IF(名簿!$F36="転出","（転出）",""))</f>
        <v/>
      </c>
      <c r="D36" s="149"/>
      <c r="E36" s="61" t="str">
        <f aca="false">IF(OR($C36="",名簿!$F36="転出"),"",IF($C$2="学級ごと",$A36,IF($C$2="前の単元と同じ",単元07!$E36&amp;"",$D36&amp;"")))</f>
        <v/>
      </c>
      <c r="F36" s="150"/>
      <c r="G36" s="150"/>
      <c r="H36" s="150"/>
      <c r="I36" s="151"/>
      <c r="J36" s="41" t="str">
        <f aca="false">IF($E36="","",$E36&amp;"|"&amp;COUNTIF($E$5:$E36,$E36))</f>
        <v/>
      </c>
      <c r="K36" s="40" t="str">
        <f aca="false">IF($I36="","",LEN($I36))</f>
        <v/>
      </c>
      <c r="L36" s="13"/>
      <c r="M36" s="13"/>
      <c r="N36" s="13"/>
      <c r="O36" s="13"/>
      <c r="P36" s="152"/>
      <c r="Q36" s="149"/>
      <c r="R36" s="152"/>
      <c r="S36" s="152"/>
      <c r="T36" s="62" t="str">
        <f aca="false">IF(OR($C36="",R36=""),"",IF(R36/IF($R$2="",100,$R$2)&gt;=設定!$I$28,設定!$G$8,IF(R36/IF($R$2="",100,$R$2)&lt;設定!$I$29,設定!$G$10,設定!$G$9)))</f>
        <v/>
      </c>
      <c r="U36" s="62" t="str">
        <f aca="false">IF(OR($C36="",S36=""),"",IF(S36/IF($S$2="",100,$S$2)&gt;=設定!$I$28,設定!$G$8,IF(S36/IF($S$2="",100,$S$2)&lt;設定!$I$29,設定!$G$10,設定!$G$9)))</f>
        <v/>
      </c>
    </row>
    <row r="37" customFormat="false" ht="21" hidden="false" customHeight="true" outlineLevel="0" collapsed="false">
      <c r="A37" s="91" t="str">
        <f aca="false">IF(名簿!$D37="","",名簿!$B37&amp;"")</f>
        <v/>
      </c>
      <c r="B37" s="91" t="str">
        <f aca="false">IF(名簿!$D37="","",名簿!$C37)</f>
        <v/>
      </c>
      <c r="C37" s="59" t="str">
        <f aca="false">IF(名簿!$D37="","",名簿!$D37&amp;IF(名簿!$F37="転出","（転出）",""))</f>
        <v/>
      </c>
      <c r="D37" s="149"/>
      <c r="E37" s="61" t="str">
        <f aca="false">IF(OR($C37="",名簿!$F37="転出"),"",IF($C$2="学級ごと",$A37,IF($C$2="前の単元と同じ",単元07!$E37&amp;"",$D37&amp;"")))</f>
        <v/>
      </c>
      <c r="F37" s="150"/>
      <c r="G37" s="150"/>
      <c r="H37" s="150"/>
      <c r="I37" s="151"/>
      <c r="J37" s="41" t="str">
        <f aca="false">IF($E37="","",$E37&amp;"|"&amp;COUNTIF($E$5:$E37,$E37))</f>
        <v/>
      </c>
      <c r="K37" s="40" t="str">
        <f aca="false">IF($I37="","",LEN($I37))</f>
        <v/>
      </c>
      <c r="L37" s="13"/>
      <c r="M37" s="13"/>
      <c r="N37" s="13"/>
      <c r="O37" s="13"/>
      <c r="P37" s="152"/>
      <c r="Q37" s="149"/>
      <c r="R37" s="152"/>
      <c r="S37" s="152"/>
      <c r="T37" s="62" t="str">
        <f aca="false">IF(OR($C37="",R37=""),"",IF(R37/IF($R$2="",100,$R$2)&gt;=設定!$I$28,設定!$G$8,IF(R37/IF($R$2="",100,$R$2)&lt;設定!$I$29,設定!$G$10,設定!$G$9)))</f>
        <v/>
      </c>
      <c r="U37" s="62" t="str">
        <f aca="false">IF(OR($C37="",S37=""),"",IF(S37/IF($S$2="",100,$S$2)&gt;=設定!$I$28,設定!$G$8,IF(S37/IF($S$2="",100,$S$2)&lt;設定!$I$29,設定!$G$10,設定!$G$9)))</f>
        <v/>
      </c>
    </row>
    <row r="38" customFormat="false" ht="21" hidden="false" customHeight="true" outlineLevel="0" collapsed="false">
      <c r="A38" s="91" t="str">
        <f aca="false">IF(名簿!$D38="","",名簿!$B38&amp;"")</f>
        <v/>
      </c>
      <c r="B38" s="91" t="str">
        <f aca="false">IF(名簿!$D38="","",名簿!$C38)</f>
        <v/>
      </c>
      <c r="C38" s="59" t="str">
        <f aca="false">IF(名簿!$D38="","",名簿!$D38&amp;IF(名簿!$F38="転出","（転出）",""))</f>
        <v/>
      </c>
      <c r="D38" s="149"/>
      <c r="E38" s="61" t="str">
        <f aca="false">IF(OR($C38="",名簿!$F38="転出"),"",IF($C$2="学級ごと",$A38,IF($C$2="前の単元と同じ",単元07!$E38&amp;"",$D38&amp;"")))</f>
        <v/>
      </c>
      <c r="F38" s="150"/>
      <c r="G38" s="150"/>
      <c r="H38" s="150"/>
      <c r="I38" s="151"/>
      <c r="J38" s="41" t="str">
        <f aca="false">IF($E38="","",$E38&amp;"|"&amp;COUNTIF($E$5:$E38,$E38))</f>
        <v/>
      </c>
      <c r="K38" s="40" t="str">
        <f aca="false">IF($I38="","",LEN($I38))</f>
        <v/>
      </c>
      <c r="L38" s="13"/>
      <c r="M38" s="13"/>
      <c r="N38" s="13"/>
      <c r="O38" s="13"/>
      <c r="P38" s="152"/>
      <c r="Q38" s="149"/>
      <c r="R38" s="152"/>
      <c r="S38" s="152"/>
      <c r="T38" s="62" t="str">
        <f aca="false">IF(OR($C38="",R38=""),"",IF(R38/IF($R$2="",100,$R$2)&gt;=設定!$I$28,設定!$G$8,IF(R38/IF($R$2="",100,$R$2)&lt;設定!$I$29,設定!$G$10,設定!$G$9)))</f>
        <v/>
      </c>
      <c r="U38" s="62" t="str">
        <f aca="false">IF(OR($C38="",S38=""),"",IF(S38/IF($S$2="",100,$S$2)&gt;=設定!$I$28,設定!$G$8,IF(S38/IF($S$2="",100,$S$2)&lt;設定!$I$29,設定!$G$10,設定!$G$9)))</f>
        <v/>
      </c>
    </row>
    <row r="39" customFormat="false" ht="21" hidden="false" customHeight="true" outlineLevel="0" collapsed="false">
      <c r="A39" s="91" t="str">
        <f aca="false">IF(名簿!$D39="","",名簿!$B39&amp;"")</f>
        <v/>
      </c>
      <c r="B39" s="91" t="str">
        <f aca="false">IF(名簿!$D39="","",名簿!$C39)</f>
        <v/>
      </c>
      <c r="C39" s="59" t="str">
        <f aca="false">IF(名簿!$D39="","",名簿!$D39&amp;IF(名簿!$F39="転出","（転出）",""))</f>
        <v/>
      </c>
      <c r="D39" s="149"/>
      <c r="E39" s="61" t="str">
        <f aca="false">IF(OR($C39="",名簿!$F39="転出"),"",IF($C$2="学級ごと",$A39,IF($C$2="前の単元と同じ",単元07!$E39&amp;"",$D39&amp;"")))</f>
        <v/>
      </c>
      <c r="F39" s="150"/>
      <c r="G39" s="150"/>
      <c r="H39" s="150"/>
      <c r="I39" s="151"/>
      <c r="J39" s="41" t="str">
        <f aca="false">IF($E39="","",$E39&amp;"|"&amp;COUNTIF($E$5:$E39,$E39))</f>
        <v/>
      </c>
      <c r="K39" s="40" t="str">
        <f aca="false">IF($I39="","",LEN($I39))</f>
        <v/>
      </c>
      <c r="L39" s="13"/>
      <c r="M39" s="13"/>
      <c r="N39" s="13"/>
      <c r="O39" s="13"/>
      <c r="P39" s="152"/>
      <c r="Q39" s="149"/>
      <c r="R39" s="152"/>
      <c r="S39" s="152"/>
      <c r="T39" s="62" t="str">
        <f aca="false">IF(OR($C39="",R39=""),"",IF(R39/IF($R$2="",100,$R$2)&gt;=設定!$I$28,設定!$G$8,IF(R39/IF($R$2="",100,$R$2)&lt;設定!$I$29,設定!$G$10,設定!$G$9)))</f>
        <v/>
      </c>
      <c r="U39" s="62" t="str">
        <f aca="false">IF(OR($C39="",S39=""),"",IF(S39/IF($S$2="",100,$S$2)&gt;=設定!$I$28,設定!$G$8,IF(S39/IF($S$2="",100,$S$2)&lt;設定!$I$29,設定!$G$10,設定!$G$9)))</f>
        <v/>
      </c>
    </row>
    <row r="40" customFormat="false" ht="21" hidden="false" customHeight="true" outlineLevel="0" collapsed="false">
      <c r="A40" s="91" t="str">
        <f aca="false">IF(名簿!$D40="","",名簿!$B40&amp;"")</f>
        <v/>
      </c>
      <c r="B40" s="91" t="str">
        <f aca="false">IF(名簿!$D40="","",名簿!$C40)</f>
        <v/>
      </c>
      <c r="C40" s="59" t="str">
        <f aca="false">IF(名簿!$D40="","",名簿!$D40&amp;IF(名簿!$F40="転出","（転出）",""))</f>
        <v/>
      </c>
      <c r="D40" s="149"/>
      <c r="E40" s="61" t="str">
        <f aca="false">IF(OR($C40="",名簿!$F40="転出"),"",IF($C$2="学級ごと",$A40,IF($C$2="前の単元と同じ",単元07!$E40&amp;"",$D40&amp;"")))</f>
        <v/>
      </c>
      <c r="F40" s="150"/>
      <c r="G40" s="150"/>
      <c r="H40" s="150"/>
      <c r="I40" s="151"/>
      <c r="J40" s="41" t="str">
        <f aca="false">IF($E40="","",$E40&amp;"|"&amp;COUNTIF($E$5:$E40,$E40))</f>
        <v/>
      </c>
      <c r="K40" s="40" t="str">
        <f aca="false">IF($I40="","",LEN($I40))</f>
        <v/>
      </c>
      <c r="L40" s="13"/>
      <c r="M40" s="13"/>
      <c r="N40" s="13"/>
      <c r="O40" s="13"/>
      <c r="P40" s="152"/>
      <c r="Q40" s="149"/>
      <c r="R40" s="152"/>
      <c r="S40" s="152"/>
      <c r="T40" s="62" t="str">
        <f aca="false">IF(OR($C40="",R40=""),"",IF(R40/IF($R$2="",100,$R$2)&gt;=設定!$I$28,設定!$G$8,IF(R40/IF($R$2="",100,$R$2)&lt;設定!$I$29,設定!$G$10,設定!$G$9)))</f>
        <v/>
      </c>
      <c r="U40" s="62" t="str">
        <f aca="false">IF(OR($C40="",S40=""),"",IF(S40/IF($S$2="",100,$S$2)&gt;=設定!$I$28,設定!$G$8,IF(S40/IF($S$2="",100,$S$2)&lt;設定!$I$29,設定!$G$10,設定!$G$9)))</f>
        <v/>
      </c>
    </row>
    <row r="41" customFormat="false" ht="21" hidden="false" customHeight="true" outlineLevel="0" collapsed="false">
      <c r="A41" s="91" t="str">
        <f aca="false">IF(名簿!$D41="","",名簿!$B41&amp;"")</f>
        <v/>
      </c>
      <c r="B41" s="91" t="str">
        <f aca="false">IF(名簿!$D41="","",名簿!$C41)</f>
        <v/>
      </c>
      <c r="C41" s="59" t="str">
        <f aca="false">IF(名簿!$D41="","",名簿!$D41&amp;IF(名簿!$F41="転出","（転出）",""))</f>
        <v/>
      </c>
      <c r="D41" s="149"/>
      <c r="E41" s="61" t="str">
        <f aca="false">IF(OR($C41="",名簿!$F41="転出"),"",IF($C$2="学級ごと",$A41,IF($C$2="前の単元と同じ",単元07!$E41&amp;"",$D41&amp;"")))</f>
        <v/>
      </c>
      <c r="F41" s="150"/>
      <c r="G41" s="150"/>
      <c r="H41" s="150"/>
      <c r="I41" s="151"/>
      <c r="J41" s="41" t="str">
        <f aca="false">IF($E41="","",$E41&amp;"|"&amp;COUNTIF($E$5:$E41,$E41))</f>
        <v/>
      </c>
      <c r="K41" s="40" t="str">
        <f aca="false">IF($I41="","",LEN($I41))</f>
        <v/>
      </c>
      <c r="L41" s="13"/>
      <c r="M41" s="13"/>
      <c r="N41" s="13"/>
      <c r="O41" s="13"/>
      <c r="P41" s="152"/>
      <c r="Q41" s="149"/>
      <c r="R41" s="152"/>
      <c r="S41" s="152"/>
      <c r="T41" s="62" t="str">
        <f aca="false">IF(OR($C41="",R41=""),"",IF(R41/IF($R$2="",100,$R$2)&gt;=設定!$I$28,設定!$G$8,IF(R41/IF($R$2="",100,$R$2)&lt;設定!$I$29,設定!$G$10,設定!$G$9)))</f>
        <v/>
      </c>
      <c r="U41" s="62" t="str">
        <f aca="false">IF(OR($C41="",S41=""),"",IF(S41/IF($S$2="",100,$S$2)&gt;=設定!$I$28,設定!$G$8,IF(S41/IF($S$2="",100,$S$2)&lt;設定!$I$29,設定!$G$10,設定!$G$9)))</f>
        <v/>
      </c>
    </row>
    <row r="42" customFormat="false" ht="21" hidden="false" customHeight="true" outlineLevel="0" collapsed="false">
      <c r="A42" s="91" t="str">
        <f aca="false">IF(名簿!$D42="","",名簿!$B42&amp;"")</f>
        <v/>
      </c>
      <c r="B42" s="91" t="str">
        <f aca="false">IF(名簿!$D42="","",名簿!$C42)</f>
        <v/>
      </c>
      <c r="C42" s="59" t="str">
        <f aca="false">IF(名簿!$D42="","",名簿!$D42&amp;IF(名簿!$F42="転出","（転出）",""))</f>
        <v/>
      </c>
      <c r="D42" s="149"/>
      <c r="E42" s="61" t="str">
        <f aca="false">IF(OR($C42="",名簿!$F42="転出"),"",IF($C$2="学級ごと",$A42,IF($C$2="前の単元と同じ",単元07!$E42&amp;"",$D42&amp;"")))</f>
        <v/>
      </c>
      <c r="F42" s="150"/>
      <c r="G42" s="150"/>
      <c r="H42" s="150"/>
      <c r="I42" s="151"/>
      <c r="J42" s="41" t="str">
        <f aca="false">IF($E42="","",$E42&amp;"|"&amp;COUNTIF($E$5:$E42,$E42))</f>
        <v/>
      </c>
      <c r="K42" s="40" t="str">
        <f aca="false">IF($I42="","",LEN($I42))</f>
        <v/>
      </c>
      <c r="L42" s="13"/>
      <c r="M42" s="13"/>
      <c r="N42" s="13"/>
      <c r="O42" s="13"/>
      <c r="P42" s="152"/>
      <c r="Q42" s="149"/>
      <c r="R42" s="152"/>
      <c r="S42" s="152"/>
      <c r="T42" s="62" t="str">
        <f aca="false">IF(OR($C42="",R42=""),"",IF(R42/IF($R$2="",100,$R$2)&gt;=設定!$I$28,設定!$G$8,IF(R42/IF($R$2="",100,$R$2)&lt;設定!$I$29,設定!$G$10,設定!$G$9)))</f>
        <v/>
      </c>
      <c r="U42" s="62" t="str">
        <f aca="false">IF(OR($C42="",S42=""),"",IF(S42/IF($S$2="",100,$S$2)&gt;=設定!$I$28,設定!$G$8,IF(S42/IF($S$2="",100,$S$2)&lt;設定!$I$29,設定!$G$10,設定!$G$9)))</f>
        <v/>
      </c>
    </row>
    <row r="43" customFormat="false" ht="21" hidden="false" customHeight="true" outlineLevel="0" collapsed="false">
      <c r="A43" s="91" t="str">
        <f aca="false">IF(名簿!$D43="","",名簿!$B43&amp;"")</f>
        <v/>
      </c>
      <c r="B43" s="91" t="str">
        <f aca="false">IF(名簿!$D43="","",名簿!$C43)</f>
        <v/>
      </c>
      <c r="C43" s="59" t="str">
        <f aca="false">IF(名簿!$D43="","",名簿!$D43&amp;IF(名簿!$F43="転出","（転出）",""))</f>
        <v/>
      </c>
      <c r="D43" s="149"/>
      <c r="E43" s="61" t="str">
        <f aca="false">IF(OR($C43="",名簿!$F43="転出"),"",IF($C$2="学級ごと",$A43,IF($C$2="前の単元と同じ",単元07!$E43&amp;"",$D43&amp;"")))</f>
        <v/>
      </c>
      <c r="F43" s="150"/>
      <c r="G43" s="150"/>
      <c r="H43" s="150"/>
      <c r="I43" s="151"/>
      <c r="J43" s="41" t="str">
        <f aca="false">IF($E43="","",$E43&amp;"|"&amp;COUNTIF($E$5:$E43,$E43))</f>
        <v/>
      </c>
      <c r="K43" s="40" t="str">
        <f aca="false">IF($I43="","",LEN($I43))</f>
        <v/>
      </c>
      <c r="L43" s="13"/>
      <c r="M43" s="13"/>
      <c r="N43" s="13"/>
      <c r="O43" s="13"/>
      <c r="P43" s="152"/>
      <c r="Q43" s="149"/>
      <c r="R43" s="152"/>
      <c r="S43" s="152"/>
      <c r="T43" s="62" t="str">
        <f aca="false">IF(OR($C43="",R43=""),"",IF(R43/IF($R$2="",100,$R$2)&gt;=設定!$I$28,設定!$G$8,IF(R43/IF($R$2="",100,$R$2)&lt;設定!$I$29,設定!$G$10,設定!$G$9)))</f>
        <v/>
      </c>
      <c r="U43" s="62" t="str">
        <f aca="false">IF(OR($C43="",S43=""),"",IF(S43/IF($S$2="",100,$S$2)&gt;=設定!$I$28,設定!$G$8,IF(S43/IF($S$2="",100,$S$2)&lt;設定!$I$29,設定!$G$10,設定!$G$9)))</f>
        <v/>
      </c>
    </row>
    <row r="44" customFormat="false" ht="21" hidden="false" customHeight="true" outlineLevel="0" collapsed="false">
      <c r="A44" s="91" t="str">
        <f aca="false">IF(名簿!$D44="","",名簿!$B44&amp;"")</f>
        <v/>
      </c>
      <c r="B44" s="91" t="str">
        <f aca="false">IF(名簿!$D44="","",名簿!$C44)</f>
        <v/>
      </c>
      <c r="C44" s="59" t="str">
        <f aca="false">IF(名簿!$D44="","",名簿!$D44&amp;IF(名簿!$F44="転出","（転出）",""))</f>
        <v/>
      </c>
      <c r="D44" s="149"/>
      <c r="E44" s="61" t="str">
        <f aca="false">IF(OR($C44="",名簿!$F44="転出"),"",IF($C$2="学級ごと",$A44,IF($C$2="前の単元と同じ",単元07!$E44&amp;"",$D44&amp;"")))</f>
        <v/>
      </c>
      <c r="F44" s="150"/>
      <c r="G44" s="150"/>
      <c r="H44" s="150"/>
      <c r="I44" s="151"/>
      <c r="J44" s="41" t="str">
        <f aca="false">IF($E44="","",$E44&amp;"|"&amp;COUNTIF($E$5:$E44,$E44))</f>
        <v/>
      </c>
      <c r="K44" s="40" t="str">
        <f aca="false">IF($I44="","",LEN($I44))</f>
        <v/>
      </c>
      <c r="L44" s="13"/>
      <c r="M44" s="13"/>
      <c r="N44" s="13"/>
      <c r="O44" s="13"/>
      <c r="P44" s="152"/>
      <c r="Q44" s="149"/>
      <c r="R44" s="152"/>
      <c r="S44" s="152"/>
      <c r="T44" s="62" t="str">
        <f aca="false">IF(OR($C44="",R44=""),"",IF(R44/IF($R$2="",100,$R$2)&gt;=設定!$I$28,設定!$G$8,IF(R44/IF($R$2="",100,$R$2)&lt;設定!$I$29,設定!$G$10,設定!$G$9)))</f>
        <v/>
      </c>
      <c r="U44" s="62" t="str">
        <f aca="false">IF(OR($C44="",S44=""),"",IF(S44/IF($S$2="",100,$S$2)&gt;=設定!$I$28,設定!$G$8,IF(S44/IF($S$2="",100,$S$2)&lt;設定!$I$29,設定!$G$10,設定!$G$9)))</f>
        <v/>
      </c>
    </row>
    <row r="45" customFormat="false" ht="21" hidden="false" customHeight="true" outlineLevel="0" collapsed="false">
      <c r="A45" s="91" t="str">
        <f aca="false">IF(名簿!$D45="","",名簿!$B45&amp;"")</f>
        <v/>
      </c>
      <c r="B45" s="91" t="str">
        <f aca="false">IF(名簿!$D45="","",名簿!$C45)</f>
        <v/>
      </c>
      <c r="C45" s="59" t="str">
        <f aca="false">IF(名簿!$D45="","",名簿!$D45&amp;IF(名簿!$F45="転出","（転出）",""))</f>
        <v/>
      </c>
      <c r="D45" s="149"/>
      <c r="E45" s="61" t="str">
        <f aca="false">IF(OR($C45="",名簿!$F45="転出"),"",IF($C$2="学級ごと",$A45,IF($C$2="前の単元と同じ",単元07!$E45&amp;"",$D45&amp;"")))</f>
        <v/>
      </c>
      <c r="F45" s="150"/>
      <c r="G45" s="150"/>
      <c r="H45" s="150"/>
      <c r="I45" s="151"/>
      <c r="J45" s="41" t="str">
        <f aca="false">IF($E45="","",$E45&amp;"|"&amp;COUNTIF($E$5:$E45,$E45))</f>
        <v/>
      </c>
      <c r="K45" s="40" t="str">
        <f aca="false">IF($I45="","",LEN($I45))</f>
        <v/>
      </c>
      <c r="L45" s="13"/>
      <c r="M45" s="13"/>
      <c r="N45" s="13"/>
      <c r="O45" s="13"/>
      <c r="P45" s="152"/>
      <c r="Q45" s="149"/>
      <c r="R45" s="152"/>
      <c r="S45" s="152"/>
      <c r="T45" s="62" t="str">
        <f aca="false">IF(OR($C45="",R45=""),"",IF(R45/IF($R$2="",100,$R$2)&gt;=設定!$I$28,設定!$G$8,IF(R45/IF($R$2="",100,$R$2)&lt;設定!$I$29,設定!$G$10,設定!$G$9)))</f>
        <v/>
      </c>
      <c r="U45" s="62" t="str">
        <f aca="false">IF(OR($C45="",S45=""),"",IF(S45/IF($S$2="",100,$S$2)&gt;=設定!$I$28,設定!$G$8,IF(S45/IF($S$2="",100,$S$2)&lt;設定!$I$29,設定!$G$10,設定!$G$9)))</f>
        <v/>
      </c>
    </row>
    <row r="46" customFormat="false" ht="21" hidden="false" customHeight="true" outlineLevel="0" collapsed="false">
      <c r="A46" s="91" t="str">
        <f aca="false">IF(名簿!$D46="","",名簿!$B46&amp;"")</f>
        <v/>
      </c>
      <c r="B46" s="91" t="str">
        <f aca="false">IF(名簿!$D46="","",名簿!$C46)</f>
        <v/>
      </c>
      <c r="C46" s="59" t="str">
        <f aca="false">IF(名簿!$D46="","",名簿!$D46&amp;IF(名簿!$F46="転出","（転出）",""))</f>
        <v/>
      </c>
      <c r="D46" s="149"/>
      <c r="E46" s="61" t="str">
        <f aca="false">IF(OR($C46="",名簿!$F46="転出"),"",IF($C$2="学級ごと",$A46,IF($C$2="前の単元と同じ",単元07!$E46&amp;"",$D46&amp;"")))</f>
        <v/>
      </c>
      <c r="F46" s="150"/>
      <c r="G46" s="150"/>
      <c r="H46" s="150"/>
      <c r="I46" s="151"/>
      <c r="J46" s="41" t="str">
        <f aca="false">IF($E46="","",$E46&amp;"|"&amp;COUNTIF($E$5:$E46,$E46))</f>
        <v/>
      </c>
      <c r="K46" s="40" t="str">
        <f aca="false">IF($I46="","",LEN($I46))</f>
        <v/>
      </c>
      <c r="L46" s="13"/>
      <c r="M46" s="13"/>
      <c r="N46" s="13"/>
      <c r="O46" s="13"/>
      <c r="P46" s="152"/>
      <c r="Q46" s="149"/>
      <c r="R46" s="152"/>
      <c r="S46" s="152"/>
      <c r="T46" s="62" t="str">
        <f aca="false">IF(OR($C46="",R46=""),"",IF(R46/IF($R$2="",100,$R$2)&gt;=設定!$I$28,設定!$G$8,IF(R46/IF($R$2="",100,$R$2)&lt;設定!$I$29,設定!$G$10,設定!$G$9)))</f>
        <v/>
      </c>
      <c r="U46" s="62" t="str">
        <f aca="false">IF(OR($C46="",S46=""),"",IF(S46/IF($S$2="",100,$S$2)&gt;=設定!$I$28,設定!$G$8,IF(S46/IF($S$2="",100,$S$2)&lt;設定!$I$29,設定!$G$10,設定!$G$9)))</f>
        <v/>
      </c>
    </row>
    <row r="47" customFormat="false" ht="21" hidden="false" customHeight="true" outlineLevel="0" collapsed="false">
      <c r="A47" s="91" t="str">
        <f aca="false">IF(名簿!$D47="","",名簿!$B47&amp;"")</f>
        <v/>
      </c>
      <c r="B47" s="91" t="str">
        <f aca="false">IF(名簿!$D47="","",名簿!$C47)</f>
        <v/>
      </c>
      <c r="C47" s="59" t="str">
        <f aca="false">IF(名簿!$D47="","",名簿!$D47&amp;IF(名簿!$F47="転出","（転出）",""))</f>
        <v/>
      </c>
      <c r="D47" s="149"/>
      <c r="E47" s="61" t="str">
        <f aca="false">IF(OR($C47="",名簿!$F47="転出"),"",IF($C$2="学級ごと",$A47,IF($C$2="前の単元と同じ",単元07!$E47&amp;"",$D47&amp;"")))</f>
        <v/>
      </c>
      <c r="F47" s="150"/>
      <c r="G47" s="150"/>
      <c r="H47" s="150"/>
      <c r="I47" s="151"/>
      <c r="J47" s="41" t="str">
        <f aca="false">IF($E47="","",$E47&amp;"|"&amp;COUNTIF($E$5:$E47,$E47))</f>
        <v/>
      </c>
      <c r="K47" s="40" t="str">
        <f aca="false">IF($I47="","",LEN($I47))</f>
        <v/>
      </c>
      <c r="L47" s="13"/>
      <c r="M47" s="13"/>
      <c r="N47" s="13"/>
      <c r="O47" s="13"/>
      <c r="P47" s="152"/>
      <c r="Q47" s="149"/>
      <c r="R47" s="152"/>
      <c r="S47" s="152"/>
      <c r="T47" s="62" t="str">
        <f aca="false">IF(OR($C47="",R47=""),"",IF(R47/IF($R$2="",100,$R$2)&gt;=設定!$I$28,設定!$G$8,IF(R47/IF($R$2="",100,$R$2)&lt;設定!$I$29,設定!$G$10,設定!$G$9)))</f>
        <v/>
      </c>
      <c r="U47" s="62" t="str">
        <f aca="false">IF(OR($C47="",S47=""),"",IF(S47/IF($S$2="",100,$S$2)&gt;=設定!$I$28,設定!$G$8,IF(S47/IF($S$2="",100,$S$2)&lt;設定!$I$29,設定!$G$10,設定!$G$9)))</f>
        <v/>
      </c>
    </row>
    <row r="48" customFormat="false" ht="21" hidden="false" customHeight="true" outlineLevel="0" collapsed="false">
      <c r="A48" s="91" t="str">
        <f aca="false">IF(名簿!$D48="","",名簿!$B48&amp;"")</f>
        <v/>
      </c>
      <c r="B48" s="91" t="str">
        <f aca="false">IF(名簿!$D48="","",名簿!$C48)</f>
        <v/>
      </c>
      <c r="C48" s="59" t="str">
        <f aca="false">IF(名簿!$D48="","",名簿!$D48&amp;IF(名簿!$F48="転出","（転出）",""))</f>
        <v/>
      </c>
      <c r="D48" s="149"/>
      <c r="E48" s="61" t="str">
        <f aca="false">IF(OR($C48="",名簿!$F48="転出"),"",IF($C$2="学級ごと",$A48,IF($C$2="前の単元と同じ",単元07!$E48&amp;"",$D48&amp;"")))</f>
        <v/>
      </c>
      <c r="F48" s="150"/>
      <c r="G48" s="150"/>
      <c r="H48" s="150"/>
      <c r="I48" s="151"/>
      <c r="J48" s="41" t="str">
        <f aca="false">IF($E48="","",$E48&amp;"|"&amp;COUNTIF($E$5:$E48,$E48))</f>
        <v/>
      </c>
      <c r="K48" s="40" t="str">
        <f aca="false">IF($I48="","",LEN($I48))</f>
        <v/>
      </c>
      <c r="L48" s="13"/>
      <c r="M48" s="13"/>
      <c r="N48" s="13"/>
      <c r="O48" s="13"/>
      <c r="P48" s="152"/>
      <c r="Q48" s="149"/>
      <c r="R48" s="152"/>
      <c r="S48" s="152"/>
      <c r="T48" s="62" t="str">
        <f aca="false">IF(OR($C48="",R48=""),"",IF(R48/IF($R$2="",100,$R$2)&gt;=設定!$I$28,設定!$G$8,IF(R48/IF($R$2="",100,$R$2)&lt;設定!$I$29,設定!$G$10,設定!$G$9)))</f>
        <v/>
      </c>
      <c r="U48" s="62" t="str">
        <f aca="false">IF(OR($C48="",S48=""),"",IF(S48/IF($S$2="",100,$S$2)&gt;=設定!$I$28,設定!$G$8,IF(S48/IF($S$2="",100,$S$2)&lt;設定!$I$29,設定!$G$10,設定!$G$9)))</f>
        <v/>
      </c>
    </row>
    <row r="49" customFormat="false" ht="21" hidden="false" customHeight="true" outlineLevel="0" collapsed="false">
      <c r="A49" s="91" t="str">
        <f aca="false">IF(名簿!$D49="","",名簿!$B49&amp;"")</f>
        <v/>
      </c>
      <c r="B49" s="91" t="str">
        <f aca="false">IF(名簿!$D49="","",名簿!$C49)</f>
        <v/>
      </c>
      <c r="C49" s="59" t="str">
        <f aca="false">IF(名簿!$D49="","",名簿!$D49&amp;IF(名簿!$F49="転出","（転出）",""))</f>
        <v/>
      </c>
      <c r="D49" s="149"/>
      <c r="E49" s="61" t="str">
        <f aca="false">IF(OR($C49="",名簿!$F49="転出"),"",IF($C$2="学級ごと",$A49,IF($C$2="前の単元と同じ",単元07!$E49&amp;"",$D49&amp;"")))</f>
        <v/>
      </c>
      <c r="F49" s="150"/>
      <c r="G49" s="150"/>
      <c r="H49" s="150"/>
      <c r="I49" s="151"/>
      <c r="J49" s="41" t="str">
        <f aca="false">IF($E49="","",$E49&amp;"|"&amp;COUNTIF($E$5:$E49,$E49))</f>
        <v/>
      </c>
      <c r="K49" s="40" t="str">
        <f aca="false">IF($I49="","",LEN($I49))</f>
        <v/>
      </c>
      <c r="L49" s="13"/>
      <c r="M49" s="13"/>
      <c r="N49" s="13"/>
      <c r="O49" s="13"/>
      <c r="P49" s="152"/>
      <c r="Q49" s="149"/>
      <c r="R49" s="152"/>
      <c r="S49" s="152"/>
      <c r="T49" s="62" t="str">
        <f aca="false">IF(OR($C49="",R49=""),"",IF(R49/IF($R$2="",100,$R$2)&gt;=設定!$I$28,設定!$G$8,IF(R49/IF($R$2="",100,$R$2)&lt;設定!$I$29,設定!$G$10,設定!$G$9)))</f>
        <v/>
      </c>
      <c r="U49" s="62" t="str">
        <f aca="false">IF(OR($C49="",S49=""),"",IF(S49/IF($S$2="",100,$S$2)&gt;=設定!$I$28,設定!$G$8,IF(S49/IF($S$2="",100,$S$2)&lt;設定!$I$29,設定!$G$10,設定!$G$9)))</f>
        <v/>
      </c>
    </row>
    <row r="50" customFormat="false" ht="21" hidden="false" customHeight="true" outlineLevel="0" collapsed="false">
      <c r="A50" s="91" t="str">
        <f aca="false">IF(名簿!$D50="","",名簿!$B50&amp;"")</f>
        <v/>
      </c>
      <c r="B50" s="91" t="str">
        <f aca="false">IF(名簿!$D50="","",名簿!$C50)</f>
        <v/>
      </c>
      <c r="C50" s="59" t="str">
        <f aca="false">IF(名簿!$D50="","",名簿!$D50&amp;IF(名簿!$F50="転出","（転出）",""))</f>
        <v/>
      </c>
      <c r="D50" s="149"/>
      <c r="E50" s="61" t="str">
        <f aca="false">IF(OR($C50="",名簿!$F50="転出"),"",IF($C$2="学級ごと",$A50,IF($C$2="前の単元と同じ",単元07!$E50&amp;"",$D50&amp;"")))</f>
        <v/>
      </c>
      <c r="F50" s="150"/>
      <c r="G50" s="150"/>
      <c r="H50" s="150"/>
      <c r="I50" s="151"/>
      <c r="J50" s="41" t="str">
        <f aca="false">IF($E50="","",$E50&amp;"|"&amp;COUNTIF($E$5:$E50,$E50))</f>
        <v/>
      </c>
      <c r="K50" s="40" t="str">
        <f aca="false">IF($I50="","",LEN($I50))</f>
        <v/>
      </c>
      <c r="L50" s="13"/>
      <c r="M50" s="13"/>
      <c r="N50" s="13"/>
      <c r="O50" s="13"/>
      <c r="P50" s="152"/>
      <c r="Q50" s="149"/>
      <c r="R50" s="152"/>
      <c r="S50" s="152"/>
      <c r="T50" s="62" t="str">
        <f aca="false">IF(OR($C50="",R50=""),"",IF(R50/IF($R$2="",100,$R$2)&gt;=設定!$I$28,設定!$G$8,IF(R50/IF($R$2="",100,$R$2)&lt;設定!$I$29,設定!$G$10,設定!$G$9)))</f>
        <v/>
      </c>
      <c r="U50" s="62" t="str">
        <f aca="false">IF(OR($C50="",S50=""),"",IF(S50/IF($S$2="",100,$S$2)&gt;=設定!$I$28,設定!$G$8,IF(S50/IF($S$2="",100,$S$2)&lt;設定!$I$29,設定!$G$10,設定!$G$9)))</f>
        <v/>
      </c>
    </row>
    <row r="51" customFormat="false" ht="21" hidden="false" customHeight="true" outlineLevel="0" collapsed="false">
      <c r="A51" s="91" t="str">
        <f aca="false">IF(名簿!$D51="","",名簿!$B51&amp;"")</f>
        <v/>
      </c>
      <c r="B51" s="91" t="str">
        <f aca="false">IF(名簿!$D51="","",名簿!$C51)</f>
        <v/>
      </c>
      <c r="C51" s="59" t="str">
        <f aca="false">IF(名簿!$D51="","",名簿!$D51&amp;IF(名簿!$F51="転出","（転出）",""))</f>
        <v/>
      </c>
      <c r="D51" s="149"/>
      <c r="E51" s="61" t="str">
        <f aca="false">IF(OR($C51="",名簿!$F51="転出"),"",IF($C$2="学級ごと",$A51,IF($C$2="前の単元と同じ",単元07!$E51&amp;"",$D51&amp;"")))</f>
        <v/>
      </c>
      <c r="F51" s="150"/>
      <c r="G51" s="150"/>
      <c r="H51" s="150"/>
      <c r="I51" s="151"/>
      <c r="J51" s="41" t="str">
        <f aca="false">IF($E51="","",$E51&amp;"|"&amp;COUNTIF($E$5:$E51,$E51))</f>
        <v/>
      </c>
      <c r="K51" s="40" t="str">
        <f aca="false">IF($I51="","",LEN($I51))</f>
        <v/>
      </c>
      <c r="L51" s="13"/>
      <c r="M51" s="13"/>
      <c r="N51" s="13"/>
      <c r="O51" s="13"/>
      <c r="P51" s="152"/>
      <c r="Q51" s="149"/>
      <c r="R51" s="152"/>
      <c r="S51" s="152"/>
      <c r="T51" s="62" t="str">
        <f aca="false">IF(OR($C51="",R51=""),"",IF(R51/IF($R$2="",100,$R$2)&gt;=設定!$I$28,設定!$G$8,IF(R51/IF($R$2="",100,$R$2)&lt;設定!$I$29,設定!$G$10,設定!$G$9)))</f>
        <v/>
      </c>
      <c r="U51" s="62" t="str">
        <f aca="false">IF(OR($C51="",S51=""),"",IF(S51/IF($S$2="",100,$S$2)&gt;=設定!$I$28,設定!$G$8,IF(S51/IF($S$2="",100,$S$2)&lt;設定!$I$29,設定!$G$10,設定!$G$9)))</f>
        <v/>
      </c>
    </row>
    <row r="52" customFormat="false" ht="21" hidden="false" customHeight="true" outlineLevel="0" collapsed="false">
      <c r="A52" s="91" t="str">
        <f aca="false">IF(名簿!$D52="","",名簿!$B52&amp;"")</f>
        <v/>
      </c>
      <c r="B52" s="91" t="str">
        <f aca="false">IF(名簿!$D52="","",名簿!$C52)</f>
        <v/>
      </c>
      <c r="C52" s="59" t="str">
        <f aca="false">IF(名簿!$D52="","",名簿!$D52&amp;IF(名簿!$F52="転出","（転出）",""))</f>
        <v/>
      </c>
      <c r="D52" s="149"/>
      <c r="E52" s="61" t="str">
        <f aca="false">IF(OR($C52="",名簿!$F52="転出"),"",IF($C$2="学級ごと",$A52,IF($C$2="前の単元と同じ",単元07!$E52&amp;"",$D52&amp;"")))</f>
        <v/>
      </c>
      <c r="F52" s="150"/>
      <c r="G52" s="150"/>
      <c r="H52" s="150"/>
      <c r="I52" s="151"/>
      <c r="J52" s="41" t="str">
        <f aca="false">IF($E52="","",$E52&amp;"|"&amp;COUNTIF($E$5:$E52,$E52))</f>
        <v/>
      </c>
      <c r="K52" s="40" t="str">
        <f aca="false">IF($I52="","",LEN($I52))</f>
        <v/>
      </c>
      <c r="L52" s="13"/>
      <c r="M52" s="13"/>
      <c r="N52" s="13"/>
      <c r="O52" s="13"/>
      <c r="P52" s="152"/>
      <c r="Q52" s="149"/>
      <c r="R52" s="152"/>
      <c r="S52" s="152"/>
      <c r="T52" s="62" t="str">
        <f aca="false">IF(OR($C52="",R52=""),"",IF(R52/IF($R$2="",100,$R$2)&gt;=設定!$I$28,設定!$G$8,IF(R52/IF($R$2="",100,$R$2)&lt;設定!$I$29,設定!$G$10,設定!$G$9)))</f>
        <v/>
      </c>
      <c r="U52" s="62" t="str">
        <f aca="false">IF(OR($C52="",S52=""),"",IF(S52/IF($S$2="",100,$S$2)&gt;=設定!$I$28,設定!$G$8,IF(S52/IF($S$2="",100,$S$2)&lt;設定!$I$29,設定!$G$10,設定!$G$9)))</f>
        <v/>
      </c>
    </row>
    <row r="53" customFormat="false" ht="21" hidden="false" customHeight="true" outlineLevel="0" collapsed="false">
      <c r="A53" s="91" t="str">
        <f aca="false">IF(名簿!$D53="","",名簿!$B53&amp;"")</f>
        <v/>
      </c>
      <c r="B53" s="91" t="str">
        <f aca="false">IF(名簿!$D53="","",名簿!$C53)</f>
        <v/>
      </c>
      <c r="C53" s="59" t="str">
        <f aca="false">IF(名簿!$D53="","",名簿!$D53&amp;IF(名簿!$F53="転出","（転出）",""))</f>
        <v/>
      </c>
      <c r="D53" s="149"/>
      <c r="E53" s="61" t="str">
        <f aca="false">IF(OR($C53="",名簿!$F53="転出"),"",IF($C$2="学級ごと",$A53,IF($C$2="前の単元と同じ",単元07!$E53&amp;"",$D53&amp;"")))</f>
        <v/>
      </c>
      <c r="F53" s="150"/>
      <c r="G53" s="150"/>
      <c r="H53" s="150"/>
      <c r="I53" s="151"/>
      <c r="J53" s="41" t="str">
        <f aca="false">IF($E53="","",$E53&amp;"|"&amp;COUNTIF($E$5:$E53,$E53))</f>
        <v/>
      </c>
      <c r="K53" s="40" t="str">
        <f aca="false">IF($I53="","",LEN($I53))</f>
        <v/>
      </c>
      <c r="L53" s="13"/>
      <c r="M53" s="13"/>
      <c r="N53" s="13"/>
      <c r="O53" s="13"/>
      <c r="P53" s="152"/>
      <c r="Q53" s="149"/>
      <c r="R53" s="152"/>
      <c r="S53" s="152"/>
      <c r="T53" s="62" t="str">
        <f aca="false">IF(OR($C53="",R53=""),"",IF(R53/IF($R$2="",100,$R$2)&gt;=設定!$I$28,設定!$G$8,IF(R53/IF($R$2="",100,$R$2)&lt;設定!$I$29,設定!$G$10,設定!$G$9)))</f>
        <v/>
      </c>
      <c r="U53" s="62" t="str">
        <f aca="false">IF(OR($C53="",S53=""),"",IF(S53/IF($S$2="",100,$S$2)&gt;=設定!$I$28,設定!$G$8,IF(S53/IF($S$2="",100,$S$2)&lt;設定!$I$29,設定!$G$10,設定!$G$9)))</f>
        <v/>
      </c>
    </row>
    <row r="54" customFormat="false" ht="21" hidden="false" customHeight="true" outlineLevel="0" collapsed="false">
      <c r="A54" s="91" t="str">
        <f aca="false">IF(名簿!$D54="","",名簿!$B54&amp;"")</f>
        <v/>
      </c>
      <c r="B54" s="91" t="str">
        <f aca="false">IF(名簿!$D54="","",名簿!$C54)</f>
        <v/>
      </c>
      <c r="C54" s="59" t="str">
        <f aca="false">IF(名簿!$D54="","",名簿!$D54&amp;IF(名簿!$F54="転出","（転出）",""))</f>
        <v/>
      </c>
      <c r="D54" s="149"/>
      <c r="E54" s="61" t="str">
        <f aca="false">IF(OR($C54="",名簿!$F54="転出"),"",IF($C$2="学級ごと",$A54,IF($C$2="前の単元と同じ",単元07!$E54&amp;"",$D54&amp;"")))</f>
        <v/>
      </c>
      <c r="F54" s="150"/>
      <c r="G54" s="150"/>
      <c r="H54" s="150"/>
      <c r="I54" s="151"/>
      <c r="J54" s="41" t="str">
        <f aca="false">IF($E54="","",$E54&amp;"|"&amp;COUNTIF($E$5:$E54,$E54))</f>
        <v/>
      </c>
      <c r="K54" s="40" t="str">
        <f aca="false">IF($I54="","",LEN($I54))</f>
        <v/>
      </c>
      <c r="L54" s="13"/>
      <c r="M54" s="13"/>
      <c r="N54" s="13"/>
      <c r="O54" s="13"/>
      <c r="P54" s="152"/>
      <c r="Q54" s="149"/>
      <c r="R54" s="152"/>
      <c r="S54" s="152"/>
      <c r="T54" s="62" t="str">
        <f aca="false">IF(OR($C54="",R54=""),"",IF(R54/IF($R$2="",100,$R$2)&gt;=設定!$I$28,設定!$G$8,IF(R54/IF($R$2="",100,$R$2)&lt;設定!$I$29,設定!$G$10,設定!$G$9)))</f>
        <v/>
      </c>
      <c r="U54" s="62" t="str">
        <f aca="false">IF(OR($C54="",S54=""),"",IF(S54/IF($S$2="",100,$S$2)&gt;=設定!$I$28,設定!$G$8,IF(S54/IF($S$2="",100,$S$2)&lt;設定!$I$29,設定!$G$10,設定!$G$9)))</f>
        <v/>
      </c>
    </row>
    <row r="55" customFormat="false" ht="21" hidden="false" customHeight="true" outlineLevel="0" collapsed="false">
      <c r="A55" s="91" t="str">
        <f aca="false">IF(名簿!$D55="","",名簿!$B55&amp;"")</f>
        <v/>
      </c>
      <c r="B55" s="91" t="str">
        <f aca="false">IF(名簿!$D55="","",名簿!$C55)</f>
        <v/>
      </c>
      <c r="C55" s="59" t="str">
        <f aca="false">IF(名簿!$D55="","",名簿!$D55&amp;IF(名簿!$F55="転出","（転出）",""))</f>
        <v/>
      </c>
      <c r="D55" s="149"/>
      <c r="E55" s="61" t="str">
        <f aca="false">IF(OR($C55="",名簿!$F55="転出"),"",IF($C$2="学級ごと",$A55,IF($C$2="前の単元と同じ",単元07!$E55&amp;"",$D55&amp;"")))</f>
        <v/>
      </c>
      <c r="F55" s="150"/>
      <c r="G55" s="150"/>
      <c r="H55" s="150"/>
      <c r="I55" s="151"/>
      <c r="J55" s="41" t="str">
        <f aca="false">IF($E55="","",$E55&amp;"|"&amp;COUNTIF($E$5:$E55,$E55))</f>
        <v/>
      </c>
      <c r="K55" s="40" t="str">
        <f aca="false">IF($I55="","",LEN($I55))</f>
        <v/>
      </c>
      <c r="L55" s="13"/>
      <c r="M55" s="13"/>
      <c r="N55" s="13"/>
      <c r="O55" s="13"/>
      <c r="P55" s="152"/>
      <c r="Q55" s="149"/>
      <c r="R55" s="152"/>
      <c r="S55" s="152"/>
      <c r="T55" s="62" t="str">
        <f aca="false">IF(OR($C55="",R55=""),"",IF(R55/IF($R$2="",100,$R$2)&gt;=設定!$I$28,設定!$G$8,IF(R55/IF($R$2="",100,$R$2)&lt;設定!$I$29,設定!$G$10,設定!$G$9)))</f>
        <v/>
      </c>
      <c r="U55" s="62" t="str">
        <f aca="false">IF(OR($C55="",S55=""),"",IF(S55/IF($S$2="",100,$S$2)&gt;=設定!$I$28,設定!$G$8,IF(S55/IF($S$2="",100,$S$2)&lt;設定!$I$29,設定!$G$10,設定!$G$9)))</f>
        <v/>
      </c>
    </row>
    <row r="56" customFormat="false" ht="21" hidden="false" customHeight="true" outlineLevel="0" collapsed="false">
      <c r="A56" s="91" t="str">
        <f aca="false">IF(名簿!$D56="","",名簿!$B56&amp;"")</f>
        <v/>
      </c>
      <c r="B56" s="91" t="str">
        <f aca="false">IF(名簿!$D56="","",名簿!$C56)</f>
        <v/>
      </c>
      <c r="C56" s="59" t="str">
        <f aca="false">IF(名簿!$D56="","",名簿!$D56&amp;IF(名簿!$F56="転出","（転出）",""))</f>
        <v/>
      </c>
      <c r="D56" s="149"/>
      <c r="E56" s="61" t="str">
        <f aca="false">IF(OR($C56="",名簿!$F56="転出"),"",IF($C$2="学級ごと",$A56,IF($C$2="前の単元と同じ",単元07!$E56&amp;"",$D56&amp;"")))</f>
        <v/>
      </c>
      <c r="F56" s="150"/>
      <c r="G56" s="150"/>
      <c r="H56" s="150"/>
      <c r="I56" s="151"/>
      <c r="J56" s="41" t="str">
        <f aca="false">IF($E56="","",$E56&amp;"|"&amp;COUNTIF($E$5:$E56,$E56))</f>
        <v/>
      </c>
      <c r="K56" s="40" t="str">
        <f aca="false">IF($I56="","",LEN($I56))</f>
        <v/>
      </c>
      <c r="L56" s="13"/>
      <c r="M56" s="13"/>
      <c r="N56" s="13"/>
      <c r="O56" s="13"/>
      <c r="P56" s="152"/>
      <c r="Q56" s="149"/>
      <c r="R56" s="152"/>
      <c r="S56" s="152"/>
      <c r="T56" s="62" t="str">
        <f aca="false">IF(OR($C56="",R56=""),"",IF(R56/IF($R$2="",100,$R$2)&gt;=設定!$I$28,設定!$G$8,IF(R56/IF($R$2="",100,$R$2)&lt;設定!$I$29,設定!$G$10,設定!$G$9)))</f>
        <v/>
      </c>
      <c r="U56" s="62" t="str">
        <f aca="false">IF(OR($C56="",S56=""),"",IF(S56/IF($S$2="",100,$S$2)&gt;=設定!$I$28,設定!$G$8,IF(S56/IF($S$2="",100,$S$2)&lt;設定!$I$29,設定!$G$10,設定!$G$9)))</f>
        <v/>
      </c>
    </row>
    <row r="57" customFormat="false" ht="21" hidden="false" customHeight="true" outlineLevel="0" collapsed="false">
      <c r="A57" s="91" t="str">
        <f aca="false">IF(名簿!$D57="","",名簿!$B57&amp;"")</f>
        <v/>
      </c>
      <c r="B57" s="91" t="str">
        <f aca="false">IF(名簿!$D57="","",名簿!$C57)</f>
        <v/>
      </c>
      <c r="C57" s="59" t="str">
        <f aca="false">IF(名簿!$D57="","",名簿!$D57&amp;IF(名簿!$F57="転出","（転出）",""))</f>
        <v/>
      </c>
      <c r="D57" s="149"/>
      <c r="E57" s="61" t="str">
        <f aca="false">IF(OR($C57="",名簿!$F57="転出"),"",IF($C$2="学級ごと",$A57,IF($C$2="前の単元と同じ",単元07!$E57&amp;"",$D57&amp;"")))</f>
        <v/>
      </c>
      <c r="F57" s="150"/>
      <c r="G57" s="150"/>
      <c r="H57" s="150"/>
      <c r="I57" s="151"/>
      <c r="J57" s="41" t="str">
        <f aca="false">IF($E57="","",$E57&amp;"|"&amp;COUNTIF($E$5:$E57,$E57))</f>
        <v/>
      </c>
      <c r="K57" s="40" t="str">
        <f aca="false">IF($I57="","",LEN($I57))</f>
        <v/>
      </c>
      <c r="L57" s="13"/>
      <c r="M57" s="13"/>
      <c r="N57" s="13"/>
      <c r="O57" s="13"/>
      <c r="P57" s="152"/>
      <c r="Q57" s="149"/>
      <c r="R57" s="152"/>
      <c r="S57" s="152"/>
      <c r="T57" s="62" t="str">
        <f aca="false">IF(OR($C57="",R57=""),"",IF(R57/IF($R$2="",100,$R$2)&gt;=設定!$I$28,設定!$G$8,IF(R57/IF($R$2="",100,$R$2)&lt;設定!$I$29,設定!$G$10,設定!$G$9)))</f>
        <v/>
      </c>
      <c r="U57" s="62" t="str">
        <f aca="false">IF(OR($C57="",S57=""),"",IF(S57/IF($S$2="",100,$S$2)&gt;=設定!$I$28,設定!$G$8,IF(S57/IF($S$2="",100,$S$2)&lt;設定!$I$29,設定!$G$10,設定!$G$9)))</f>
        <v/>
      </c>
    </row>
    <row r="58" customFormat="false" ht="21" hidden="false" customHeight="true" outlineLevel="0" collapsed="false">
      <c r="A58" s="91" t="str">
        <f aca="false">IF(名簿!$D58="","",名簿!$B58&amp;"")</f>
        <v/>
      </c>
      <c r="B58" s="91" t="str">
        <f aca="false">IF(名簿!$D58="","",名簿!$C58)</f>
        <v/>
      </c>
      <c r="C58" s="59" t="str">
        <f aca="false">IF(名簿!$D58="","",名簿!$D58&amp;IF(名簿!$F58="転出","（転出）",""))</f>
        <v/>
      </c>
      <c r="D58" s="149"/>
      <c r="E58" s="61" t="str">
        <f aca="false">IF(OR($C58="",名簿!$F58="転出"),"",IF($C$2="学級ごと",$A58,IF($C$2="前の単元と同じ",単元07!$E58&amp;"",$D58&amp;"")))</f>
        <v/>
      </c>
      <c r="F58" s="150"/>
      <c r="G58" s="150"/>
      <c r="H58" s="150"/>
      <c r="I58" s="151"/>
      <c r="J58" s="41" t="str">
        <f aca="false">IF($E58="","",$E58&amp;"|"&amp;COUNTIF($E$5:$E58,$E58))</f>
        <v/>
      </c>
      <c r="K58" s="40" t="str">
        <f aca="false">IF($I58="","",LEN($I58))</f>
        <v/>
      </c>
      <c r="L58" s="13"/>
      <c r="M58" s="13"/>
      <c r="N58" s="13"/>
      <c r="O58" s="13"/>
      <c r="P58" s="152"/>
      <c r="Q58" s="149"/>
      <c r="R58" s="152"/>
      <c r="S58" s="152"/>
      <c r="T58" s="62" t="str">
        <f aca="false">IF(OR($C58="",R58=""),"",IF(R58/IF($R$2="",100,$R$2)&gt;=設定!$I$28,設定!$G$8,IF(R58/IF($R$2="",100,$R$2)&lt;設定!$I$29,設定!$G$10,設定!$G$9)))</f>
        <v/>
      </c>
      <c r="U58" s="62" t="str">
        <f aca="false">IF(OR($C58="",S58=""),"",IF(S58/IF($S$2="",100,$S$2)&gt;=設定!$I$28,設定!$G$8,IF(S58/IF($S$2="",100,$S$2)&lt;設定!$I$29,設定!$G$10,設定!$G$9)))</f>
        <v/>
      </c>
    </row>
    <row r="59" customFormat="false" ht="21" hidden="false" customHeight="true" outlineLevel="0" collapsed="false">
      <c r="A59" s="91" t="str">
        <f aca="false">IF(名簿!$D59="","",名簿!$B59&amp;"")</f>
        <v/>
      </c>
      <c r="B59" s="91" t="str">
        <f aca="false">IF(名簿!$D59="","",名簿!$C59)</f>
        <v/>
      </c>
      <c r="C59" s="59" t="str">
        <f aca="false">IF(名簿!$D59="","",名簿!$D59&amp;IF(名簿!$F59="転出","（転出）",""))</f>
        <v/>
      </c>
      <c r="D59" s="149"/>
      <c r="E59" s="61" t="str">
        <f aca="false">IF(OR($C59="",名簿!$F59="転出"),"",IF($C$2="学級ごと",$A59,IF($C$2="前の単元と同じ",単元07!$E59&amp;"",$D59&amp;"")))</f>
        <v/>
      </c>
      <c r="F59" s="150"/>
      <c r="G59" s="150"/>
      <c r="H59" s="150"/>
      <c r="I59" s="151"/>
      <c r="J59" s="41" t="str">
        <f aca="false">IF($E59="","",$E59&amp;"|"&amp;COUNTIF($E$5:$E59,$E59))</f>
        <v/>
      </c>
      <c r="K59" s="40" t="str">
        <f aca="false">IF($I59="","",LEN($I59))</f>
        <v/>
      </c>
      <c r="L59" s="13"/>
      <c r="M59" s="13"/>
      <c r="N59" s="13"/>
      <c r="O59" s="13"/>
      <c r="P59" s="152"/>
      <c r="Q59" s="149"/>
      <c r="R59" s="152"/>
      <c r="S59" s="152"/>
      <c r="T59" s="62" t="str">
        <f aca="false">IF(OR($C59="",R59=""),"",IF(R59/IF($R$2="",100,$R$2)&gt;=設定!$I$28,設定!$G$8,IF(R59/IF($R$2="",100,$R$2)&lt;設定!$I$29,設定!$G$10,設定!$G$9)))</f>
        <v/>
      </c>
      <c r="U59" s="62" t="str">
        <f aca="false">IF(OR($C59="",S59=""),"",IF(S59/IF($S$2="",100,$S$2)&gt;=設定!$I$28,設定!$G$8,IF(S59/IF($S$2="",100,$S$2)&lt;設定!$I$29,設定!$G$10,設定!$G$9)))</f>
        <v/>
      </c>
    </row>
    <row r="60" customFormat="false" ht="21" hidden="false" customHeight="true" outlineLevel="0" collapsed="false">
      <c r="A60" s="91" t="str">
        <f aca="false">IF(名簿!$D60="","",名簿!$B60&amp;"")</f>
        <v/>
      </c>
      <c r="B60" s="91" t="str">
        <f aca="false">IF(名簿!$D60="","",名簿!$C60)</f>
        <v/>
      </c>
      <c r="C60" s="59" t="str">
        <f aca="false">IF(名簿!$D60="","",名簿!$D60&amp;IF(名簿!$F60="転出","（転出）",""))</f>
        <v/>
      </c>
      <c r="D60" s="149"/>
      <c r="E60" s="61" t="str">
        <f aca="false">IF(OR($C60="",名簿!$F60="転出"),"",IF($C$2="学級ごと",$A60,IF($C$2="前の単元と同じ",単元07!$E60&amp;"",$D60&amp;"")))</f>
        <v/>
      </c>
      <c r="F60" s="150"/>
      <c r="G60" s="150"/>
      <c r="H60" s="150"/>
      <c r="I60" s="151"/>
      <c r="J60" s="41" t="str">
        <f aca="false">IF($E60="","",$E60&amp;"|"&amp;COUNTIF($E$5:$E60,$E60))</f>
        <v/>
      </c>
      <c r="K60" s="40" t="str">
        <f aca="false">IF($I60="","",LEN($I60))</f>
        <v/>
      </c>
      <c r="L60" s="13"/>
      <c r="M60" s="13"/>
      <c r="N60" s="13"/>
      <c r="O60" s="13"/>
      <c r="P60" s="152"/>
      <c r="Q60" s="149"/>
      <c r="R60" s="152"/>
      <c r="S60" s="152"/>
      <c r="T60" s="62" t="str">
        <f aca="false">IF(OR($C60="",R60=""),"",IF(R60/IF($R$2="",100,$R$2)&gt;=設定!$I$28,設定!$G$8,IF(R60/IF($R$2="",100,$R$2)&lt;設定!$I$29,設定!$G$10,設定!$G$9)))</f>
        <v/>
      </c>
      <c r="U60" s="62" t="str">
        <f aca="false">IF(OR($C60="",S60=""),"",IF(S60/IF($S$2="",100,$S$2)&gt;=設定!$I$28,設定!$G$8,IF(S60/IF($S$2="",100,$S$2)&lt;設定!$I$29,設定!$G$10,設定!$G$9)))</f>
        <v/>
      </c>
    </row>
    <row r="61" customFormat="false" ht="21" hidden="false" customHeight="true" outlineLevel="0" collapsed="false">
      <c r="A61" s="91" t="str">
        <f aca="false">IF(名簿!$D61="","",名簿!$B61&amp;"")</f>
        <v/>
      </c>
      <c r="B61" s="91" t="str">
        <f aca="false">IF(名簿!$D61="","",名簿!$C61)</f>
        <v/>
      </c>
      <c r="C61" s="59" t="str">
        <f aca="false">IF(名簿!$D61="","",名簿!$D61&amp;IF(名簿!$F61="転出","（転出）",""))</f>
        <v/>
      </c>
      <c r="D61" s="149"/>
      <c r="E61" s="61" t="str">
        <f aca="false">IF(OR($C61="",名簿!$F61="転出"),"",IF($C$2="学級ごと",$A61,IF($C$2="前の単元と同じ",単元07!$E61&amp;"",$D61&amp;"")))</f>
        <v/>
      </c>
      <c r="F61" s="150"/>
      <c r="G61" s="150"/>
      <c r="H61" s="150"/>
      <c r="I61" s="151"/>
      <c r="J61" s="41" t="str">
        <f aca="false">IF($E61="","",$E61&amp;"|"&amp;COUNTIF($E$5:$E61,$E61))</f>
        <v/>
      </c>
      <c r="K61" s="40" t="str">
        <f aca="false">IF($I61="","",LEN($I61))</f>
        <v/>
      </c>
      <c r="L61" s="13"/>
      <c r="M61" s="13"/>
      <c r="N61" s="13"/>
      <c r="O61" s="13"/>
      <c r="P61" s="152"/>
      <c r="Q61" s="149"/>
      <c r="R61" s="152"/>
      <c r="S61" s="152"/>
      <c r="T61" s="62" t="str">
        <f aca="false">IF(OR($C61="",R61=""),"",IF(R61/IF($R$2="",100,$R$2)&gt;=設定!$I$28,設定!$G$8,IF(R61/IF($R$2="",100,$R$2)&lt;設定!$I$29,設定!$G$10,設定!$G$9)))</f>
        <v/>
      </c>
      <c r="U61" s="62" t="str">
        <f aca="false">IF(OR($C61="",S61=""),"",IF(S61/IF($S$2="",100,$S$2)&gt;=設定!$I$28,設定!$G$8,IF(S61/IF($S$2="",100,$S$2)&lt;設定!$I$29,設定!$G$10,設定!$G$9)))</f>
        <v/>
      </c>
    </row>
    <row r="62" customFormat="false" ht="21" hidden="false" customHeight="true" outlineLevel="0" collapsed="false">
      <c r="A62" s="91" t="str">
        <f aca="false">IF(名簿!$D62="","",名簿!$B62&amp;"")</f>
        <v/>
      </c>
      <c r="B62" s="91" t="str">
        <f aca="false">IF(名簿!$D62="","",名簿!$C62)</f>
        <v/>
      </c>
      <c r="C62" s="59" t="str">
        <f aca="false">IF(名簿!$D62="","",名簿!$D62&amp;IF(名簿!$F62="転出","（転出）",""))</f>
        <v/>
      </c>
      <c r="D62" s="149"/>
      <c r="E62" s="61" t="str">
        <f aca="false">IF(OR($C62="",名簿!$F62="転出"),"",IF($C$2="学級ごと",$A62,IF($C$2="前の単元と同じ",単元07!$E62&amp;"",$D62&amp;"")))</f>
        <v/>
      </c>
      <c r="F62" s="150"/>
      <c r="G62" s="150"/>
      <c r="H62" s="150"/>
      <c r="I62" s="151"/>
      <c r="J62" s="41" t="str">
        <f aca="false">IF($E62="","",$E62&amp;"|"&amp;COUNTIF($E$5:$E62,$E62))</f>
        <v/>
      </c>
      <c r="K62" s="40" t="str">
        <f aca="false">IF($I62="","",LEN($I62))</f>
        <v/>
      </c>
      <c r="L62" s="13"/>
      <c r="M62" s="13"/>
      <c r="N62" s="13"/>
      <c r="O62" s="13"/>
      <c r="P62" s="152"/>
      <c r="Q62" s="149"/>
      <c r="R62" s="152"/>
      <c r="S62" s="152"/>
      <c r="T62" s="62" t="str">
        <f aca="false">IF(OR($C62="",R62=""),"",IF(R62/IF($R$2="",100,$R$2)&gt;=設定!$I$28,設定!$G$8,IF(R62/IF($R$2="",100,$R$2)&lt;設定!$I$29,設定!$G$10,設定!$G$9)))</f>
        <v/>
      </c>
      <c r="U62" s="62" t="str">
        <f aca="false">IF(OR($C62="",S62=""),"",IF(S62/IF($S$2="",100,$S$2)&gt;=設定!$I$28,設定!$G$8,IF(S62/IF($S$2="",100,$S$2)&lt;設定!$I$29,設定!$G$10,設定!$G$9)))</f>
        <v/>
      </c>
    </row>
    <row r="63" customFormat="false" ht="21" hidden="false" customHeight="true" outlineLevel="0" collapsed="false">
      <c r="A63" s="91" t="str">
        <f aca="false">IF(名簿!$D63="","",名簿!$B63&amp;"")</f>
        <v/>
      </c>
      <c r="B63" s="91" t="str">
        <f aca="false">IF(名簿!$D63="","",名簿!$C63)</f>
        <v/>
      </c>
      <c r="C63" s="59" t="str">
        <f aca="false">IF(名簿!$D63="","",名簿!$D63&amp;IF(名簿!$F63="転出","（転出）",""))</f>
        <v/>
      </c>
      <c r="D63" s="149"/>
      <c r="E63" s="61" t="str">
        <f aca="false">IF(OR($C63="",名簿!$F63="転出"),"",IF($C$2="学級ごと",$A63,IF($C$2="前の単元と同じ",単元07!$E63&amp;"",$D63&amp;"")))</f>
        <v/>
      </c>
      <c r="F63" s="150"/>
      <c r="G63" s="150"/>
      <c r="H63" s="150"/>
      <c r="I63" s="151"/>
      <c r="J63" s="41" t="str">
        <f aca="false">IF($E63="","",$E63&amp;"|"&amp;COUNTIF($E$5:$E63,$E63))</f>
        <v/>
      </c>
      <c r="K63" s="40" t="str">
        <f aca="false">IF($I63="","",LEN($I63))</f>
        <v/>
      </c>
      <c r="L63" s="13"/>
      <c r="M63" s="13"/>
      <c r="N63" s="13"/>
      <c r="O63" s="13"/>
      <c r="P63" s="152"/>
      <c r="Q63" s="149"/>
      <c r="R63" s="152"/>
      <c r="S63" s="152"/>
      <c r="T63" s="62" t="str">
        <f aca="false">IF(OR($C63="",R63=""),"",IF(R63/IF($R$2="",100,$R$2)&gt;=設定!$I$28,設定!$G$8,IF(R63/IF($R$2="",100,$R$2)&lt;設定!$I$29,設定!$G$10,設定!$G$9)))</f>
        <v/>
      </c>
      <c r="U63" s="62" t="str">
        <f aca="false">IF(OR($C63="",S63=""),"",IF(S63/IF($S$2="",100,$S$2)&gt;=設定!$I$28,設定!$G$8,IF(S63/IF($S$2="",100,$S$2)&lt;設定!$I$29,設定!$G$10,設定!$G$9)))</f>
        <v/>
      </c>
    </row>
    <row r="64" customFormat="false" ht="21" hidden="false" customHeight="true" outlineLevel="0" collapsed="false">
      <c r="A64" s="91" t="str">
        <f aca="false">IF(名簿!$D64="","",名簿!$B64&amp;"")</f>
        <v/>
      </c>
      <c r="B64" s="91" t="str">
        <f aca="false">IF(名簿!$D64="","",名簿!$C64)</f>
        <v/>
      </c>
      <c r="C64" s="59" t="str">
        <f aca="false">IF(名簿!$D64="","",名簿!$D64&amp;IF(名簿!$F64="転出","（転出）",""))</f>
        <v/>
      </c>
      <c r="D64" s="149"/>
      <c r="E64" s="61" t="str">
        <f aca="false">IF(OR($C64="",名簿!$F64="転出"),"",IF($C$2="学級ごと",$A64,IF($C$2="前の単元と同じ",単元07!$E64&amp;"",$D64&amp;"")))</f>
        <v/>
      </c>
      <c r="F64" s="150"/>
      <c r="G64" s="150"/>
      <c r="H64" s="150"/>
      <c r="I64" s="151"/>
      <c r="J64" s="41" t="str">
        <f aca="false">IF($E64="","",$E64&amp;"|"&amp;COUNTIF($E$5:$E64,$E64))</f>
        <v/>
      </c>
      <c r="K64" s="40" t="str">
        <f aca="false">IF($I64="","",LEN($I64))</f>
        <v/>
      </c>
      <c r="L64" s="13"/>
      <c r="M64" s="13"/>
      <c r="N64" s="13"/>
      <c r="O64" s="13"/>
      <c r="P64" s="152"/>
      <c r="Q64" s="149"/>
      <c r="R64" s="152"/>
      <c r="S64" s="152"/>
      <c r="T64" s="62" t="str">
        <f aca="false">IF(OR($C64="",R64=""),"",IF(R64/IF($R$2="",100,$R$2)&gt;=設定!$I$28,設定!$G$8,IF(R64/IF($R$2="",100,$R$2)&lt;設定!$I$29,設定!$G$10,設定!$G$9)))</f>
        <v/>
      </c>
      <c r="U64" s="62" t="str">
        <f aca="false">IF(OR($C64="",S64=""),"",IF(S64/IF($S$2="",100,$S$2)&gt;=設定!$I$28,設定!$G$8,IF(S64/IF($S$2="",100,$S$2)&lt;設定!$I$29,設定!$G$10,設定!$G$9)))</f>
        <v/>
      </c>
    </row>
    <row r="65" customFormat="false" ht="21" hidden="false" customHeight="true" outlineLevel="0" collapsed="false">
      <c r="A65" s="91" t="str">
        <f aca="false">IF(名簿!$D65="","",名簿!$B65&amp;"")</f>
        <v/>
      </c>
      <c r="B65" s="91" t="str">
        <f aca="false">IF(名簿!$D65="","",名簿!$C65)</f>
        <v/>
      </c>
      <c r="C65" s="59" t="str">
        <f aca="false">IF(名簿!$D65="","",名簿!$D65&amp;IF(名簿!$F65="転出","（転出）",""))</f>
        <v/>
      </c>
      <c r="D65" s="149"/>
      <c r="E65" s="61" t="str">
        <f aca="false">IF(OR($C65="",名簿!$F65="転出"),"",IF($C$2="学級ごと",$A65,IF($C$2="前の単元と同じ",単元07!$E65&amp;"",$D65&amp;"")))</f>
        <v/>
      </c>
      <c r="F65" s="150"/>
      <c r="G65" s="150"/>
      <c r="H65" s="150"/>
      <c r="I65" s="151"/>
      <c r="J65" s="41" t="str">
        <f aca="false">IF($E65="","",$E65&amp;"|"&amp;COUNTIF($E$5:$E65,$E65))</f>
        <v/>
      </c>
      <c r="K65" s="40" t="str">
        <f aca="false">IF($I65="","",LEN($I65))</f>
        <v/>
      </c>
      <c r="L65" s="13"/>
      <c r="M65" s="13"/>
      <c r="N65" s="13"/>
      <c r="O65" s="13"/>
      <c r="P65" s="152"/>
      <c r="Q65" s="149"/>
      <c r="R65" s="152"/>
      <c r="S65" s="152"/>
      <c r="T65" s="62" t="str">
        <f aca="false">IF(OR($C65="",R65=""),"",IF(R65/IF($R$2="",100,$R$2)&gt;=設定!$I$28,設定!$G$8,IF(R65/IF($R$2="",100,$R$2)&lt;設定!$I$29,設定!$G$10,設定!$G$9)))</f>
        <v/>
      </c>
      <c r="U65" s="62" t="str">
        <f aca="false">IF(OR($C65="",S65=""),"",IF(S65/IF($S$2="",100,$S$2)&gt;=設定!$I$28,設定!$G$8,IF(S65/IF($S$2="",100,$S$2)&lt;設定!$I$29,設定!$G$10,設定!$G$9)))</f>
        <v/>
      </c>
    </row>
    <row r="66" customFormat="false" ht="21" hidden="false" customHeight="true" outlineLevel="0" collapsed="false">
      <c r="A66" s="91" t="str">
        <f aca="false">IF(名簿!$D66="","",名簿!$B66&amp;"")</f>
        <v/>
      </c>
      <c r="B66" s="91" t="str">
        <f aca="false">IF(名簿!$D66="","",名簿!$C66)</f>
        <v/>
      </c>
      <c r="C66" s="59" t="str">
        <f aca="false">IF(名簿!$D66="","",名簿!$D66&amp;IF(名簿!$F66="転出","（転出）",""))</f>
        <v/>
      </c>
      <c r="D66" s="149"/>
      <c r="E66" s="61" t="str">
        <f aca="false">IF(OR($C66="",名簿!$F66="転出"),"",IF($C$2="学級ごと",$A66,IF($C$2="前の単元と同じ",単元07!$E66&amp;"",$D66&amp;"")))</f>
        <v/>
      </c>
      <c r="F66" s="150"/>
      <c r="G66" s="150"/>
      <c r="H66" s="150"/>
      <c r="I66" s="151"/>
      <c r="J66" s="41" t="str">
        <f aca="false">IF($E66="","",$E66&amp;"|"&amp;COUNTIF($E$5:$E66,$E66))</f>
        <v/>
      </c>
      <c r="K66" s="40" t="str">
        <f aca="false">IF($I66="","",LEN($I66))</f>
        <v/>
      </c>
      <c r="L66" s="13"/>
      <c r="M66" s="13"/>
      <c r="N66" s="13"/>
      <c r="O66" s="13"/>
      <c r="P66" s="152"/>
      <c r="Q66" s="149"/>
      <c r="R66" s="152"/>
      <c r="S66" s="152"/>
      <c r="T66" s="62" t="str">
        <f aca="false">IF(OR($C66="",R66=""),"",IF(R66/IF($R$2="",100,$R$2)&gt;=設定!$I$28,設定!$G$8,IF(R66/IF($R$2="",100,$R$2)&lt;設定!$I$29,設定!$G$10,設定!$G$9)))</f>
        <v/>
      </c>
      <c r="U66" s="62" t="str">
        <f aca="false">IF(OR($C66="",S66=""),"",IF(S66/IF($S$2="",100,$S$2)&gt;=設定!$I$28,設定!$G$8,IF(S66/IF($S$2="",100,$S$2)&lt;設定!$I$29,設定!$G$10,設定!$G$9)))</f>
        <v/>
      </c>
    </row>
    <row r="67" customFormat="false" ht="21" hidden="false" customHeight="true" outlineLevel="0" collapsed="false">
      <c r="A67" s="91" t="str">
        <f aca="false">IF(名簿!$D67="","",名簿!$B67&amp;"")</f>
        <v/>
      </c>
      <c r="B67" s="91" t="str">
        <f aca="false">IF(名簿!$D67="","",名簿!$C67)</f>
        <v/>
      </c>
      <c r="C67" s="59" t="str">
        <f aca="false">IF(名簿!$D67="","",名簿!$D67&amp;IF(名簿!$F67="転出","（転出）",""))</f>
        <v/>
      </c>
      <c r="D67" s="149"/>
      <c r="E67" s="61" t="str">
        <f aca="false">IF(OR($C67="",名簿!$F67="転出"),"",IF($C$2="学級ごと",$A67,IF($C$2="前の単元と同じ",単元07!$E67&amp;"",$D67&amp;"")))</f>
        <v/>
      </c>
      <c r="F67" s="150"/>
      <c r="G67" s="150"/>
      <c r="H67" s="150"/>
      <c r="I67" s="151"/>
      <c r="J67" s="41" t="str">
        <f aca="false">IF($E67="","",$E67&amp;"|"&amp;COUNTIF($E$5:$E67,$E67))</f>
        <v/>
      </c>
      <c r="K67" s="40" t="str">
        <f aca="false">IF($I67="","",LEN($I67))</f>
        <v/>
      </c>
      <c r="L67" s="13"/>
      <c r="M67" s="13"/>
      <c r="N67" s="13"/>
      <c r="O67" s="13"/>
      <c r="P67" s="152"/>
      <c r="Q67" s="149"/>
      <c r="R67" s="152"/>
      <c r="S67" s="152"/>
      <c r="T67" s="62" t="str">
        <f aca="false">IF(OR($C67="",R67=""),"",IF(R67/IF($R$2="",100,$R$2)&gt;=設定!$I$28,設定!$G$8,IF(R67/IF($R$2="",100,$R$2)&lt;設定!$I$29,設定!$G$10,設定!$G$9)))</f>
        <v/>
      </c>
      <c r="U67" s="62" t="str">
        <f aca="false">IF(OR($C67="",S67=""),"",IF(S67/IF($S$2="",100,$S$2)&gt;=設定!$I$28,設定!$G$8,IF(S67/IF($S$2="",100,$S$2)&lt;設定!$I$29,設定!$G$10,設定!$G$9)))</f>
        <v/>
      </c>
    </row>
    <row r="68" customFormat="false" ht="21" hidden="false" customHeight="true" outlineLevel="0" collapsed="false">
      <c r="A68" s="91" t="str">
        <f aca="false">IF(名簿!$D68="","",名簿!$B68&amp;"")</f>
        <v/>
      </c>
      <c r="B68" s="91" t="str">
        <f aca="false">IF(名簿!$D68="","",名簿!$C68)</f>
        <v/>
      </c>
      <c r="C68" s="59" t="str">
        <f aca="false">IF(名簿!$D68="","",名簿!$D68&amp;IF(名簿!$F68="転出","（転出）",""))</f>
        <v/>
      </c>
      <c r="D68" s="149"/>
      <c r="E68" s="61" t="str">
        <f aca="false">IF(OR($C68="",名簿!$F68="転出"),"",IF($C$2="学級ごと",$A68,IF($C$2="前の単元と同じ",単元07!$E68&amp;"",$D68&amp;"")))</f>
        <v/>
      </c>
      <c r="F68" s="150"/>
      <c r="G68" s="150"/>
      <c r="H68" s="150"/>
      <c r="I68" s="151"/>
      <c r="J68" s="41" t="str">
        <f aca="false">IF($E68="","",$E68&amp;"|"&amp;COUNTIF($E$5:$E68,$E68))</f>
        <v/>
      </c>
      <c r="K68" s="40" t="str">
        <f aca="false">IF($I68="","",LEN($I68))</f>
        <v/>
      </c>
      <c r="L68" s="13"/>
      <c r="M68" s="13"/>
      <c r="N68" s="13"/>
      <c r="O68" s="13"/>
      <c r="P68" s="152"/>
      <c r="Q68" s="149"/>
      <c r="R68" s="152"/>
      <c r="S68" s="152"/>
      <c r="T68" s="62" t="str">
        <f aca="false">IF(OR($C68="",R68=""),"",IF(R68/IF($R$2="",100,$R$2)&gt;=設定!$I$28,設定!$G$8,IF(R68/IF($R$2="",100,$R$2)&lt;設定!$I$29,設定!$G$10,設定!$G$9)))</f>
        <v/>
      </c>
      <c r="U68" s="62" t="str">
        <f aca="false">IF(OR($C68="",S68=""),"",IF(S68/IF($S$2="",100,$S$2)&gt;=設定!$I$28,設定!$G$8,IF(S68/IF($S$2="",100,$S$2)&lt;設定!$I$29,設定!$G$10,設定!$G$9)))</f>
        <v/>
      </c>
    </row>
    <row r="69" customFormat="false" ht="21" hidden="false" customHeight="true" outlineLevel="0" collapsed="false">
      <c r="A69" s="91" t="str">
        <f aca="false">IF(名簿!$D69="","",名簿!$B69&amp;"")</f>
        <v/>
      </c>
      <c r="B69" s="91" t="str">
        <f aca="false">IF(名簿!$D69="","",名簿!$C69)</f>
        <v/>
      </c>
      <c r="C69" s="59" t="str">
        <f aca="false">IF(名簿!$D69="","",名簿!$D69&amp;IF(名簿!$F69="転出","（転出）",""))</f>
        <v/>
      </c>
      <c r="D69" s="149"/>
      <c r="E69" s="61" t="str">
        <f aca="false">IF(OR($C69="",名簿!$F69="転出"),"",IF($C$2="学級ごと",$A69,IF($C$2="前の単元と同じ",単元07!$E69&amp;"",$D69&amp;"")))</f>
        <v/>
      </c>
      <c r="F69" s="150"/>
      <c r="G69" s="150"/>
      <c r="H69" s="150"/>
      <c r="I69" s="151"/>
      <c r="J69" s="41" t="str">
        <f aca="false">IF($E69="","",$E69&amp;"|"&amp;COUNTIF($E$5:$E69,$E69))</f>
        <v/>
      </c>
      <c r="K69" s="40" t="str">
        <f aca="false">IF($I69="","",LEN($I69))</f>
        <v/>
      </c>
      <c r="L69" s="13"/>
      <c r="M69" s="13"/>
      <c r="N69" s="13"/>
      <c r="O69" s="13"/>
      <c r="P69" s="152"/>
      <c r="Q69" s="149"/>
      <c r="R69" s="152"/>
      <c r="S69" s="152"/>
      <c r="T69" s="62" t="str">
        <f aca="false">IF(OR($C69="",R69=""),"",IF(R69/IF($R$2="",100,$R$2)&gt;=設定!$I$28,設定!$G$8,IF(R69/IF($R$2="",100,$R$2)&lt;設定!$I$29,設定!$G$10,設定!$G$9)))</f>
        <v/>
      </c>
      <c r="U69" s="62" t="str">
        <f aca="false">IF(OR($C69="",S69=""),"",IF(S69/IF($S$2="",100,$S$2)&gt;=設定!$I$28,設定!$G$8,IF(S69/IF($S$2="",100,$S$2)&lt;設定!$I$29,設定!$G$10,設定!$G$9)))</f>
        <v/>
      </c>
    </row>
    <row r="70" customFormat="false" ht="21" hidden="false" customHeight="true" outlineLevel="0" collapsed="false">
      <c r="A70" s="91" t="str">
        <f aca="false">IF(名簿!$D70="","",名簿!$B70&amp;"")</f>
        <v/>
      </c>
      <c r="B70" s="91" t="str">
        <f aca="false">IF(名簿!$D70="","",名簿!$C70)</f>
        <v/>
      </c>
      <c r="C70" s="59" t="str">
        <f aca="false">IF(名簿!$D70="","",名簿!$D70&amp;IF(名簿!$F70="転出","（転出）",""))</f>
        <v/>
      </c>
      <c r="D70" s="149"/>
      <c r="E70" s="61" t="str">
        <f aca="false">IF(OR($C70="",名簿!$F70="転出"),"",IF($C$2="学級ごと",$A70,IF($C$2="前の単元と同じ",単元07!$E70&amp;"",$D70&amp;"")))</f>
        <v/>
      </c>
      <c r="F70" s="150"/>
      <c r="G70" s="150"/>
      <c r="H70" s="150"/>
      <c r="I70" s="151"/>
      <c r="J70" s="41" t="str">
        <f aca="false">IF($E70="","",$E70&amp;"|"&amp;COUNTIF($E$5:$E70,$E70))</f>
        <v/>
      </c>
      <c r="K70" s="40" t="str">
        <f aca="false">IF($I70="","",LEN($I70))</f>
        <v/>
      </c>
      <c r="L70" s="13"/>
      <c r="M70" s="13"/>
      <c r="N70" s="13"/>
      <c r="O70" s="13"/>
      <c r="P70" s="152"/>
      <c r="Q70" s="149"/>
      <c r="R70" s="152"/>
      <c r="S70" s="152"/>
      <c r="T70" s="62" t="str">
        <f aca="false">IF(OR($C70="",R70=""),"",IF(R70/IF($R$2="",100,$R$2)&gt;=設定!$I$28,設定!$G$8,IF(R70/IF($R$2="",100,$R$2)&lt;設定!$I$29,設定!$G$10,設定!$G$9)))</f>
        <v/>
      </c>
      <c r="U70" s="62" t="str">
        <f aca="false">IF(OR($C70="",S70=""),"",IF(S70/IF($S$2="",100,$S$2)&gt;=設定!$I$28,設定!$G$8,IF(S70/IF($S$2="",100,$S$2)&lt;設定!$I$29,設定!$G$10,設定!$G$9)))</f>
        <v/>
      </c>
    </row>
    <row r="71" customFormat="false" ht="21" hidden="false" customHeight="true" outlineLevel="0" collapsed="false">
      <c r="A71" s="91" t="str">
        <f aca="false">IF(名簿!$D71="","",名簿!$B71&amp;"")</f>
        <v/>
      </c>
      <c r="B71" s="91" t="str">
        <f aca="false">IF(名簿!$D71="","",名簿!$C71)</f>
        <v/>
      </c>
      <c r="C71" s="59" t="str">
        <f aca="false">IF(名簿!$D71="","",名簿!$D71&amp;IF(名簿!$F71="転出","（転出）",""))</f>
        <v/>
      </c>
      <c r="D71" s="149"/>
      <c r="E71" s="61" t="str">
        <f aca="false">IF(OR($C71="",名簿!$F71="転出"),"",IF($C$2="学級ごと",$A71,IF($C$2="前の単元と同じ",単元07!$E71&amp;"",$D71&amp;"")))</f>
        <v/>
      </c>
      <c r="F71" s="150"/>
      <c r="G71" s="150"/>
      <c r="H71" s="150"/>
      <c r="I71" s="151"/>
      <c r="J71" s="41" t="str">
        <f aca="false">IF($E71="","",$E71&amp;"|"&amp;COUNTIF($E$5:$E71,$E71))</f>
        <v/>
      </c>
      <c r="K71" s="40" t="str">
        <f aca="false">IF($I71="","",LEN($I71))</f>
        <v/>
      </c>
      <c r="L71" s="13"/>
      <c r="M71" s="13"/>
      <c r="N71" s="13"/>
      <c r="O71" s="13"/>
      <c r="P71" s="152"/>
      <c r="Q71" s="149"/>
      <c r="R71" s="152"/>
      <c r="S71" s="152"/>
      <c r="T71" s="62" t="str">
        <f aca="false">IF(OR($C71="",R71=""),"",IF(R71/IF($R$2="",100,$R$2)&gt;=設定!$I$28,設定!$G$8,IF(R71/IF($R$2="",100,$R$2)&lt;設定!$I$29,設定!$G$10,設定!$G$9)))</f>
        <v/>
      </c>
      <c r="U71" s="62" t="str">
        <f aca="false">IF(OR($C71="",S71=""),"",IF(S71/IF($S$2="",100,$S$2)&gt;=設定!$I$28,設定!$G$8,IF(S71/IF($S$2="",100,$S$2)&lt;設定!$I$29,設定!$G$10,設定!$G$9)))</f>
        <v/>
      </c>
    </row>
    <row r="72" customFormat="false" ht="21" hidden="false" customHeight="true" outlineLevel="0" collapsed="false">
      <c r="A72" s="91" t="str">
        <f aca="false">IF(名簿!$D72="","",名簿!$B72&amp;"")</f>
        <v/>
      </c>
      <c r="B72" s="91" t="str">
        <f aca="false">IF(名簿!$D72="","",名簿!$C72)</f>
        <v/>
      </c>
      <c r="C72" s="59" t="str">
        <f aca="false">IF(名簿!$D72="","",名簿!$D72&amp;IF(名簿!$F72="転出","（転出）",""))</f>
        <v/>
      </c>
      <c r="D72" s="149"/>
      <c r="E72" s="61" t="str">
        <f aca="false">IF(OR($C72="",名簿!$F72="転出"),"",IF($C$2="学級ごと",$A72,IF($C$2="前の単元と同じ",単元07!$E72&amp;"",$D72&amp;"")))</f>
        <v/>
      </c>
      <c r="F72" s="150"/>
      <c r="G72" s="150"/>
      <c r="H72" s="150"/>
      <c r="I72" s="151"/>
      <c r="J72" s="41" t="str">
        <f aca="false">IF($E72="","",$E72&amp;"|"&amp;COUNTIF($E$5:$E72,$E72))</f>
        <v/>
      </c>
      <c r="K72" s="40" t="str">
        <f aca="false">IF($I72="","",LEN($I72))</f>
        <v/>
      </c>
      <c r="L72" s="13"/>
      <c r="M72" s="13"/>
      <c r="N72" s="13"/>
      <c r="O72" s="13"/>
      <c r="P72" s="152"/>
      <c r="Q72" s="149"/>
      <c r="R72" s="152"/>
      <c r="S72" s="152"/>
      <c r="T72" s="62" t="str">
        <f aca="false">IF(OR($C72="",R72=""),"",IF(R72/IF($R$2="",100,$R$2)&gt;=設定!$I$28,設定!$G$8,IF(R72/IF($R$2="",100,$R$2)&lt;設定!$I$29,設定!$G$10,設定!$G$9)))</f>
        <v/>
      </c>
      <c r="U72" s="62" t="str">
        <f aca="false">IF(OR($C72="",S72=""),"",IF(S72/IF($S$2="",100,$S$2)&gt;=設定!$I$28,設定!$G$8,IF(S72/IF($S$2="",100,$S$2)&lt;設定!$I$29,設定!$G$10,設定!$G$9)))</f>
        <v/>
      </c>
    </row>
    <row r="73" customFormat="false" ht="21" hidden="false" customHeight="true" outlineLevel="0" collapsed="false">
      <c r="A73" s="91" t="str">
        <f aca="false">IF(名簿!$D73="","",名簿!$B73&amp;"")</f>
        <v/>
      </c>
      <c r="B73" s="91" t="str">
        <f aca="false">IF(名簿!$D73="","",名簿!$C73)</f>
        <v/>
      </c>
      <c r="C73" s="59" t="str">
        <f aca="false">IF(名簿!$D73="","",名簿!$D73&amp;IF(名簿!$F73="転出","（転出）",""))</f>
        <v/>
      </c>
      <c r="D73" s="149"/>
      <c r="E73" s="61" t="str">
        <f aca="false">IF(OR($C73="",名簿!$F73="転出"),"",IF($C$2="学級ごと",$A73,IF($C$2="前の単元と同じ",単元07!$E73&amp;"",$D73&amp;"")))</f>
        <v/>
      </c>
      <c r="F73" s="150"/>
      <c r="G73" s="150"/>
      <c r="H73" s="150"/>
      <c r="I73" s="151"/>
      <c r="J73" s="41" t="str">
        <f aca="false">IF($E73="","",$E73&amp;"|"&amp;COUNTIF($E$5:$E73,$E73))</f>
        <v/>
      </c>
      <c r="K73" s="40" t="str">
        <f aca="false">IF($I73="","",LEN($I73))</f>
        <v/>
      </c>
      <c r="L73" s="13"/>
      <c r="M73" s="13"/>
      <c r="N73" s="13"/>
      <c r="O73" s="13"/>
      <c r="P73" s="152"/>
      <c r="Q73" s="149"/>
      <c r="R73" s="152"/>
      <c r="S73" s="152"/>
      <c r="T73" s="62" t="str">
        <f aca="false">IF(OR($C73="",R73=""),"",IF(R73/IF($R$2="",100,$R$2)&gt;=設定!$I$28,設定!$G$8,IF(R73/IF($R$2="",100,$R$2)&lt;設定!$I$29,設定!$G$10,設定!$G$9)))</f>
        <v/>
      </c>
      <c r="U73" s="62" t="str">
        <f aca="false">IF(OR($C73="",S73=""),"",IF(S73/IF($S$2="",100,$S$2)&gt;=設定!$I$28,設定!$G$8,IF(S73/IF($S$2="",100,$S$2)&lt;設定!$I$29,設定!$G$10,設定!$G$9)))</f>
        <v/>
      </c>
    </row>
    <row r="74" customFormat="false" ht="21" hidden="false" customHeight="true" outlineLevel="0" collapsed="false">
      <c r="A74" s="91" t="str">
        <f aca="false">IF(名簿!$D74="","",名簿!$B74&amp;"")</f>
        <v/>
      </c>
      <c r="B74" s="91" t="str">
        <f aca="false">IF(名簿!$D74="","",名簿!$C74)</f>
        <v/>
      </c>
      <c r="C74" s="59" t="str">
        <f aca="false">IF(名簿!$D74="","",名簿!$D74&amp;IF(名簿!$F74="転出","（転出）",""))</f>
        <v/>
      </c>
      <c r="D74" s="149"/>
      <c r="E74" s="61" t="str">
        <f aca="false">IF(OR($C74="",名簿!$F74="転出"),"",IF($C$2="学級ごと",$A74,IF($C$2="前の単元と同じ",単元07!$E74&amp;"",$D74&amp;"")))</f>
        <v/>
      </c>
      <c r="F74" s="150"/>
      <c r="G74" s="150"/>
      <c r="H74" s="150"/>
      <c r="I74" s="151"/>
      <c r="J74" s="41" t="str">
        <f aca="false">IF($E74="","",$E74&amp;"|"&amp;COUNTIF($E$5:$E74,$E74))</f>
        <v/>
      </c>
      <c r="K74" s="40" t="str">
        <f aca="false">IF($I74="","",LEN($I74))</f>
        <v/>
      </c>
      <c r="L74" s="13"/>
      <c r="M74" s="13"/>
      <c r="N74" s="13"/>
      <c r="O74" s="13"/>
      <c r="P74" s="152"/>
      <c r="Q74" s="149"/>
      <c r="R74" s="152"/>
      <c r="S74" s="152"/>
      <c r="T74" s="62" t="str">
        <f aca="false">IF(OR($C74="",R74=""),"",IF(R74/IF($R$2="",100,$R$2)&gt;=設定!$I$28,設定!$G$8,IF(R74/IF($R$2="",100,$R$2)&lt;設定!$I$29,設定!$G$10,設定!$G$9)))</f>
        <v/>
      </c>
      <c r="U74" s="62" t="str">
        <f aca="false">IF(OR($C74="",S74=""),"",IF(S74/IF($S$2="",100,$S$2)&gt;=設定!$I$28,設定!$G$8,IF(S74/IF($S$2="",100,$S$2)&lt;設定!$I$29,設定!$G$10,設定!$G$9)))</f>
        <v/>
      </c>
    </row>
    <row r="75" customFormat="false" ht="21" hidden="false" customHeight="true" outlineLevel="0" collapsed="false">
      <c r="A75" s="91" t="str">
        <f aca="false">IF(名簿!$D75="","",名簿!$B75&amp;"")</f>
        <v/>
      </c>
      <c r="B75" s="91" t="str">
        <f aca="false">IF(名簿!$D75="","",名簿!$C75)</f>
        <v/>
      </c>
      <c r="C75" s="59" t="str">
        <f aca="false">IF(名簿!$D75="","",名簿!$D75&amp;IF(名簿!$F75="転出","（転出）",""))</f>
        <v/>
      </c>
      <c r="D75" s="149"/>
      <c r="E75" s="61" t="str">
        <f aca="false">IF(OR($C75="",名簿!$F75="転出"),"",IF($C$2="学級ごと",$A75,IF($C$2="前の単元と同じ",単元07!$E75&amp;"",$D75&amp;"")))</f>
        <v/>
      </c>
      <c r="F75" s="150"/>
      <c r="G75" s="150"/>
      <c r="H75" s="150"/>
      <c r="I75" s="151"/>
      <c r="J75" s="41" t="str">
        <f aca="false">IF($E75="","",$E75&amp;"|"&amp;COUNTIF($E$5:$E75,$E75))</f>
        <v/>
      </c>
      <c r="K75" s="40" t="str">
        <f aca="false">IF($I75="","",LEN($I75))</f>
        <v/>
      </c>
      <c r="L75" s="13"/>
      <c r="M75" s="13"/>
      <c r="N75" s="13"/>
      <c r="O75" s="13"/>
      <c r="P75" s="152"/>
      <c r="Q75" s="149"/>
      <c r="R75" s="152"/>
      <c r="S75" s="152"/>
      <c r="T75" s="62" t="str">
        <f aca="false">IF(OR($C75="",R75=""),"",IF(R75/IF($R$2="",100,$R$2)&gt;=設定!$I$28,設定!$G$8,IF(R75/IF($R$2="",100,$R$2)&lt;設定!$I$29,設定!$G$10,設定!$G$9)))</f>
        <v/>
      </c>
      <c r="U75" s="62" t="str">
        <f aca="false">IF(OR($C75="",S75=""),"",IF(S75/IF($S$2="",100,$S$2)&gt;=設定!$I$28,設定!$G$8,IF(S75/IF($S$2="",100,$S$2)&lt;設定!$I$29,設定!$G$10,設定!$G$9)))</f>
        <v/>
      </c>
    </row>
    <row r="76" customFormat="false" ht="21" hidden="false" customHeight="true" outlineLevel="0" collapsed="false">
      <c r="A76" s="91" t="str">
        <f aca="false">IF(名簿!$D76="","",名簿!$B76&amp;"")</f>
        <v/>
      </c>
      <c r="B76" s="91" t="str">
        <f aca="false">IF(名簿!$D76="","",名簿!$C76)</f>
        <v/>
      </c>
      <c r="C76" s="59" t="str">
        <f aca="false">IF(名簿!$D76="","",名簿!$D76&amp;IF(名簿!$F76="転出","（転出）",""))</f>
        <v/>
      </c>
      <c r="D76" s="149"/>
      <c r="E76" s="61" t="str">
        <f aca="false">IF(OR($C76="",名簿!$F76="転出"),"",IF($C$2="学級ごと",$A76,IF($C$2="前の単元と同じ",単元07!$E76&amp;"",$D76&amp;"")))</f>
        <v/>
      </c>
      <c r="F76" s="150"/>
      <c r="G76" s="150"/>
      <c r="H76" s="150"/>
      <c r="I76" s="151"/>
      <c r="J76" s="41" t="str">
        <f aca="false">IF($E76="","",$E76&amp;"|"&amp;COUNTIF($E$5:$E76,$E76))</f>
        <v/>
      </c>
      <c r="K76" s="40" t="str">
        <f aca="false">IF($I76="","",LEN($I76))</f>
        <v/>
      </c>
      <c r="L76" s="13"/>
      <c r="M76" s="13"/>
      <c r="N76" s="13"/>
      <c r="O76" s="13"/>
      <c r="P76" s="152"/>
      <c r="Q76" s="149"/>
      <c r="R76" s="152"/>
      <c r="S76" s="152"/>
      <c r="T76" s="62" t="str">
        <f aca="false">IF(OR($C76="",R76=""),"",IF(R76/IF($R$2="",100,$R$2)&gt;=設定!$I$28,設定!$G$8,IF(R76/IF($R$2="",100,$R$2)&lt;設定!$I$29,設定!$G$10,設定!$G$9)))</f>
        <v/>
      </c>
      <c r="U76" s="62" t="str">
        <f aca="false">IF(OR($C76="",S76=""),"",IF(S76/IF($S$2="",100,$S$2)&gt;=設定!$I$28,設定!$G$8,IF(S76/IF($S$2="",100,$S$2)&lt;設定!$I$29,設定!$G$10,設定!$G$9)))</f>
        <v/>
      </c>
    </row>
    <row r="77" customFormat="false" ht="21" hidden="false" customHeight="true" outlineLevel="0" collapsed="false">
      <c r="A77" s="91" t="str">
        <f aca="false">IF(名簿!$D77="","",名簿!$B77&amp;"")</f>
        <v/>
      </c>
      <c r="B77" s="91" t="str">
        <f aca="false">IF(名簿!$D77="","",名簿!$C77)</f>
        <v/>
      </c>
      <c r="C77" s="59" t="str">
        <f aca="false">IF(名簿!$D77="","",名簿!$D77&amp;IF(名簿!$F77="転出","（転出）",""))</f>
        <v/>
      </c>
      <c r="D77" s="149"/>
      <c r="E77" s="61" t="str">
        <f aca="false">IF(OR($C77="",名簿!$F77="転出"),"",IF($C$2="学級ごと",$A77,IF($C$2="前の単元と同じ",単元07!$E77&amp;"",$D77&amp;"")))</f>
        <v/>
      </c>
      <c r="F77" s="150"/>
      <c r="G77" s="150"/>
      <c r="H77" s="150"/>
      <c r="I77" s="151"/>
      <c r="J77" s="41" t="str">
        <f aca="false">IF($E77="","",$E77&amp;"|"&amp;COUNTIF($E$5:$E77,$E77))</f>
        <v/>
      </c>
      <c r="K77" s="40" t="str">
        <f aca="false">IF($I77="","",LEN($I77))</f>
        <v/>
      </c>
      <c r="L77" s="13"/>
      <c r="M77" s="13"/>
      <c r="N77" s="13"/>
      <c r="O77" s="13"/>
      <c r="P77" s="152"/>
      <c r="Q77" s="149"/>
      <c r="R77" s="152"/>
      <c r="S77" s="152"/>
      <c r="T77" s="62" t="str">
        <f aca="false">IF(OR($C77="",R77=""),"",IF(R77/IF($R$2="",100,$R$2)&gt;=設定!$I$28,設定!$G$8,IF(R77/IF($R$2="",100,$R$2)&lt;設定!$I$29,設定!$G$10,設定!$G$9)))</f>
        <v/>
      </c>
      <c r="U77" s="62" t="str">
        <f aca="false">IF(OR($C77="",S77=""),"",IF(S77/IF($S$2="",100,$S$2)&gt;=設定!$I$28,設定!$G$8,IF(S77/IF($S$2="",100,$S$2)&lt;設定!$I$29,設定!$G$10,設定!$G$9)))</f>
        <v/>
      </c>
    </row>
    <row r="78" customFormat="false" ht="21" hidden="false" customHeight="true" outlineLevel="0" collapsed="false">
      <c r="A78" s="91" t="str">
        <f aca="false">IF(名簿!$D78="","",名簿!$B78&amp;"")</f>
        <v/>
      </c>
      <c r="B78" s="91" t="str">
        <f aca="false">IF(名簿!$D78="","",名簿!$C78)</f>
        <v/>
      </c>
      <c r="C78" s="59" t="str">
        <f aca="false">IF(名簿!$D78="","",名簿!$D78&amp;IF(名簿!$F78="転出","（転出）",""))</f>
        <v/>
      </c>
      <c r="D78" s="149"/>
      <c r="E78" s="61" t="str">
        <f aca="false">IF(OR($C78="",名簿!$F78="転出"),"",IF($C$2="学級ごと",$A78,IF($C$2="前の単元と同じ",単元07!$E78&amp;"",$D78&amp;"")))</f>
        <v/>
      </c>
      <c r="F78" s="150"/>
      <c r="G78" s="150"/>
      <c r="H78" s="150"/>
      <c r="I78" s="151"/>
      <c r="J78" s="41" t="str">
        <f aca="false">IF($E78="","",$E78&amp;"|"&amp;COUNTIF($E$5:$E78,$E78))</f>
        <v/>
      </c>
      <c r="K78" s="40" t="str">
        <f aca="false">IF($I78="","",LEN($I78))</f>
        <v/>
      </c>
      <c r="L78" s="13"/>
      <c r="M78" s="13"/>
      <c r="N78" s="13"/>
      <c r="O78" s="13"/>
      <c r="P78" s="152"/>
      <c r="Q78" s="149"/>
      <c r="R78" s="152"/>
      <c r="S78" s="152"/>
      <c r="T78" s="62" t="str">
        <f aca="false">IF(OR($C78="",R78=""),"",IF(R78/IF($R$2="",100,$R$2)&gt;=設定!$I$28,設定!$G$8,IF(R78/IF($R$2="",100,$R$2)&lt;設定!$I$29,設定!$G$10,設定!$G$9)))</f>
        <v/>
      </c>
      <c r="U78" s="62" t="str">
        <f aca="false">IF(OR($C78="",S78=""),"",IF(S78/IF($S$2="",100,$S$2)&gt;=設定!$I$28,設定!$G$8,IF(S78/IF($S$2="",100,$S$2)&lt;設定!$I$29,設定!$G$10,設定!$G$9)))</f>
        <v/>
      </c>
    </row>
    <row r="79" customFormat="false" ht="21" hidden="false" customHeight="true" outlineLevel="0" collapsed="false">
      <c r="A79" s="91" t="str">
        <f aca="false">IF(名簿!$D79="","",名簿!$B79&amp;"")</f>
        <v/>
      </c>
      <c r="B79" s="91" t="str">
        <f aca="false">IF(名簿!$D79="","",名簿!$C79)</f>
        <v/>
      </c>
      <c r="C79" s="59" t="str">
        <f aca="false">IF(名簿!$D79="","",名簿!$D79&amp;IF(名簿!$F79="転出","（転出）",""))</f>
        <v/>
      </c>
      <c r="D79" s="149"/>
      <c r="E79" s="61" t="str">
        <f aca="false">IF(OR($C79="",名簿!$F79="転出"),"",IF($C$2="学級ごと",$A79,IF($C$2="前の単元と同じ",単元07!$E79&amp;"",$D79&amp;"")))</f>
        <v/>
      </c>
      <c r="F79" s="150"/>
      <c r="G79" s="150"/>
      <c r="H79" s="150"/>
      <c r="I79" s="151"/>
      <c r="J79" s="41" t="str">
        <f aca="false">IF($E79="","",$E79&amp;"|"&amp;COUNTIF($E$5:$E79,$E79))</f>
        <v/>
      </c>
      <c r="K79" s="40" t="str">
        <f aca="false">IF($I79="","",LEN($I79))</f>
        <v/>
      </c>
      <c r="L79" s="13"/>
      <c r="M79" s="13"/>
      <c r="N79" s="13"/>
      <c r="O79" s="13"/>
      <c r="P79" s="152"/>
      <c r="Q79" s="149"/>
      <c r="R79" s="152"/>
      <c r="S79" s="152"/>
      <c r="T79" s="62" t="str">
        <f aca="false">IF(OR($C79="",R79=""),"",IF(R79/IF($R$2="",100,$R$2)&gt;=設定!$I$28,設定!$G$8,IF(R79/IF($R$2="",100,$R$2)&lt;設定!$I$29,設定!$G$10,設定!$G$9)))</f>
        <v/>
      </c>
      <c r="U79" s="62" t="str">
        <f aca="false">IF(OR($C79="",S79=""),"",IF(S79/IF($S$2="",100,$S$2)&gt;=設定!$I$28,設定!$G$8,IF(S79/IF($S$2="",100,$S$2)&lt;設定!$I$29,設定!$G$10,設定!$G$9)))</f>
        <v/>
      </c>
    </row>
    <row r="80" customFormat="false" ht="21" hidden="false" customHeight="true" outlineLevel="0" collapsed="false">
      <c r="A80" s="91" t="str">
        <f aca="false">IF(名簿!$D80="","",名簿!$B80&amp;"")</f>
        <v/>
      </c>
      <c r="B80" s="91" t="str">
        <f aca="false">IF(名簿!$D80="","",名簿!$C80)</f>
        <v/>
      </c>
      <c r="C80" s="59" t="str">
        <f aca="false">IF(名簿!$D80="","",名簿!$D80&amp;IF(名簿!$F80="転出","（転出）",""))</f>
        <v/>
      </c>
      <c r="D80" s="149"/>
      <c r="E80" s="61" t="str">
        <f aca="false">IF(OR($C80="",名簿!$F80="転出"),"",IF($C$2="学級ごと",$A80,IF($C$2="前の単元と同じ",単元07!$E80&amp;"",$D80&amp;"")))</f>
        <v/>
      </c>
      <c r="F80" s="150"/>
      <c r="G80" s="150"/>
      <c r="H80" s="150"/>
      <c r="I80" s="151"/>
      <c r="J80" s="41" t="str">
        <f aca="false">IF($E80="","",$E80&amp;"|"&amp;COUNTIF($E$5:$E80,$E80))</f>
        <v/>
      </c>
      <c r="K80" s="40" t="str">
        <f aca="false">IF($I80="","",LEN($I80))</f>
        <v/>
      </c>
      <c r="L80" s="13"/>
      <c r="M80" s="13"/>
      <c r="N80" s="13"/>
      <c r="O80" s="13"/>
      <c r="P80" s="152"/>
      <c r="Q80" s="149"/>
      <c r="R80" s="152"/>
      <c r="S80" s="152"/>
      <c r="T80" s="62" t="str">
        <f aca="false">IF(OR($C80="",R80=""),"",IF(R80/IF($R$2="",100,$R$2)&gt;=設定!$I$28,設定!$G$8,IF(R80/IF($R$2="",100,$R$2)&lt;設定!$I$29,設定!$G$10,設定!$G$9)))</f>
        <v/>
      </c>
      <c r="U80" s="62" t="str">
        <f aca="false">IF(OR($C80="",S80=""),"",IF(S80/IF($S$2="",100,$S$2)&gt;=設定!$I$28,設定!$G$8,IF(S80/IF($S$2="",100,$S$2)&lt;設定!$I$29,設定!$G$10,設定!$G$9)))</f>
        <v/>
      </c>
    </row>
    <row r="81" customFormat="false" ht="21" hidden="false" customHeight="true" outlineLevel="0" collapsed="false">
      <c r="A81" s="91" t="str">
        <f aca="false">IF(名簿!$D81="","",名簿!$B81&amp;"")</f>
        <v/>
      </c>
      <c r="B81" s="91" t="str">
        <f aca="false">IF(名簿!$D81="","",名簿!$C81)</f>
        <v/>
      </c>
      <c r="C81" s="59" t="str">
        <f aca="false">IF(名簿!$D81="","",名簿!$D81&amp;IF(名簿!$F81="転出","（転出）",""))</f>
        <v/>
      </c>
      <c r="D81" s="149"/>
      <c r="E81" s="61" t="str">
        <f aca="false">IF(OR($C81="",名簿!$F81="転出"),"",IF($C$2="学級ごと",$A81,IF($C$2="前の単元と同じ",単元07!$E81&amp;"",$D81&amp;"")))</f>
        <v/>
      </c>
      <c r="F81" s="150"/>
      <c r="G81" s="150"/>
      <c r="H81" s="150"/>
      <c r="I81" s="151"/>
      <c r="J81" s="41" t="str">
        <f aca="false">IF($E81="","",$E81&amp;"|"&amp;COUNTIF($E$5:$E81,$E81))</f>
        <v/>
      </c>
      <c r="K81" s="40" t="str">
        <f aca="false">IF($I81="","",LEN($I81))</f>
        <v/>
      </c>
      <c r="L81" s="13"/>
      <c r="M81" s="13"/>
      <c r="N81" s="13"/>
      <c r="O81" s="13"/>
      <c r="P81" s="152"/>
      <c r="Q81" s="149"/>
      <c r="R81" s="152"/>
      <c r="S81" s="152"/>
      <c r="T81" s="62" t="str">
        <f aca="false">IF(OR($C81="",R81=""),"",IF(R81/IF($R$2="",100,$R$2)&gt;=設定!$I$28,設定!$G$8,IF(R81/IF($R$2="",100,$R$2)&lt;設定!$I$29,設定!$G$10,設定!$G$9)))</f>
        <v/>
      </c>
      <c r="U81" s="62" t="str">
        <f aca="false">IF(OR($C81="",S81=""),"",IF(S81/IF($S$2="",100,$S$2)&gt;=設定!$I$28,設定!$G$8,IF(S81/IF($S$2="",100,$S$2)&lt;設定!$I$29,設定!$G$10,設定!$G$9)))</f>
        <v/>
      </c>
    </row>
    <row r="82" customFormat="false" ht="21" hidden="false" customHeight="true" outlineLevel="0" collapsed="false">
      <c r="A82" s="91" t="str">
        <f aca="false">IF(名簿!$D82="","",名簿!$B82&amp;"")</f>
        <v/>
      </c>
      <c r="B82" s="91" t="str">
        <f aca="false">IF(名簿!$D82="","",名簿!$C82)</f>
        <v/>
      </c>
      <c r="C82" s="59" t="str">
        <f aca="false">IF(名簿!$D82="","",名簿!$D82&amp;IF(名簿!$F82="転出","（転出）",""))</f>
        <v/>
      </c>
      <c r="D82" s="149"/>
      <c r="E82" s="61" t="str">
        <f aca="false">IF(OR($C82="",名簿!$F82="転出"),"",IF($C$2="学級ごと",$A82,IF($C$2="前の単元と同じ",単元07!$E82&amp;"",$D82&amp;"")))</f>
        <v/>
      </c>
      <c r="F82" s="150"/>
      <c r="G82" s="150"/>
      <c r="H82" s="150"/>
      <c r="I82" s="151"/>
      <c r="J82" s="41" t="str">
        <f aca="false">IF($E82="","",$E82&amp;"|"&amp;COUNTIF($E$5:$E82,$E82))</f>
        <v/>
      </c>
      <c r="K82" s="40" t="str">
        <f aca="false">IF($I82="","",LEN($I82))</f>
        <v/>
      </c>
      <c r="L82" s="13"/>
      <c r="M82" s="13"/>
      <c r="N82" s="13"/>
      <c r="O82" s="13"/>
      <c r="P82" s="152"/>
      <c r="Q82" s="149"/>
      <c r="R82" s="152"/>
      <c r="S82" s="152"/>
      <c r="T82" s="62" t="str">
        <f aca="false">IF(OR($C82="",R82=""),"",IF(R82/IF($R$2="",100,$R$2)&gt;=設定!$I$28,設定!$G$8,IF(R82/IF($R$2="",100,$R$2)&lt;設定!$I$29,設定!$G$10,設定!$G$9)))</f>
        <v/>
      </c>
      <c r="U82" s="62" t="str">
        <f aca="false">IF(OR($C82="",S82=""),"",IF(S82/IF($S$2="",100,$S$2)&gt;=設定!$I$28,設定!$G$8,IF(S82/IF($S$2="",100,$S$2)&lt;設定!$I$29,設定!$G$10,設定!$G$9)))</f>
        <v/>
      </c>
    </row>
    <row r="83" customFormat="false" ht="21" hidden="false" customHeight="true" outlineLevel="0" collapsed="false">
      <c r="A83" s="91" t="str">
        <f aca="false">IF(名簿!$D83="","",名簿!$B83&amp;"")</f>
        <v/>
      </c>
      <c r="B83" s="91" t="str">
        <f aca="false">IF(名簿!$D83="","",名簿!$C83)</f>
        <v/>
      </c>
      <c r="C83" s="59" t="str">
        <f aca="false">IF(名簿!$D83="","",名簿!$D83&amp;IF(名簿!$F83="転出","（転出）",""))</f>
        <v/>
      </c>
      <c r="D83" s="149"/>
      <c r="E83" s="61" t="str">
        <f aca="false">IF(OR($C83="",名簿!$F83="転出"),"",IF($C$2="学級ごと",$A83,IF($C$2="前の単元と同じ",単元07!$E83&amp;"",$D83&amp;"")))</f>
        <v/>
      </c>
      <c r="F83" s="150"/>
      <c r="G83" s="150"/>
      <c r="H83" s="150"/>
      <c r="I83" s="151"/>
      <c r="J83" s="41" t="str">
        <f aca="false">IF($E83="","",$E83&amp;"|"&amp;COUNTIF($E$5:$E83,$E83))</f>
        <v/>
      </c>
      <c r="K83" s="40" t="str">
        <f aca="false">IF($I83="","",LEN($I83))</f>
        <v/>
      </c>
      <c r="L83" s="13"/>
      <c r="M83" s="13"/>
      <c r="N83" s="13"/>
      <c r="O83" s="13"/>
      <c r="P83" s="152"/>
      <c r="Q83" s="149"/>
      <c r="R83" s="152"/>
      <c r="S83" s="152"/>
      <c r="T83" s="62" t="str">
        <f aca="false">IF(OR($C83="",R83=""),"",IF(R83/IF($R$2="",100,$R$2)&gt;=設定!$I$28,設定!$G$8,IF(R83/IF($R$2="",100,$R$2)&lt;設定!$I$29,設定!$G$10,設定!$G$9)))</f>
        <v/>
      </c>
      <c r="U83" s="62" t="str">
        <f aca="false">IF(OR($C83="",S83=""),"",IF(S83/IF($S$2="",100,$S$2)&gt;=設定!$I$28,設定!$G$8,IF(S83/IF($S$2="",100,$S$2)&lt;設定!$I$29,設定!$G$10,設定!$G$9)))</f>
        <v/>
      </c>
    </row>
    <row r="84" customFormat="false" ht="21" hidden="false" customHeight="true" outlineLevel="0" collapsed="false">
      <c r="A84" s="91" t="str">
        <f aca="false">IF(名簿!$D84="","",名簿!$B84&amp;"")</f>
        <v/>
      </c>
      <c r="B84" s="91" t="str">
        <f aca="false">IF(名簿!$D84="","",名簿!$C84)</f>
        <v/>
      </c>
      <c r="C84" s="59" t="str">
        <f aca="false">IF(名簿!$D84="","",名簿!$D84&amp;IF(名簿!$F84="転出","（転出）",""))</f>
        <v/>
      </c>
      <c r="D84" s="149"/>
      <c r="E84" s="61" t="str">
        <f aca="false">IF(OR($C84="",名簿!$F84="転出"),"",IF($C$2="学級ごと",$A84,IF($C$2="前の単元と同じ",単元07!$E84&amp;"",$D84&amp;"")))</f>
        <v/>
      </c>
      <c r="F84" s="150"/>
      <c r="G84" s="150"/>
      <c r="H84" s="150"/>
      <c r="I84" s="151"/>
      <c r="J84" s="41" t="str">
        <f aca="false">IF($E84="","",$E84&amp;"|"&amp;COUNTIF($E$5:$E84,$E84))</f>
        <v/>
      </c>
      <c r="K84" s="40" t="str">
        <f aca="false">IF($I84="","",LEN($I84))</f>
        <v/>
      </c>
      <c r="L84" s="13"/>
      <c r="M84" s="13"/>
      <c r="N84" s="13"/>
      <c r="O84" s="13"/>
      <c r="P84" s="152"/>
      <c r="Q84" s="149"/>
      <c r="R84" s="152"/>
      <c r="S84" s="152"/>
      <c r="T84" s="62" t="str">
        <f aca="false">IF(OR($C84="",R84=""),"",IF(R84/IF($R$2="",100,$R$2)&gt;=設定!$I$28,設定!$G$8,IF(R84/IF($R$2="",100,$R$2)&lt;設定!$I$29,設定!$G$10,設定!$G$9)))</f>
        <v/>
      </c>
      <c r="U84" s="62" t="str">
        <f aca="false">IF(OR($C84="",S84=""),"",IF(S84/IF($S$2="",100,$S$2)&gt;=設定!$I$28,設定!$G$8,IF(S84/IF($S$2="",100,$S$2)&lt;設定!$I$29,設定!$G$10,設定!$G$9)))</f>
        <v/>
      </c>
    </row>
    <row r="85" customFormat="false" ht="21" hidden="false" customHeight="true" outlineLevel="0" collapsed="false">
      <c r="A85" s="91" t="str">
        <f aca="false">IF(名簿!$D85="","",名簿!$B85&amp;"")</f>
        <v/>
      </c>
      <c r="B85" s="91" t="str">
        <f aca="false">IF(名簿!$D85="","",名簿!$C85)</f>
        <v/>
      </c>
      <c r="C85" s="59" t="str">
        <f aca="false">IF(名簿!$D85="","",名簿!$D85&amp;IF(名簿!$F85="転出","（転出）",""))</f>
        <v/>
      </c>
      <c r="D85" s="149"/>
      <c r="E85" s="61" t="str">
        <f aca="false">IF(OR($C85="",名簿!$F85="転出"),"",IF($C$2="学級ごと",$A85,IF($C$2="前の単元と同じ",単元07!$E85&amp;"",$D85&amp;"")))</f>
        <v/>
      </c>
      <c r="F85" s="150"/>
      <c r="G85" s="150"/>
      <c r="H85" s="150"/>
      <c r="I85" s="151"/>
      <c r="J85" s="41" t="str">
        <f aca="false">IF($E85="","",$E85&amp;"|"&amp;COUNTIF($E$5:$E85,$E85))</f>
        <v/>
      </c>
      <c r="K85" s="40" t="str">
        <f aca="false">IF($I85="","",LEN($I85))</f>
        <v/>
      </c>
      <c r="L85" s="13"/>
      <c r="M85" s="13"/>
      <c r="N85" s="13"/>
      <c r="O85" s="13"/>
      <c r="P85" s="152"/>
      <c r="Q85" s="149"/>
      <c r="R85" s="152"/>
      <c r="S85" s="152"/>
      <c r="T85" s="62" t="str">
        <f aca="false">IF(OR($C85="",R85=""),"",IF(R85/IF($R$2="",100,$R$2)&gt;=設定!$I$28,設定!$G$8,IF(R85/IF($R$2="",100,$R$2)&lt;設定!$I$29,設定!$G$10,設定!$G$9)))</f>
        <v/>
      </c>
      <c r="U85" s="62" t="str">
        <f aca="false">IF(OR($C85="",S85=""),"",IF(S85/IF($S$2="",100,$S$2)&gt;=設定!$I$28,設定!$G$8,IF(S85/IF($S$2="",100,$S$2)&lt;設定!$I$29,設定!$G$10,設定!$G$9)))</f>
        <v/>
      </c>
    </row>
    <row r="86" customFormat="false" ht="21" hidden="false" customHeight="true" outlineLevel="0" collapsed="false">
      <c r="A86" s="91" t="str">
        <f aca="false">IF(名簿!$D86="","",名簿!$B86&amp;"")</f>
        <v/>
      </c>
      <c r="B86" s="91" t="str">
        <f aca="false">IF(名簿!$D86="","",名簿!$C86)</f>
        <v/>
      </c>
      <c r="C86" s="59" t="str">
        <f aca="false">IF(名簿!$D86="","",名簿!$D86&amp;IF(名簿!$F86="転出","（転出）",""))</f>
        <v/>
      </c>
      <c r="D86" s="149"/>
      <c r="E86" s="61" t="str">
        <f aca="false">IF(OR($C86="",名簿!$F86="転出"),"",IF($C$2="学級ごと",$A86,IF($C$2="前の単元と同じ",単元07!$E86&amp;"",$D86&amp;"")))</f>
        <v/>
      </c>
      <c r="F86" s="150"/>
      <c r="G86" s="150"/>
      <c r="H86" s="150"/>
      <c r="I86" s="151"/>
      <c r="J86" s="41" t="str">
        <f aca="false">IF($E86="","",$E86&amp;"|"&amp;COUNTIF($E$5:$E86,$E86))</f>
        <v/>
      </c>
      <c r="K86" s="40" t="str">
        <f aca="false">IF($I86="","",LEN($I86))</f>
        <v/>
      </c>
      <c r="L86" s="13"/>
      <c r="M86" s="13"/>
      <c r="N86" s="13"/>
      <c r="O86" s="13"/>
      <c r="P86" s="152"/>
      <c r="Q86" s="149"/>
      <c r="R86" s="152"/>
      <c r="S86" s="152"/>
      <c r="T86" s="62" t="str">
        <f aca="false">IF(OR($C86="",R86=""),"",IF(R86/IF($R$2="",100,$R$2)&gt;=設定!$I$28,設定!$G$8,IF(R86/IF($R$2="",100,$R$2)&lt;設定!$I$29,設定!$G$10,設定!$G$9)))</f>
        <v/>
      </c>
      <c r="U86" s="62" t="str">
        <f aca="false">IF(OR($C86="",S86=""),"",IF(S86/IF($S$2="",100,$S$2)&gt;=設定!$I$28,設定!$G$8,IF(S86/IF($S$2="",100,$S$2)&lt;設定!$I$29,設定!$G$10,設定!$G$9)))</f>
        <v/>
      </c>
    </row>
    <row r="87" customFormat="false" ht="21" hidden="false" customHeight="true" outlineLevel="0" collapsed="false">
      <c r="A87" s="91" t="str">
        <f aca="false">IF(名簿!$D87="","",名簿!$B87&amp;"")</f>
        <v/>
      </c>
      <c r="B87" s="91" t="str">
        <f aca="false">IF(名簿!$D87="","",名簿!$C87)</f>
        <v/>
      </c>
      <c r="C87" s="59" t="str">
        <f aca="false">IF(名簿!$D87="","",名簿!$D87&amp;IF(名簿!$F87="転出","（転出）",""))</f>
        <v/>
      </c>
      <c r="D87" s="149"/>
      <c r="E87" s="61" t="str">
        <f aca="false">IF(OR($C87="",名簿!$F87="転出"),"",IF($C$2="学級ごと",$A87,IF($C$2="前の単元と同じ",単元07!$E87&amp;"",$D87&amp;"")))</f>
        <v/>
      </c>
      <c r="F87" s="150"/>
      <c r="G87" s="150"/>
      <c r="H87" s="150"/>
      <c r="I87" s="151"/>
      <c r="J87" s="41" t="str">
        <f aca="false">IF($E87="","",$E87&amp;"|"&amp;COUNTIF($E$5:$E87,$E87))</f>
        <v/>
      </c>
      <c r="K87" s="40" t="str">
        <f aca="false">IF($I87="","",LEN($I87))</f>
        <v/>
      </c>
      <c r="L87" s="13"/>
      <c r="M87" s="13"/>
      <c r="N87" s="13"/>
      <c r="O87" s="13"/>
      <c r="P87" s="152"/>
      <c r="Q87" s="149"/>
      <c r="R87" s="152"/>
      <c r="S87" s="152"/>
      <c r="T87" s="62" t="str">
        <f aca="false">IF(OR($C87="",R87=""),"",IF(R87/IF($R$2="",100,$R$2)&gt;=設定!$I$28,設定!$G$8,IF(R87/IF($R$2="",100,$R$2)&lt;設定!$I$29,設定!$G$10,設定!$G$9)))</f>
        <v/>
      </c>
      <c r="U87" s="62" t="str">
        <f aca="false">IF(OR($C87="",S87=""),"",IF(S87/IF($S$2="",100,$S$2)&gt;=設定!$I$28,設定!$G$8,IF(S87/IF($S$2="",100,$S$2)&lt;設定!$I$29,設定!$G$10,設定!$G$9)))</f>
        <v/>
      </c>
    </row>
    <row r="88" customFormat="false" ht="21" hidden="false" customHeight="true" outlineLevel="0" collapsed="false">
      <c r="A88" s="91" t="str">
        <f aca="false">IF(名簿!$D88="","",名簿!$B88&amp;"")</f>
        <v/>
      </c>
      <c r="B88" s="91" t="str">
        <f aca="false">IF(名簿!$D88="","",名簿!$C88)</f>
        <v/>
      </c>
      <c r="C88" s="59" t="str">
        <f aca="false">IF(名簿!$D88="","",名簿!$D88&amp;IF(名簿!$F88="転出","（転出）",""))</f>
        <v/>
      </c>
      <c r="D88" s="149"/>
      <c r="E88" s="61" t="str">
        <f aca="false">IF(OR($C88="",名簿!$F88="転出"),"",IF($C$2="学級ごと",$A88,IF($C$2="前の単元と同じ",単元07!$E88&amp;"",$D88&amp;"")))</f>
        <v/>
      </c>
      <c r="F88" s="150"/>
      <c r="G88" s="150"/>
      <c r="H88" s="150"/>
      <c r="I88" s="151"/>
      <c r="J88" s="41" t="str">
        <f aca="false">IF($E88="","",$E88&amp;"|"&amp;COUNTIF($E$5:$E88,$E88))</f>
        <v/>
      </c>
      <c r="K88" s="40" t="str">
        <f aca="false">IF($I88="","",LEN($I88))</f>
        <v/>
      </c>
      <c r="L88" s="13"/>
      <c r="M88" s="13"/>
      <c r="N88" s="13"/>
      <c r="O88" s="13"/>
      <c r="P88" s="152"/>
      <c r="Q88" s="149"/>
      <c r="R88" s="152"/>
      <c r="S88" s="152"/>
      <c r="T88" s="62" t="str">
        <f aca="false">IF(OR($C88="",R88=""),"",IF(R88/IF($R$2="",100,$R$2)&gt;=設定!$I$28,設定!$G$8,IF(R88/IF($R$2="",100,$R$2)&lt;設定!$I$29,設定!$G$10,設定!$G$9)))</f>
        <v/>
      </c>
      <c r="U88" s="62" t="str">
        <f aca="false">IF(OR($C88="",S88=""),"",IF(S88/IF($S$2="",100,$S$2)&gt;=設定!$I$28,設定!$G$8,IF(S88/IF($S$2="",100,$S$2)&lt;設定!$I$29,設定!$G$10,設定!$G$9)))</f>
        <v/>
      </c>
    </row>
    <row r="89" customFormat="false" ht="21" hidden="false" customHeight="true" outlineLevel="0" collapsed="false">
      <c r="A89" s="91" t="str">
        <f aca="false">IF(名簿!$D89="","",名簿!$B89&amp;"")</f>
        <v/>
      </c>
      <c r="B89" s="91" t="str">
        <f aca="false">IF(名簿!$D89="","",名簿!$C89)</f>
        <v/>
      </c>
      <c r="C89" s="59" t="str">
        <f aca="false">IF(名簿!$D89="","",名簿!$D89&amp;IF(名簿!$F89="転出","（転出）",""))</f>
        <v/>
      </c>
      <c r="D89" s="149"/>
      <c r="E89" s="61" t="str">
        <f aca="false">IF(OR($C89="",名簿!$F89="転出"),"",IF($C$2="学級ごと",$A89,IF($C$2="前の単元と同じ",単元07!$E89&amp;"",$D89&amp;"")))</f>
        <v/>
      </c>
      <c r="F89" s="150"/>
      <c r="G89" s="150"/>
      <c r="H89" s="150"/>
      <c r="I89" s="151"/>
      <c r="J89" s="41" t="str">
        <f aca="false">IF($E89="","",$E89&amp;"|"&amp;COUNTIF($E$5:$E89,$E89))</f>
        <v/>
      </c>
      <c r="K89" s="40" t="str">
        <f aca="false">IF($I89="","",LEN($I89))</f>
        <v/>
      </c>
      <c r="L89" s="13"/>
      <c r="M89" s="13"/>
      <c r="N89" s="13"/>
      <c r="O89" s="13"/>
      <c r="P89" s="152"/>
      <c r="Q89" s="149"/>
      <c r="R89" s="152"/>
      <c r="S89" s="152"/>
      <c r="T89" s="62" t="str">
        <f aca="false">IF(OR($C89="",R89=""),"",IF(R89/IF($R$2="",100,$R$2)&gt;=設定!$I$28,設定!$G$8,IF(R89/IF($R$2="",100,$R$2)&lt;設定!$I$29,設定!$G$10,設定!$G$9)))</f>
        <v/>
      </c>
      <c r="U89" s="62" t="str">
        <f aca="false">IF(OR($C89="",S89=""),"",IF(S89/IF($S$2="",100,$S$2)&gt;=設定!$I$28,設定!$G$8,IF(S89/IF($S$2="",100,$S$2)&lt;設定!$I$29,設定!$G$10,設定!$G$9)))</f>
        <v/>
      </c>
    </row>
    <row r="90" customFormat="false" ht="21" hidden="false" customHeight="true" outlineLevel="0" collapsed="false">
      <c r="A90" s="91" t="str">
        <f aca="false">IF(名簿!$D90="","",名簿!$B90&amp;"")</f>
        <v/>
      </c>
      <c r="B90" s="91" t="str">
        <f aca="false">IF(名簿!$D90="","",名簿!$C90)</f>
        <v/>
      </c>
      <c r="C90" s="59" t="str">
        <f aca="false">IF(名簿!$D90="","",名簿!$D90&amp;IF(名簿!$F90="転出","（転出）",""))</f>
        <v/>
      </c>
      <c r="D90" s="149"/>
      <c r="E90" s="61" t="str">
        <f aca="false">IF(OR($C90="",名簿!$F90="転出"),"",IF($C$2="学級ごと",$A90,IF($C$2="前の単元と同じ",単元07!$E90&amp;"",$D90&amp;"")))</f>
        <v/>
      </c>
      <c r="F90" s="150"/>
      <c r="G90" s="150"/>
      <c r="H90" s="150"/>
      <c r="I90" s="151"/>
      <c r="J90" s="41" t="str">
        <f aca="false">IF($E90="","",$E90&amp;"|"&amp;COUNTIF($E$5:$E90,$E90))</f>
        <v/>
      </c>
      <c r="K90" s="40" t="str">
        <f aca="false">IF($I90="","",LEN($I90))</f>
        <v/>
      </c>
      <c r="L90" s="13"/>
      <c r="M90" s="13"/>
      <c r="N90" s="13"/>
      <c r="O90" s="13"/>
      <c r="P90" s="152"/>
      <c r="Q90" s="149"/>
      <c r="R90" s="152"/>
      <c r="S90" s="152"/>
      <c r="T90" s="62" t="str">
        <f aca="false">IF(OR($C90="",R90=""),"",IF(R90/IF($R$2="",100,$R$2)&gt;=設定!$I$28,設定!$G$8,IF(R90/IF($R$2="",100,$R$2)&lt;設定!$I$29,設定!$G$10,設定!$G$9)))</f>
        <v/>
      </c>
      <c r="U90" s="62" t="str">
        <f aca="false">IF(OR($C90="",S90=""),"",IF(S90/IF($S$2="",100,$S$2)&gt;=設定!$I$28,設定!$G$8,IF(S90/IF($S$2="",100,$S$2)&lt;設定!$I$29,設定!$G$10,設定!$G$9)))</f>
        <v/>
      </c>
    </row>
    <row r="91" customFormat="false" ht="21" hidden="false" customHeight="true" outlineLevel="0" collapsed="false">
      <c r="A91" s="91" t="str">
        <f aca="false">IF(名簿!$D91="","",名簿!$B91&amp;"")</f>
        <v/>
      </c>
      <c r="B91" s="91" t="str">
        <f aca="false">IF(名簿!$D91="","",名簿!$C91)</f>
        <v/>
      </c>
      <c r="C91" s="59" t="str">
        <f aca="false">IF(名簿!$D91="","",名簿!$D91&amp;IF(名簿!$F91="転出","（転出）",""))</f>
        <v/>
      </c>
      <c r="D91" s="149"/>
      <c r="E91" s="61" t="str">
        <f aca="false">IF(OR($C91="",名簿!$F91="転出"),"",IF($C$2="学級ごと",$A91,IF($C$2="前の単元と同じ",単元07!$E91&amp;"",$D91&amp;"")))</f>
        <v/>
      </c>
      <c r="F91" s="150"/>
      <c r="G91" s="150"/>
      <c r="H91" s="150"/>
      <c r="I91" s="151"/>
      <c r="J91" s="41" t="str">
        <f aca="false">IF($E91="","",$E91&amp;"|"&amp;COUNTIF($E$5:$E91,$E91))</f>
        <v/>
      </c>
      <c r="K91" s="40" t="str">
        <f aca="false">IF($I91="","",LEN($I91))</f>
        <v/>
      </c>
      <c r="L91" s="13"/>
      <c r="M91" s="13"/>
      <c r="N91" s="13"/>
      <c r="O91" s="13"/>
      <c r="P91" s="152"/>
      <c r="Q91" s="149"/>
      <c r="R91" s="152"/>
      <c r="S91" s="152"/>
      <c r="T91" s="62" t="str">
        <f aca="false">IF(OR($C91="",R91=""),"",IF(R91/IF($R$2="",100,$R$2)&gt;=設定!$I$28,設定!$G$8,IF(R91/IF($R$2="",100,$R$2)&lt;設定!$I$29,設定!$G$10,設定!$G$9)))</f>
        <v/>
      </c>
      <c r="U91" s="62" t="str">
        <f aca="false">IF(OR($C91="",S91=""),"",IF(S91/IF($S$2="",100,$S$2)&gt;=設定!$I$28,設定!$G$8,IF(S91/IF($S$2="",100,$S$2)&lt;設定!$I$29,設定!$G$10,設定!$G$9)))</f>
        <v/>
      </c>
    </row>
    <row r="92" customFormat="false" ht="21" hidden="false" customHeight="true" outlineLevel="0" collapsed="false">
      <c r="A92" s="91" t="str">
        <f aca="false">IF(名簿!$D92="","",名簿!$B92&amp;"")</f>
        <v/>
      </c>
      <c r="B92" s="91" t="str">
        <f aca="false">IF(名簿!$D92="","",名簿!$C92)</f>
        <v/>
      </c>
      <c r="C92" s="59" t="str">
        <f aca="false">IF(名簿!$D92="","",名簿!$D92&amp;IF(名簿!$F92="転出","（転出）",""))</f>
        <v/>
      </c>
      <c r="D92" s="149"/>
      <c r="E92" s="61" t="str">
        <f aca="false">IF(OR($C92="",名簿!$F92="転出"),"",IF($C$2="学級ごと",$A92,IF($C$2="前の単元と同じ",単元07!$E92&amp;"",$D92&amp;"")))</f>
        <v/>
      </c>
      <c r="F92" s="150"/>
      <c r="G92" s="150"/>
      <c r="H92" s="150"/>
      <c r="I92" s="151"/>
      <c r="J92" s="41" t="str">
        <f aca="false">IF($E92="","",$E92&amp;"|"&amp;COUNTIF($E$5:$E92,$E92))</f>
        <v/>
      </c>
      <c r="K92" s="40" t="str">
        <f aca="false">IF($I92="","",LEN($I92))</f>
        <v/>
      </c>
      <c r="L92" s="13"/>
      <c r="M92" s="13"/>
      <c r="N92" s="13"/>
      <c r="O92" s="13"/>
      <c r="P92" s="152"/>
      <c r="Q92" s="149"/>
      <c r="R92" s="152"/>
      <c r="S92" s="152"/>
      <c r="T92" s="62" t="str">
        <f aca="false">IF(OR($C92="",R92=""),"",IF(R92/IF($R$2="",100,$R$2)&gt;=設定!$I$28,設定!$G$8,IF(R92/IF($R$2="",100,$R$2)&lt;設定!$I$29,設定!$G$10,設定!$G$9)))</f>
        <v/>
      </c>
      <c r="U92" s="62" t="str">
        <f aca="false">IF(OR($C92="",S92=""),"",IF(S92/IF($S$2="",100,$S$2)&gt;=設定!$I$28,設定!$G$8,IF(S92/IF($S$2="",100,$S$2)&lt;設定!$I$29,設定!$G$10,設定!$G$9)))</f>
        <v/>
      </c>
    </row>
    <row r="93" customFormat="false" ht="21" hidden="false" customHeight="true" outlineLevel="0" collapsed="false">
      <c r="A93" s="91" t="str">
        <f aca="false">IF(名簿!$D93="","",名簿!$B93&amp;"")</f>
        <v/>
      </c>
      <c r="B93" s="91" t="str">
        <f aca="false">IF(名簿!$D93="","",名簿!$C93)</f>
        <v/>
      </c>
      <c r="C93" s="59" t="str">
        <f aca="false">IF(名簿!$D93="","",名簿!$D93&amp;IF(名簿!$F93="転出","（転出）",""))</f>
        <v/>
      </c>
      <c r="D93" s="149"/>
      <c r="E93" s="61" t="str">
        <f aca="false">IF(OR($C93="",名簿!$F93="転出"),"",IF($C$2="学級ごと",$A93,IF($C$2="前の単元と同じ",単元07!$E93&amp;"",$D93&amp;"")))</f>
        <v/>
      </c>
      <c r="F93" s="150"/>
      <c r="G93" s="150"/>
      <c r="H93" s="150"/>
      <c r="I93" s="151"/>
      <c r="J93" s="41" t="str">
        <f aca="false">IF($E93="","",$E93&amp;"|"&amp;COUNTIF($E$5:$E93,$E93))</f>
        <v/>
      </c>
      <c r="K93" s="40" t="str">
        <f aca="false">IF($I93="","",LEN($I93))</f>
        <v/>
      </c>
      <c r="L93" s="13"/>
      <c r="M93" s="13"/>
      <c r="N93" s="13"/>
      <c r="O93" s="13"/>
      <c r="P93" s="152"/>
      <c r="Q93" s="149"/>
      <c r="R93" s="152"/>
      <c r="S93" s="152"/>
      <c r="T93" s="62" t="str">
        <f aca="false">IF(OR($C93="",R93=""),"",IF(R93/IF($R$2="",100,$R$2)&gt;=設定!$I$28,設定!$G$8,IF(R93/IF($R$2="",100,$R$2)&lt;設定!$I$29,設定!$G$10,設定!$G$9)))</f>
        <v/>
      </c>
      <c r="U93" s="62" t="str">
        <f aca="false">IF(OR($C93="",S93=""),"",IF(S93/IF($S$2="",100,$S$2)&gt;=設定!$I$28,設定!$G$8,IF(S93/IF($S$2="",100,$S$2)&lt;設定!$I$29,設定!$G$10,設定!$G$9)))</f>
        <v/>
      </c>
    </row>
    <row r="94" customFormat="false" ht="21" hidden="false" customHeight="true" outlineLevel="0" collapsed="false">
      <c r="A94" s="91" t="str">
        <f aca="false">IF(名簿!$D94="","",名簿!$B94&amp;"")</f>
        <v/>
      </c>
      <c r="B94" s="91" t="str">
        <f aca="false">IF(名簿!$D94="","",名簿!$C94)</f>
        <v/>
      </c>
      <c r="C94" s="59" t="str">
        <f aca="false">IF(名簿!$D94="","",名簿!$D94&amp;IF(名簿!$F94="転出","（転出）",""))</f>
        <v/>
      </c>
      <c r="D94" s="149"/>
      <c r="E94" s="61" t="str">
        <f aca="false">IF(OR($C94="",名簿!$F94="転出"),"",IF($C$2="学級ごと",$A94,IF($C$2="前の単元と同じ",単元07!$E94&amp;"",$D94&amp;"")))</f>
        <v/>
      </c>
      <c r="F94" s="150"/>
      <c r="G94" s="150"/>
      <c r="H94" s="150"/>
      <c r="I94" s="151"/>
      <c r="J94" s="41" t="str">
        <f aca="false">IF($E94="","",$E94&amp;"|"&amp;COUNTIF($E$5:$E94,$E94))</f>
        <v/>
      </c>
      <c r="K94" s="40" t="str">
        <f aca="false">IF($I94="","",LEN($I94))</f>
        <v/>
      </c>
      <c r="L94" s="13"/>
      <c r="M94" s="13"/>
      <c r="N94" s="13"/>
      <c r="O94" s="13"/>
      <c r="P94" s="152"/>
      <c r="Q94" s="149"/>
      <c r="R94" s="152"/>
      <c r="S94" s="152"/>
      <c r="T94" s="62" t="str">
        <f aca="false">IF(OR($C94="",R94=""),"",IF(R94/IF($R$2="",100,$R$2)&gt;=設定!$I$28,設定!$G$8,IF(R94/IF($R$2="",100,$R$2)&lt;設定!$I$29,設定!$G$10,設定!$G$9)))</f>
        <v/>
      </c>
      <c r="U94" s="62" t="str">
        <f aca="false">IF(OR($C94="",S94=""),"",IF(S94/IF($S$2="",100,$S$2)&gt;=設定!$I$28,設定!$G$8,IF(S94/IF($S$2="",100,$S$2)&lt;設定!$I$29,設定!$G$10,設定!$G$9)))</f>
        <v/>
      </c>
    </row>
    <row r="95" customFormat="false" ht="21" hidden="false" customHeight="true" outlineLevel="0" collapsed="false">
      <c r="A95" s="91" t="str">
        <f aca="false">IF(名簿!$D95="","",名簿!$B95&amp;"")</f>
        <v/>
      </c>
      <c r="B95" s="91" t="str">
        <f aca="false">IF(名簿!$D95="","",名簿!$C95)</f>
        <v/>
      </c>
      <c r="C95" s="59" t="str">
        <f aca="false">IF(名簿!$D95="","",名簿!$D95&amp;IF(名簿!$F95="転出","（転出）",""))</f>
        <v/>
      </c>
      <c r="D95" s="149"/>
      <c r="E95" s="61" t="str">
        <f aca="false">IF(OR($C95="",名簿!$F95="転出"),"",IF($C$2="学級ごと",$A95,IF($C$2="前の単元と同じ",単元07!$E95&amp;"",$D95&amp;"")))</f>
        <v/>
      </c>
      <c r="F95" s="150"/>
      <c r="G95" s="150"/>
      <c r="H95" s="150"/>
      <c r="I95" s="151"/>
      <c r="J95" s="41" t="str">
        <f aca="false">IF($E95="","",$E95&amp;"|"&amp;COUNTIF($E$5:$E95,$E95))</f>
        <v/>
      </c>
      <c r="K95" s="40" t="str">
        <f aca="false">IF($I95="","",LEN($I95))</f>
        <v/>
      </c>
      <c r="L95" s="13"/>
      <c r="M95" s="13"/>
      <c r="N95" s="13"/>
      <c r="O95" s="13"/>
      <c r="P95" s="152"/>
      <c r="Q95" s="149"/>
      <c r="R95" s="152"/>
      <c r="S95" s="152"/>
      <c r="T95" s="62" t="str">
        <f aca="false">IF(OR($C95="",R95=""),"",IF(R95/IF($R$2="",100,$R$2)&gt;=設定!$I$28,設定!$G$8,IF(R95/IF($R$2="",100,$R$2)&lt;設定!$I$29,設定!$G$10,設定!$G$9)))</f>
        <v/>
      </c>
      <c r="U95" s="62" t="str">
        <f aca="false">IF(OR($C95="",S95=""),"",IF(S95/IF($S$2="",100,$S$2)&gt;=設定!$I$28,設定!$G$8,IF(S95/IF($S$2="",100,$S$2)&lt;設定!$I$29,設定!$G$10,設定!$G$9)))</f>
        <v/>
      </c>
    </row>
    <row r="96" customFormat="false" ht="21" hidden="false" customHeight="true" outlineLevel="0" collapsed="false">
      <c r="A96" s="91" t="str">
        <f aca="false">IF(名簿!$D96="","",名簿!$B96&amp;"")</f>
        <v/>
      </c>
      <c r="B96" s="91" t="str">
        <f aca="false">IF(名簿!$D96="","",名簿!$C96)</f>
        <v/>
      </c>
      <c r="C96" s="59" t="str">
        <f aca="false">IF(名簿!$D96="","",名簿!$D96&amp;IF(名簿!$F96="転出","（転出）",""))</f>
        <v/>
      </c>
      <c r="D96" s="149"/>
      <c r="E96" s="61" t="str">
        <f aca="false">IF(OR($C96="",名簿!$F96="転出"),"",IF($C$2="学級ごと",$A96,IF($C$2="前の単元と同じ",単元07!$E96&amp;"",$D96&amp;"")))</f>
        <v/>
      </c>
      <c r="F96" s="150"/>
      <c r="G96" s="150"/>
      <c r="H96" s="150"/>
      <c r="I96" s="151"/>
      <c r="J96" s="41" t="str">
        <f aca="false">IF($E96="","",$E96&amp;"|"&amp;COUNTIF($E$5:$E96,$E96))</f>
        <v/>
      </c>
      <c r="K96" s="40" t="str">
        <f aca="false">IF($I96="","",LEN($I96))</f>
        <v/>
      </c>
      <c r="L96" s="13"/>
      <c r="M96" s="13"/>
      <c r="N96" s="13"/>
      <c r="O96" s="13"/>
      <c r="P96" s="152"/>
      <c r="Q96" s="149"/>
      <c r="R96" s="152"/>
      <c r="S96" s="152"/>
      <c r="T96" s="62" t="str">
        <f aca="false">IF(OR($C96="",R96=""),"",IF(R96/IF($R$2="",100,$R$2)&gt;=設定!$I$28,設定!$G$8,IF(R96/IF($R$2="",100,$R$2)&lt;設定!$I$29,設定!$G$10,設定!$G$9)))</f>
        <v/>
      </c>
      <c r="U96" s="62" t="str">
        <f aca="false">IF(OR($C96="",S96=""),"",IF(S96/IF($S$2="",100,$S$2)&gt;=設定!$I$28,設定!$G$8,IF(S96/IF($S$2="",100,$S$2)&lt;設定!$I$29,設定!$G$10,設定!$G$9)))</f>
        <v/>
      </c>
    </row>
    <row r="97" customFormat="false" ht="21" hidden="false" customHeight="true" outlineLevel="0" collapsed="false">
      <c r="A97" s="91" t="str">
        <f aca="false">IF(名簿!$D97="","",名簿!$B97&amp;"")</f>
        <v/>
      </c>
      <c r="B97" s="91" t="str">
        <f aca="false">IF(名簿!$D97="","",名簿!$C97)</f>
        <v/>
      </c>
      <c r="C97" s="59" t="str">
        <f aca="false">IF(名簿!$D97="","",名簿!$D97&amp;IF(名簿!$F97="転出","（転出）",""))</f>
        <v/>
      </c>
      <c r="D97" s="149"/>
      <c r="E97" s="61" t="str">
        <f aca="false">IF(OR($C97="",名簿!$F97="転出"),"",IF($C$2="学級ごと",$A97,IF($C$2="前の単元と同じ",単元07!$E97&amp;"",$D97&amp;"")))</f>
        <v/>
      </c>
      <c r="F97" s="150"/>
      <c r="G97" s="150"/>
      <c r="H97" s="150"/>
      <c r="I97" s="151"/>
      <c r="J97" s="41" t="str">
        <f aca="false">IF($E97="","",$E97&amp;"|"&amp;COUNTIF($E$5:$E97,$E97))</f>
        <v/>
      </c>
      <c r="K97" s="40" t="str">
        <f aca="false">IF($I97="","",LEN($I97))</f>
        <v/>
      </c>
      <c r="L97" s="13"/>
      <c r="M97" s="13"/>
      <c r="N97" s="13"/>
      <c r="O97" s="13"/>
      <c r="P97" s="152"/>
      <c r="Q97" s="149"/>
      <c r="R97" s="152"/>
      <c r="S97" s="152"/>
      <c r="T97" s="62" t="str">
        <f aca="false">IF(OR($C97="",R97=""),"",IF(R97/IF($R$2="",100,$R$2)&gt;=設定!$I$28,設定!$G$8,IF(R97/IF($R$2="",100,$R$2)&lt;設定!$I$29,設定!$G$10,設定!$G$9)))</f>
        <v/>
      </c>
      <c r="U97" s="62" t="str">
        <f aca="false">IF(OR($C97="",S97=""),"",IF(S97/IF($S$2="",100,$S$2)&gt;=設定!$I$28,設定!$G$8,IF(S97/IF($S$2="",100,$S$2)&lt;設定!$I$29,設定!$G$10,設定!$G$9)))</f>
        <v/>
      </c>
    </row>
    <row r="98" customFormat="false" ht="21" hidden="false" customHeight="true" outlineLevel="0" collapsed="false">
      <c r="A98" s="91" t="str">
        <f aca="false">IF(名簿!$D98="","",名簿!$B98&amp;"")</f>
        <v/>
      </c>
      <c r="B98" s="91" t="str">
        <f aca="false">IF(名簿!$D98="","",名簿!$C98)</f>
        <v/>
      </c>
      <c r="C98" s="59" t="str">
        <f aca="false">IF(名簿!$D98="","",名簿!$D98&amp;IF(名簿!$F98="転出","（転出）",""))</f>
        <v/>
      </c>
      <c r="D98" s="149"/>
      <c r="E98" s="61" t="str">
        <f aca="false">IF(OR($C98="",名簿!$F98="転出"),"",IF($C$2="学級ごと",$A98,IF($C$2="前の単元と同じ",単元07!$E98&amp;"",$D98&amp;"")))</f>
        <v/>
      </c>
      <c r="F98" s="150"/>
      <c r="G98" s="150"/>
      <c r="H98" s="150"/>
      <c r="I98" s="151"/>
      <c r="J98" s="41" t="str">
        <f aca="false">IF($E98="","",$E98&amp;"|"&amp;COUNTIF($E$5:$E98,$E98))</f>
        <v/>
      </c>
      <c r="K98" s="40" t="str">
        <f aca="false">IF($I98="","",LEN($I98))</f>
        <v/>
      </c>
      <c r="L98" s="13"/>
      <c r="M98" s="13"/>
      <c r="N98" s="13"/>
      <c r="O98" s="13"/>
      <c r="P98" s="152"/>
      <c r="Q98" s="149"/>
      <c r="R98" s="152"/>
      <c r="S98" s="152"/>
      <c r="T98" s="62" t="str">
        <f aca="false">IF(OR($C98="",R98=""),"",IF(R98/IF($R$2="",100,$R$2)&gt;=設定!$I$28,設定!$G$8,IF(R98/IF($R$2="",100,$R$2)&lt;設定!$I$29,設定!$G$10,設定!$G$9)))</f>
        <v/>
      </c>
      <c r="U98" s="62" t="str">
        <f aca="false">IF(OR($C98="",S98=""),"",IF(S98/IF($S$2="",100,$S$2)&gt;=設定!$I$28,設定!$G$8,IF(S98/IF($S$2="",100,$S$2)&lt;設定!$I$29,設定!$G$10,設定!$G$9)))</f>
        <v/>
      </c>
    </row>
    <row r="99" customFormat="false" ht="21" hidden="false" customHeight="true" outlineLevel="0" collapsed="false">
      <c r="A99" s="91" t="str">
        <f aca="false">IF(名簿!$D99="","",名簿!$B99&amp;"")</f>
        <v/>
      </c>
      <c r="B99" s="91" t="str">
        <f aca="false">IF(名簿!$D99="","",名簿!$C99)</f>
        <v/>
      </c>
      <c r="C99" s="59" t="str">
        <f aca="false">IF(名簿!$D99="","",名簿!$D99&amp;IF(名簿!$F99="転出","（転出）",""))</f>
        <v/>
      </c>
      <c r="D99" s="149"/>
      <c r="E99" s="61" t="str">
        <f aca="false">IF(OR($C99="",名簿!$F99="転出"),"",IF($C$2="学級ごと",$A99,IF($C$2="前の単元と同じ",単元07!$E99&amp;"",$D99&amp;"")))</f>
        <v/>
      </c>
      <c r="F99" s="150"/>
      <c r="G99" s="150"/>
      <c r="H99" s="150"/>
      <c r="I99" s="151"/>
      <c r="J99" s="41" t="str">
        <f aca="false">IF($E99="","",$E99&amp;"|"&amp;COUNTIF($E$5:$E99,$E99))</f>
        <v/>
      </c>
      <c r="K99" s="40" t="str">
        <f aca="false">IF($I99="","",LEN($I99))</f>
        <v/>
      </c>
      <c r="L99" s="13"/>
      <c r="M99" s="13"/>
      <c r="N99" s="13"/>
      <c r="O99" s="13"/>
      <c r="P99" s="152"/>
      <c r="Q99" s="149"/>
      <c r="R99" s="152"/>
      <c r="S99" s="152"/>
      <c r="T99" s="62" t="str">
        <f aca="false">IF(OR($C99="",R99=""),"",IF(R99/IF($R$2="",100,$R$2)&gt;=設定!$I$28,設定!$G$8,IF(R99/IF($R$2="",100,$R$2)&lt;設定!$I$29,設定!$G$10,設定!$G$9)))</f>
        <v/>
      </c>
      <c r="U99" s="62" t="str">
        <f aca="false">IF(OR($C99="",S99=""),"",IF(S99/IF($S$2="",100,$S$2)&gt;=設定!$I$28,設定!$G$8,IF(S99/IF($S$2="",100,$S$2)&lt;設定!$I$29,設定!$G$10,設定!$G$9)))</f>
        <v/>
      </c>
    </row>
    <row r="100" customFormat="false" ht="21" hidden="false" customHeight="true" outlineLevel="0" collapsed="false">
      <c r="A100" s="91" t="str">
        <f aca="false">IF(名簿!$D100="","",名簿!$B100&amp;"")</f>
        <v/>
      </c>
      <c r="B100" s="91" t="str">
        <f aca="false">IF(名簿!$D100="","",名簿!$C100)</f>
        <v/>
      </c>
      <c r="C100" s="59" t="str">
        <f aca="false">IF(名簿!$D100="","",名簿!$D100&amp;IF(名簿!$F100="転出","（転出）",""))</f>
        <v/>
      </c>
      <c r="D100" s="149"/>
      <c r="E100" s="61" t="str">
        <f aca="false">IF(OR($C100="",名簿!$F100="転出"),"",IF($C$2="学級ごと",$A100,IF($C$2="前の単元と同じ",単元07!$E100&amp;"",$D100&amp;"")))</f>
        <v/>
      </c>
      <c r="F100" s="150"/>
      <c r="G100" s="150"/>
      <c r="H100" s="150"/>
      <c r="I100" s="151"/>
      <c r="J100" s="41" t="str">
        <f aca="false">IF($E100="","",$E100&amp;"|"&amp;COUNTIF($E$5:$E100,$E100))</f>
        <v/>
      </c>
      <c r="K100" s="40" t="str">
        <f aca="false">IF($I100="","",LEN($I100))</f>
        <v/>
      </c>
      <c r="L100" s="13"/>
      <c r="M100" s="13"/>
      <c r="N100" s="13"/>
      <c r="O100" s="13"/>
      <c r="P100" s="152"/>
      <c r="Q100" s="149"/>
      <c r="R100" s="152"/>
      <c r="S100" s="152"/>
      <c r="T100" s="62" t="str">
        <f aca="false">IF(OR($C100="",R100=""),"",IF(R100/IF($R$2="",100,$R$2)&gt;=設定!$I$28,設定!$G$8,IF(R100/IF($R$2="",100,$R$2)&lt;設定!$I$29,設定!$G$10,設定!$G$9)))</f>
        <v/>
      </c>
      <c r="U100" s="62" t="str">
        <f aca="false">IF(OR($C100="",S100=""),"",IF(S100/IF($S$2="",100,$S$2)&gt;=設定!$I$28,設定!$G$8,IF(S100/IF($S$2="",100,$S$2)&lt;設定!$I$29,設定!$G$10,設定!$G$9)))</f>
        <v/>
      </c>
    </row>
    <row r="101" customFormat="false" ht="21" hidden="false" customHeight="true" outlineLevel="0" collapsed="false">
      <c r="A101" s="91" t="str">
        <f aca="false">IF(名簿!$D101="","",名簿!$B101&amp;"")</f>
        <v/>
      </c>
      <c r="B101" s="91" t="str">
        <f aca="false">IF(名簿!$D101="","",名簿!$C101)</f>
        <v/>
      </c>
      <c r="C101" s="59" t="str">
        <f aca="false">IF(名簿!$D101="","",名簿!$D101&amp;IF(名簿!$F101="転出","（転出）",""))</f>
        <v/>
      </c>
      <c r="D101" s="149"/>
      <c r="E101" s="61" t="str">
        <f aca="false">IF(OR($C101="",名簿!$F101="転出"),"",IF($C$2="学級ごと",$A101,IF($C$2="前の単元と同じ",単元07!$E101&amp;"",$D101&amp;"")))</f>
        <v/>
      </c>
      <c r="F101" s="150"/>
      <c r="G101" s="150"/>
      <c r="H101" s="150"/>
      <c r="I101" s="151"/>
      <c r="J101" s="41" t="str">
        <f aca="false">IF($E101="","",$E101&amp;"|"&amp;COUNTIF($E$5:$E101,$E101))</f>
        <v/>
      </c>
      <c r="K101" s="40" t="str">
        <f aca="false">IF($I101="","",LEN($I101))</f>
        <v/>
      </c>
      <c r="L101" s="13"/>
      <c r="M101" s="13"/>
      <c r="N101" s="13"/>
      <c r="O101" s="13"/>
      <c r="P101" s="152"/>
      <c r="Q101" s="149"/>
      <c r="R101" s="152"/>
      <c r="S101" s="152"/>
      <c r="T101" s="62" t="str">
        <f aca="false">IF(OR($C101="",R101=""),"",IF(R101/IF($R$2="",100,$R$2)&gt;=設定!$I$28,設定!$G$8,IF(R101/IF($R$2="",100,$R$2)&lt;設定!$I$29,設定!$G$10,設定!$G$9)))</f>
        <v/>
      </c>
      <c r="U101" s="62" t="str">
        <f aca="false">IF(OR($C101="",S101=""),"",IF(S101/IF($S$2="",100,$S$2)&gt;=設定!$I$28,設定!$G$8,IF(S101/IF($S$2="",100,$S$2)&lt;設定!$I$29,設定!$G$10,設定!$G$9)))</f>
        <v/>
      </c>
    </row>
    <row r="102" customFormat="false" ht="21" hidden="false" customHeight="true" outlineLevel="0" collapsed="false">
      <c r="A102" s="91" t="str">
        <f aca="false">IF(名簿!$D102="","",名簿!$B102&amp;"")</f>
        <v/>
      </c>
      <c r="B102" s="91" t="str">
        <f aca="false">IF(名簿!$D102="","",名簿!$C102)</f>
        <v/>
      </c>
      <c r="C102" s="59" t="str">
        <f aca="false">IF(名簿!$D102="","",名簿!$D102&amp;IF(名簿!$F102="転出","（転出）",""))</f>
        <v/>
      </c>
      <c r="D102" s="149"/>
      <c r="E102" s="61" t="str">
        <f aca="false">IF(OR($C102="",名簿!$F102="転出"),"",IF($C$2="学級ごと",$A102,IF($C$2="前の単元と同じ",単元07!$E102&amp;"",$D102&amp;"")))</f>
        <v/>
      </c>
      <c r="F102" s="150"/>
      <c r="G102" s="150"/>
      <c r="H102" s="150"/>
      <c r="I102" s="151"/>
      <c r="J102" s="41" t="str">
        <f aca="false">IF($E102="","",$E102&amp;"|"&amp;COUNTIF($E$5:$E102,$E102))</f>
        <v/>
      </c>
      <c r="K102" s="40" t="str">
        <f aca="false">IF($I102="","",LEN($I102))</f>
        <v/>
      </c>
      <c r="L102" s="13"/>
      <c r="M102" s="13"/>
      <c r="N102" s="13"/>
      <c r="O102" s="13"/>
      <c r="P102" s="152"/>
      <c r="Q102" s="149"/>
      <c r="R102" s="152"/>
      <c r="S102" s="152"/>
      <c r="T102" s="62" t="str">
        <f aca="false">IF(OR($C102="",R102=""),"",IF(R102/IF($R$2="",100,$R$2)&gt;=設定!$I$28,設定!$G$8,IF(R102/IF($R$2="",100,$R$2)&lt;設定!$I$29,設定!$G$10,設定!$G$9)))</f>
        <v/>
      </c>
      <c r="U102" s="62" t="str">
        <f aca="false">IF(OR($C102="",S102=""),"",IF(S102/IF($S$2="",100,$S$2)&gt;=設定!$I$28,設定!$G$8,IF(S102/IF($S$2="",100,$S$2)&lt;設定!$I$29,設定!$G$10,設定!$G$9)))</f>
        <v/>
      </c>
    </row>
    <row r="103" customFormat="false" ht="21" hidden="false" customHeight="true" outlineLevel="0" collapsed="false">
      <c r="A103" s="91" t="str">
        <f aca="false">IF(名簿!$D103="","",名簿!$B103&amp;"")</f>
        <v/>
      </c>
      <c r="B103" s="91" t="str">
        <f aca="false">IF(名簿!$D103="","",名簿!$C103)</f>
        <v/>
      </c>
      <c r="C103" s="59" t="str">
        <f aca="false">IF(名簿!$D103="","",名簿!$D103&amp;IF(名簿!$F103="転出","（転出）",""))</f>
        <v/>
      </c>
      <c r="D103" s="149"/>
      <c r="E103" s="61" t="str">
        <f aca="false">IF(OR($C103="",名簿!$F103="転出"),"",IF($C$2="学級ごと",$A103,IF($C$2="前の単元と同じ",単元07!$E103&amp;"",$D103&amp;"")))</f>
        <v/>
      </c>
      <c r="F103" s="150"/>
      <c r="G103" s="150"/>
      <c r="H103" s="150"/>
      <c r="I103" s="151"/>
      <c r="J103" s="41" t="str">
        <f aca="false">IF($E103="","",$E103&amp;"|"&amp;COUNTIF($E$5:$E103,$E103))</f>
        <v/>
      </c>
      <c r="K103" s="40" t="str">
        <f aca="false">IF($I103="","",LEN($I103))</f>
        <v/>
      </c>
      <c r="L103" s="13"/>
      <c r="M103" s="13"/>
      <c r="N103" s="13"/>
      <c r="O103" s="13"/>
      <c r="P103" s="152"/>
      <c r="Q103" s="149"/>
      <c r="R103" s="152"/>
      <c r="S103" s="152"/>
      <c r="T103" s="62" t="str">
        <f aca="false">IF(OR($C103="",R103=""),"",IF(R103/IF($R$2="",100,$R$2)&gt;=設定!$I$28,設定!$G$8,IF(R103/IF($R$2="",100,$R$2)&lt;設定!$I$29,設定!$G$10,設定!$G$9)))</f>
        <v/>
      </c>
      <c r="U103" s="62" t="str">
        <f aca="false">IF(OR($C103="",S103=""),"",IF(S103/IF($S$2="",100,$S$2)&gt;=設定!$I$28,設定!$G$8,IF(S103/IF($S$2="",100,$S$2)&lt;設定!$I$29,設定!$G$10,設定!$G$9)))</f>
        <v/>
      </c>
    </row>
    <row r="104" customFormat="false" ht="21" hidden="false" customHeight="true" outlineLevel="0" collapsed="false">
      <c r="A104" s="91" t="str">
        <f aca="false">IF(名簿!$D104="","",名簿!$B104&amp;"")</f>
        <v/>
      </c>
      <c r="B104" s="91" t="str">
        <f aca="false">IF(名簿!$D104="","",名簿!$C104)</f>
        <v/>
      </c>
      <c r="C104" s="59" t="str">
        <f aca="false">IF(名簿!$D104="","",名簿!$D104&amp;IF(名簿!$F104="転出","（転出）",""))</f>
        <v/>
      </c>
      <c r="D104" s="149"/>
      <c r="E104" s="61" t="str">
        <f aca="false">IF(OR($C104="",名簿!$F104="転出"),"",IF($C$2="学級ごと",$A104,IF($C$2="前の単元と同じ",単元07!$E104&amp;"",$D104&amp;"")))</f>
        <v/>
      </c>
      <c r="F104" s="150"/>
      <c r="G104" s="150"/>
      <c r="H104" s="150"/>
      <c r="I104" s="151"/>
      <c r="J104" s="41" t="str">
        <f aca="false">IF($E104="","",$E104&amp;"|"&amp;COUNTIF($E$5:$E104,$E104))</f>
        <v/>
      </c>
      <c r="K104" s="40" t="str">
        <f aca="false">IF($I104="","",LEN($I104))</f>
        <v/>
      </c>
      <c r="L104" s="13"/>
      <c r="M104" s="13"/>
      <c r="N104" s="13"/>
      <c r="O104" s="13"/>
      <c r="P104" s="152"/>
      <c r="Q104" s="149"/>
      <c r="R104" s="152"/>
      <c r="S104" s="152"/>
      <c r="T104" s="62" t="str">
        <f aca="false">IF(OR($C104="",R104=""),"",IF(R104/IF($R$2="",100,$R$2)&gt;=設定!$I$28,設定!$G$8,IF(R104/IF($R$2="",100,$R$2)&lt;設定!$I$29,設定!$G$10,設定!$G$9)))</f>
        <v/>
      </c>
      <c r="U104" s="62" t="str">
        <f aca="false">IF(OR($C104="",S104=""),"",IF(S104/IF($S$2="",100,$S$2)&gt;=設定!$I$28,設定!$G$8,IF(S104/IF($S$2="",100,$S$2)&lt;設定!$I$29,設定!$G$10,設定!$G$9)))</f>
        <v/>
      </c>
    </row>
    <row r="105" customFormat="false" ht="21" hidden="false" customHeight="true" outlineLevel="0" collapsed="false">
      <c r="A105" s="91" t="str">
        <f aca="false">IF(名簿!$D105="","",名簿!$B105&amp;"")</f>
        <v/>
      </c>
      <c r="B105" s="91" t="str">
        <f aca="false">IF(名簿!$D105="","",名簿!$C105)</f>
        <v/>
      </c>
      <c r="C105" s="59" t="str">
        <f aca="false">IF(名簿!$D105="","",名簿!$D105&amp;IF(名簿!$F105="転出","（転出）",""))</f>
        <v/>
      </c>
      <c r="D105" s="149"/>
      <c r="E105" s="61" t="str">
        <f aca="false">IF(OR($C105="",名簿!$F105="転出"),"",IF($C$2="学級ごと",$A105,IF($C$2="前の単元と同じ",単元07!$E105&amp;"",$D105&amp;"")))</f>
        <v/>
      </c>
      <c r="F105" s="150"/>
      <c r="G105" s="150"/>
      <c r="H105" s="150"/>
      <c r="I105" s="151"/>
      <c r="J105" s="41" t="str">
        <f aca="false">IF($E105="","",$E105&amp;"|"&amp;COUNTIF($E$5:$E105,$E105))</f>
        <v/>
      </c>
      <c r="K105" s="40" t="str">
        <f aca="false">IF($I105="","",LEN($I105))</f>
        <v/>
      </c>
      <c r="L105" s="13"/>
      <c r="M105" s="13"/>
      <c r="N105" s="13"/>
      <c r="O105" s="13"/>
      <c r="P105" s="152"/>
      <c r="Q105" s="149"/>
      <c r="R105" s="152"/>
      <c r="S105" s="152"/>
      <c r="T105" s="62" t="str">
        <f aca="false">IF(OR($C105="",R105=""),"",IF(R105/IF($R$2="",100,$R$2)&gt;=設定!$I$28,設定!$G$8,IF(R105/IF($R$2="",100,$R$2)&lt;設定!$I$29,設定!$G$10,設定!$G$9)))</f>
        <v/>
      </c>
      <c r="U105" s="62" t="str">
        <f aca="false">IF(OR($C105="",S105=""),"",IF(S105/IF($S$2="",100,$S$2)&gt;=設定!$I$28,設定!$G$8,IF(S105/IF($S$2="",100,$S$2)&lt;設定!$I$29,設定!$G$10,設定!$G$9)))</f>
        <v/>
      </c>
    </row>
    <row r="106" customFormat="false" ht="21" hidden="false" customHeight="true" outlineLevel="0" collapsed="false">
      <c r="A106" s="91" t="str">
        <f aca="false">IF(名簿!$D106="","",名簿!$B106&amp;"")</f>
        <v/>
      </c>
      <c r="B106" s="91" t="str">
        <f aca="false">IF(名簿!$D106="","",名簿!$C106)</f>
        <v/>
      </c>
      <c r="C106" s="59" t="str">
        <f aca="false">IF(名簿!$D106="","",名簿!$D106&amp;IF(名簿!$F106="転出","（転出）",""))</f>
        <v/>
      </c>
      <c r="D106" s="149"/>
      <c r="E106" s="61" t="str">
        <f aca="false">IF(OR($C106="",名簿!$F106="転出"),"",IF($C$2="学級ごと",$A106,IF($C$2="前の単元と同じ",単元07!$E106&amp;"",$D106&amp;"")))</f>
        <v/>
      </c>
      <c r="F106" s="150"/>
      <c r="G106" s="150"/>
      <c r="H106" s="150"/>
      <c r="I106" s="151"/>
      <c r="J106" s="41" t="str">
        <f aca="false">IF($E106="","",$E106&amp;"|"&amp;COUNTIF($E$5:$E106,$E106))</f>
        <v/>
      </c>
      <c r="K106" s="40" t="str">
        <f aca="false">IF($I106="","",LEN($I106))</f>
        <v/>
      </c>
      <c r="L106" s="13"/>
      <c r="M106" s="13"/>
      <c r="N106" s="13"/>
      <c r="O106" s="13"/>
      <c r="P106" s="152"/>
      <c r="Q106" s="149"/>
      <c r="R106" s="152"/>
      <c r="S106" s="152"/>
      <c r="T106" s="62" t="str">
        <f aca="false">IF(OR($C106="",R106=""),"",IF(R106/IF($R$2="",100,$R$2)&gt;=設定!$I$28,設定!$G$8,IF(R106/IF($R$2="",100,$R$2)&lt;設定!$I$29,設定!$G$10,設定!$G$9)))</f>
        <v/>
      </c>
      <c r="U106" s="62" t="str">
        <f aca="false">IF(OR($C106="",S106=""),"",IF(S106/IF($S$2="",100,$S$2)&gt;=設定!$I$28,設定!$G$8,IF(S106/IF($S$2="",100,$S$2)&lt;設定!$I$29,設定!$G$10,設定!$G$9)))</f>
        <v/>
      </c>
    </row>
    <row r="107" customFormat="false" ht="21" hidden="false" customHeight="true" outlineLevel="0" collapsed="false">
      <c r="A107" s="91" t="str">
        <f aca="false">IF(名簿!$D107="","",名簿!$B107&amp;"")</f>
        <v/>
      </c>
      <c r="B107" s="91" t="str">
        <f aca="false">IF(名簿!$D107="","",名簿!$C107)</f>
        <v/>
      </c>
      <c r="C107" s="59" t="str">
        <f aca="false">IF(名簿!$D107="","",名簿!$D107&amp;IF(名簿!$F107="転出","（転出）",""))</f>
        <v/>
      </c>
      <c r="D107" s="149"/>
      <c r="E107" s="61" t="str">
        <f aca="false">IF(OR($C107="",名簿!$F107="転出"),"",IF($C$2="学級ごと",$A107,IF($C$2="前の単元と同じ",単元07!$E107&amp;"",$D107&amp;"")))</f>
        <v/>
      </c>
      <c r="F107" s="150"/>
      <c r="G107" s="150"/>
      <c r="H107" s="150"/>
      <c r="I107" s="151"/>
      <c r="J107" s="41" t="str">
        <f aca="false">IF($E107="","",$E107&amp;"|"&amp;COUNTIF($E$5:$E107,$E107))</f>
        <v/>
      </c>
      <c r="K107" s="40" t="str">
        <f aca="false">IF($I107="","",LEN($I107))</f>
        <v/>
      </c>
      <c r="L107" s="13"/>
      <c r="M107" s="13"/>
      <c r="N107" s="13"/>
      <c r="O107" s="13"/>
      <c r="P107" s="152"/>
      <c r="Q107" s="149"/>
      <c r="R107" s="152"/>
      <c r="S107" s="152"/>
      <c r="T107" s="62" t="str">
        <f aca="false">IF(OR($C107="",R107=""),"",IF(R107/IF($R$2="",100,$R$2)&gt;=設定!$I$28,設定!$G$8,IF(R107/IF($R$2="",100,$R$2)&lt;設定!$I$29,設定!$G$10,設定!$G$9)))</f>
        <v/>
      </c>
      <c r="U107" s="62" t="str">
        <f aca="false">IF(OR($C107="",S107=""),"",IF(S107/IF($S$2="",100,$S$2)&gt;=設定!$I$28,設定!$G$8,IF(S107/IF($S$2="",100,$S$2)&lt;設定!$I$29,設定!$G$10,設定!$G$9)))</f>
        <v/>
      </c>
    </row>
    <row r="108" customFormat="false" ht="21" hidden="false" customHeight="true" outlineLevel="0" collapsed="false">
      <c r="A108" s="91" t="str">
        <f aca="false">IF(名簿!$D108="","",名簿!$B108&amp;"")</f>
        <v/>
      </c>
      <c r="B108" s="91" t="str">
        <f aca="false">IF(名簿!$D108="","",名簿!$C108)</f>
        <v/>
      </c>
      <c r="C108" s="59" t="str">
        <f aca="false">IF(名簿!$D108="","",名簿!$D108&amp;IF(名簿!$F108="転出","（転出）",""))</f>
        <v/>
      </c>
      <c r="D108" s="149"/>
      <c r="E108" s="61" t="str">
        <f aca="false">IF(OR($C108="",名簿!$F108="転出"),"",IF($C$2="学級ごと",$A108,IF($C$2="前の単元と同じ",単元07!$E108&amp;"",$D108&amp;"")))</f>
        <v/>
      </c>
      <c r="F108" s="150"/>
      <c r="G108" s="150"/>
      <c r="H108" s="150"/>
      <c r="I108" s="151"/>
      <c r="J108" s="41" t="str">
        <f aca="false">IF($E108="","",$E108&amp;"|"&amp;COUNTIF($E$5:$E108,$E108))</f>
        <v/>
      </c>
      <c r="K108" s="40" t="str">
        <f aca="false">IF($I108="","",LEN($I108))</f>
        <v/>
      </c>
      <c r="L108" s="13"/>
      <c r="M108" s="13"/>
      <c r="N108" s="13"/>
      <c r="O108" s="13"/>
      <c r="P108" s="152"/>
      <c r="Q108" s="149"/>
      <c r="R108" s="152"/>
      <c r="S108" s="152"/>
      <c r="T108" s="62" t="str">
        <f aca="false">IF(OR($C108="",R108=""),"",IF(R108/IF($R$2="",100,$R$2)&gt;=設定!$I$28,設定!$G$8,IF(R108/IF($R$2="",100,$R$2)&lt;設定!$I$29,設定!$G$10,設定!$G$9)))</f>
        <v/>
      </c>
      <c r="U108" s="62" t="str">
        <f aca="false">IF(OR($C108="",S108=""),"",IF(S108/IF($S$2="",100,$S$2)&gt;=設定!$I$28,設定!$G$8,IF(S108/IF($S$2="",100,$S$2)&lt;設定!$I$29,設定!$G$10,設定!$G$9)))</f>
        <v/>
      </c>
    </row>
    <row r="109" customFormat="false" ht="21" hidden="false" customHeight="true" outlineLevel="0" collapsed="false">
      <c r="A109" s="91" t="str">
        <f aca="false">IF(名簿!$D109="","",名簿!$B109&amp;"")</f>
        <v/>
      </c>
      <c r="B109" s="91" t="str">
        <f aca="false">IF(名簿!$D109="","",名簿!$C109)</f>
        <v/>
      </c>
      <c r="C109" s="59" t="str">
        <f aca="false">IF(名簿!$D109="","",名簿!$D109&amp;IF(名簿!$F109="転出","（転出）",""))</f>
        <v/>
      </c>
      <c r="D109" s="149"/>
      <c r="E109" s="61" t="str">
        <f aca="false">IF(OR($C109="",名簿!$F109="転出"),"",IF($C$2="学級ごと",$A109,IF($C$2="前の単元と同じ",単元07!$E109&amp;"",$D109&amp;"")))</f>
        <v/>
      </c>
      <c r="F109" s="150"/>
      <c r="G109" s="150"/>
      <c r="H109" s="150"/>
      <c r="I109" s="151"/>
      <c r="J109" s="41" t="str">
        <f aca="false">IF($E109="","",$E109&amp;"|"&amp;COUNTIF($E$5:$E109,$E109))</f>
        <v/>
      </c>
      <c r="K109" s="40" t="str">
        <f aca="false">IF($I109="","",LEN($I109))</f>
        <v/>
      </c>
      <c r="L109" s="13"/>
      <c r="M109" s="13"/>
      <c r="N109" s="13"/>
      <c r="O109" s="13"/>
      <c r="P109" s="152"/>
      <c r="Q109" s="149"/>
      <c r="R109" s="152"/>
      <c r="S109" s="152"/>
      <c r="T109" s="62" t="str">
        <f aca="false">IF(OR($C109="",R109=""),"",IF(R109/IF($R$2="",100,$R$2)&gt;=設定!$I$28,設定!$G$8,IF(R109/IF($R$2="",100,$R$2)&lt;設定!$I$29,設定!$G$10,設定!$G$9)))</f>
        <v/>
      </c>
      <c r="U109" s="62" t="str">
        <f aca="false">IF(OR($C109="",S109=""),"",IF(S109/IF($S$2="",100,$S$2)&gt;=設定!$I$28,設定!$G$8,IF(S109/IF($S$2="",100,$S$2)&lt;設定!$I$29,設定!$G$10,設定!$G$9)))</f>
        <v/>
      </c>
    </row>
    <row r="110" customFormat="false" ht="21" hidden="false" customHeight="true" outlineLevel="0" collapsed="false">
      <c r="A110" s="91" t="str">
        <f aca="false">IF(名簿!$D110="","",名簿!$B110&amp;"")</f>
        <v/>
      </c>
      <c r="B110" s="91" t="str">
        <f aca="false">IF(名簿!$D110="","",名簿!$C110)</f>
        <v/>
      </c>
      <c r="C110" s="59" t="str">
        <f aca="false">IF(名簿!$D110="","",名簿!$D110&amp;IF(名簿!$F110="転出","（転出）",""))</f>
        <v/>
      </c>
      <c r="D110" s="149"/>
      <c r="E110" s="61" t="str">
        <f aca="false">IF(OR($C110="",名簿!$F110="転出"),"",IF($C$2="学級ごと",$A110,IF($C$2="前の単元と同じ",単元07!$E110&amp;"",$D110&amp;"")))</f>
        <v/>
      </c>
      <c r="F110" s="150"/>
      <c r="G110" s="150"/>
      <c r="H110" s="150"/>
      <c r="I110" s="151"/>
      <c r="J110" s="41" t="str">
        <f aca="false">IF($E110="","",$E110&amp;"|"&amp;COUNTIF($E$5:$E110,$E110))</f>
        <v/>
      </c>
      <c r="K110" s="40" t="str">
        <f aca="false">IF($I110="","",LEN($I110))</f>
        <v/>
      </c>
      <c r="L110" s="13"/>
      <c r="M110" s="13"/>
      <c r="N110" s="13"/>
      <c r="O110" s="13"/>
      <c r="P110" s="152"/>
      <c r="Q110" s="149"/>
      <c r="R110" s="152"/>
      <c r="S110" s="152"/>
      <c r="T110" s="62" t="str">
        <f aca="false">IF(OR($C110="",R110=""),"",IF(R110/IF($R$2="",100,$R$2)&gt;=設定!$I$28,設定!$G$8,IF(R110/IF($R$2="",100,$R$2)&lt;設定!$I$29,設定!$G$10,設定!$G$9)))</f>
        <v/>
      </c>
      <c r="U110" s="62" t="str">
        <f aca="false">IF(OR($C110="",S110=""),"",IF(S110/IF($S$2="",100,$S$2)&gt;=設定!$I$28,設定!$G$8,IF(S110/IF($S$2="",100,$S$2)&lt;設定!$I$29,設定!$G$10,設定!$G$9)))</f>
        <v/>
      </c>
    </row>
    <row r="111" customFormat="false" ht="21" hidden="false" customHeight="true" outlineLevel="0" collapsed="false">
      <c r="A111" s="91" t="str">
        <f aca="false">IF(名簿!$D111="","",名簿!$B111&amp;"")</f>
        <v/>
      </c>
      <c r="B111" s="91" t="str">
        <f aca="false">IF(名簿!$D111="","",名簿!$C111)</f>
        <v/>
      </c>
      <c r="C111" s="59" t="str">
        <f aca="false">IF(名簿!$D111="","",名簿!$D111&amp;IF(名簿!$F111="転出","（転出）",""))</f>
        <v/>
      </c>
      <c r="D111" s="149"/>
      <c r="E111" s="61" t="str">
        <f aca="false">IF(OR($C111="",名簿!$F111="転出"),"",IF($C$2="学級ごと",$A111,IF($C$2="前の単元と同じ",単元07!$E111&amp;"",$D111&amp;"")))</f>
        <v/>
      </c>
      <c r="F111" s="150"/>
      <c r="G111" s="150"/>
      <c r="H111" s="150"/>
      <c r="I111" s="151"/>
      <c r="J111" s="41" t="str">
        <f aca="false">IF($E111="","",$E111&amp;"|"&amp;COUNTIF($E$5:$E111,$E111))</f>
        <v/>
      </c>
      <c r="K111" s="40" t="str">
        <f aca="false">IF($I111="","",LEN($I111))</f>
        <v/>
      </c>
      <c r="L111" s="13"/>
      <c r="M111" s="13"/>
      <c r="N111" s="13"/>
      <c r="O111" s="13"/>
      <c r="P111" s="152"/>
      <c r="Q111" s="149"/>
      <c r="R111" s="152"/>
      <c r="S111" s="152"/>
      <c r="T111" s="62" t="str">
        <f aca="false">IF(OR($C111="",R111=""),"",IF(R111/IF($R$2="",100,$R$2)&gt;=設定!$I$28,設定!$G$8,IF(R111/IF($R$2="",100,$R$2)&lt;設定!$I$29,設定!$G$10,設定!$G$9)))</f>
        <v/>
      </c>
      <c r="U111" s="62" t="str">
        <f aca="false">IF(OR($C111="",S111=""),"",IF(S111/IF($S$2="",100,$S$2)&gt;=設定!$I$28,設定!$G$8,IF(S111/IF($S$2="",100,$S$2)&lt;設定!$I$29,設定!$G$10,設定!$G$9)))</f>
        <v/>
      </c>
    </row>
    <row r="112" customFormat="false" ht="21" hidden="false" customHeight="true" outlineLevel="0" collapsed="false">
      <c r="A112" s="91" t="str">
        <f aca="false">IF(名簿!$D112="","",名簿!$B112&amp;"")</f>
        <v/>
      </c>
      <c r="B112" s="91" t="str">
        <f aca="false">IF(名簿!$D112="","",名簿!$C112)</f>
        <v/>
      </c>
      <c r="C112" s="59" t="str">
        <f aca="false">IF(名簿!$D112="","",名簿!$D112&amp;IF(名簿!$F112="転出","（転出）",""))</f>
        <v/>
      </c>
      <c r="D112" s="149"/>
      <c r="E112" s="61" t="str">
        <f aca="false">IF(OR($C112="",名簿!$F112="転出"),"",IF($C$2="学級ごと",$A112,IF($C$2="前の単元と同じ",単元07!$E112&amp;"",$D112&amp;"")))</f>
        <v/>
      </c>
      <c r="F112" s="150"/>
      <c r="G112" s="150"/>
      <c r="H112" s="150"/>
      <c r="I112" s="151"/>
      <c r="J112" s="41" t="str">
        <f aca="false">IF($E112="","",$E112&amp;"|"&amp;COUNTIF($E$5:$E112,$E112))</f>
        <v/>
      </c>
      <c r="K112" s="40" t="str">
        <f aca="false">IF($I112="","",LEN($I112))</f>
        <v/>
      </c>
      <c r="L112" s="13"/>
      <c r="M112" s="13"/>
      <c r="N112" s="13"/>
      <c r="O112" s="13"/>
      <c r="P112" s="152"/>
      <c r="Q112" s="149"/>
      <c r="R112" s="152"/>
      <c r="S112" s="152"/>
      <c r="T112" s="62" t="str">
        <f aca="false">IF(OR($C112="",R112=""),"",IF(R112/IF($R$2="",100,$R$2)&gt;=設定!$I$28,設定!$G$8,IF(R112/IF($R$2="",100,$R$2)&lt;設定!$I$29,設定!$G$10,設定!$G$9)))</f>
        <v/>
      </c>
      <c r="U112" s="62" t="str">
        <f aca="false">IF(OR($C112="",S112=""),"",IF(S112/IF($S$2="",100,$S$2)&gt;=設定!$I$28,設定!$G$8,IF(S112/IF($S$2="",100,$S$2)&lt;設定!$I$29,設定!$G$10,設定!$G$9)))</f>
        <v/>
      </c>
    </row>
    <row r="113" customFormat="false" ht="21" hidden="false" customHeight="true" outlineLevel="0" collapsed="false">
      <c r="A113" s="91" t="str">
        <f aca="false">IF(名簿!$D113="","",名簿!$B113&amp;"")</f>
        <v/>
      </c>
      <c r="B113" s="91" t="str">
        <f aca="false">IF(名簿!$D113="","",名簿!$C113)</f>
        <v/>
      </c>
      <c r="C113" s="59" t="str">
        <f aca="false">IF(名簿!$D113="","",名簿!$D113&amp;IF(名簿!$F113="転出","（転出）",""))</f>
        <v/>
      </c>
      <c r="D113" s="149"/>
      <c r="E113" s="61" t="str">
        <f aca="false">IF(OR($C113="",名簿!$F113="転出"),"",IF($C$2="学級ごと",$A113,IF($C$2="前の単元と同じ",単元07!$E113&amp;"",$D113&amp;"")))</f>
        <v/>
      </c>
      <c r="F113" s="150"/>
      <c r="G113" s="150"/>
      <c r="H113" s="150"/>
      <c r="I113" s="151"/>
      <c r="J113" s="41" t="str">
        <f aca="false">IF($E113="","",$E113&amp;"|"&amp;COUNTIF($E$5:$E113,$E113))</f>
        <v/>
      </c>
      <c r="K113" s="40" t="str">
        <f aca="false">IF($I113="","",LEN($I113))</f>
        <v/>
      </c>
      <c r="L113" s="13"/>
      <c r="M113" s="13"/>
      <c r="N113" s="13"/>
      <c r="O113" s="13"/>
      <c r="P113" s="152"/>
      <c r="Q113" s="149"/>
      <c r="R113" s="152"/>
      <c r="S113" s="152"/>
      <c r="T113" s="62" t="str">
        <f aca="false">IF(OR($C113="",R113=""),"",IF(R113/IF($R$2="",100,$R$2)&gt;=設定!$I$28,設定!$G$8,IF(R113/IF($R$2="",100,$R$2)&lt;設定!$I$29,設定!$G$10,設定!$G$9)))</f>
        <v/>
      </c>
      <c r="U113" s="62" t="str">
        <f aca="false">IF(OR($C113="",S113=""),"",IF(S113/IF($S$2="",100,$S$2)&gt;=設定!$I$28,設定!$G$8,IF(S113/IF($S$2="",100,$S$2)&lt;設定!$I$29,設定!$G$10,設定!$G$9)))</f>
        <v/>
      </c>
    </row>
    <row r="114" customFormat="false" ht="21" hidden="false" customHeight="true" outlineLevel="0" collapsed="false">
      <c r="A114" s="91" t="str">
        <f aca="false">IF(名簿!$D114="","",名簿!$B114&amp;"")</f>
        <v/>
      </c>
      <c r="B114" s="91" t="str">
        <f aca="false">IF(名簿!$D114="","",名簿!$C114)</f>
        <v/>
      </c>
      <c r="C114" s="59" t="str">
        <f aca="false">IF(名簿!$D114="","",名簿!$D114&amp;IF(名簿!$F114="転出","（転出）",""))</f>
        <v/>
      </c>
      <c r="D114" s="149"/>
      <c r="E114" s="61" t="str">
        <f aca="false">IF(OR($C114="",名簿!$F114="転出"),"",IF($C$2="学級ごと",$A114,IF($C$2="前の単元と同じ",単元07!$E114&amp;"",$D114&amp;"")))</f>
        <v/>
      </c>
      <c r="F114" s="150"/>
      <c r="G114" s="150"/>
      <c r="H114" s="150"/>
      <c r="I114" s="151"/>
      <c r="J114" s="41" t="str">
        <f aca="false">IF($E114="","",$E114&amp;"|"&amp;COUNTIF($E$5:$E114,$E114))</f>
        <v/>
      </c>
      <c r="K114" s="40" t="str">
        <f aca="false">IF($I114="","",LEN($I114))</f>
        <v/>
      </c>
      <c r="L114" s="13"/>
      <c r="M114" s="13"/>
      <c r="N114" s="13"/>
      <c r="O114" s="13"/>
      <c r="P114" s="152"/>
      <c r="Q114" s="149"/>
      <c r="R114" s="152"/>
      <c r="S114" s="152"/>
      <c r="T114" s="62" t="str">
        <f aca="false">IF(OR($C114="",R114=""),"",IF(R114/IF($R$2="",100,$R$2)&gt;=設定!$I$28,設定!$G$8,IF(R114/IF($R$2="",100,$R$2)&lt;設定!$I$29,設定!$G$10,設定!$G$9)))</f>
        <v/>
      </c>
      <c r="U114" s="62" t="str">
        <f aca="false">IF(OR($C114="",S114=""),"",IF(S114/IF($S$2="",100,$S$2)&gt;=設定!$I$28,設定!$G$8,IF(S114/IF($S$2="",100,$S$2)&lt;設定!$I$29,設定!$G$10,設定!$G$9)))</f>
        <v/>
      </c>
    </row>
    <row r="115" customFormat="false" ht="21" hidden="false" customHeight="true" outlineLevel="0" collapsed="false">
      <c r="A115" s="91" t="str">
        <f aca="false">IF(名簿!$D115="","",名簿!$B115&amp;"")</f>
        <v/>
      </c>
      <c r="B115" s="91" t="str">
        <f aca="false">IF(名簿!$D115="","",名簿!$C115)</f>
        <v/>
      </c>
      <c r="C115" s="59" t="str">
        <f aca="false">IF(名簿!$D115="","",名簿!$D115&amp;IF(名簿!$F115="転出","（転出）",""))</f>
        <v/>
      </c>
      <c r="D115" s="149"/>
      <c r="E115" s="61" t="str">
        <f aca="false">IF(OR($C115="",名簿!$F115="転出"),"",IF($C$2="学級ごと",$A115,IF($C$2="前の単元と同じ",単元07!$E115&amp;"",$D115&amp;"")))</f>
        <v/>
      </c>
      <c r="F115" s="150"/>
      <c r="G115" s="150"/>
      <c r="H115" s="150"/>
      <c r="I115" s="151"/>
      <c r="J115" s="41" t="str">
        <f aca="false">IF($E115="","",$E115&amp;"|"&amp;COUNTIF($E$5:$E115,$E115))</f>
        <v/>
      </c>
      <c r="K115" s="40" t="str">
        <f aca="false">IF($I115="","",LEN($I115))</f>
        <v/>
      </c>
      <c r="L115" s="13"/>
      <c r="M115" s="13"/>
      <c r="N115" s="13"/>
      <c r="O115" s="13"/>
      <c r="P115" s="152"/>
      <c r="Q115" s="149"/>
      <c r="R115" s="152"/>
      <c r="S115" s="152"/>
      <c r="T115" s="62" t="str">
        <f aca="false">IF(OR($C115="",R115=""),"",IF(R115/IF($R$2="",100,$R$2)&gt;=設定!$I$28,設定!$G$8,IF(R115/IF($R$2="",100,$R$2)&lt;設定!$I$29,設定!$G$10,設定!$G$9)))</f>
        <v/>
      </c>
      <c r="U115" s="62" t="str">
        <f aca="false">IF(OR($C115="",S115=""),"",IF(S115/IF($S$2="",100,$S$2)&gt;=設定!$I$28,設定!$G$8,IF(S115/IF($S$2="",100,$S$2)&lt;設定!$I$29,設定!$G$10,設定!$G$9)))</f>
        <v/>
      </c>
    </row>
    <row r="116" customFormat="false" ht="21" hidden="false" customHeight="true" outlineLevel="0" collapsed="false">
      <c r="A116" s="91" t="str">
        <f aca="false">IF(名簿!$D116="","",名簿!$B116&amp;"")</f>
        <v/>
      </c>
      <c r="B116" s="91" t="str">
        <f aca="false">IF(名簿!$D116="","",名簿!$C116)</f>
        <v/>
      </c>
      <c r="C116" s="59" t="str">
        <f aca="false">IF(名簿!$D116="","",名簿!$D116&amp;IF(名簿!$F116="転出","（転出）",""))</f>
        <v/>
      </c>
      <c r="D116" s="149"/>
      <c r="E116" s="61" t="str">
        <f aca="false">IF(OR($C116="",名簿!$F116="転出"),"",IF($C$2="学級ごと",$A116,IF($C$2="前の単元と同じ",単元07!$E116&amp;"",$D116&amp;"")))</f>
        <v/>
      </c>
      <c r="F116" s="150"/>
      <c r="G116" s="150"/>
      <c r="H116" s="150"/>
      <c r="I116" s="151"/>
      <c r="J116" s="41" t="str">
        <f aca="false">IF($E116="","",$E116&amp;"|"&amp;COUNTIF($E$5:$E116,$E116))</f>
        <v/>
      </c>
      <c r="K116" s="40" t="str">
        <f aca="false">IF($I116="","",LEN($I116))</f>
        <v/>
      </c>
      <c r="L116" s="13"/>
      <c r="M116" s="13"/>
      <c r="N116" s="13"/>
      <c r="O116" s="13"/>
      <c r="P116" s="152"/>
      <c r="Q116" s="149"/>
      <c r="R116" s="152"/>
      <c r="S116" s="152"/>
      <c r="T116" s="62" t="str">
        <f aca="false">IF(OR($C116="",R116=""),"",IF(R116/IF($R$2="",100,$R$2)&gt;=設定!$I$28,設定!$G$8,IF(R116/IF($R$2="",100,$R$2)&lt;設定!$I$29,設定!$G$10,設定!$G$9)))</f>
        <v/>
      </c>
      <c r="U116" s="62" t="str">
        <f aca="false">IF(OR($C116="",S116=""),"",IF(S116/IF($S$2="",100,$S$2)&gt;=設定!$I$28,設定!$G$8,IF(S116/IF($S$2="",100,$S$2)&lt;設定!$I$29,設定!$G$10,設定!$G$9)))</f>
        <v/>
      </c>
    </row>
    <row r="117" customFormat="false" ht="21" hidden="false" customHeight="true" outlineLevel="0" collapsed="false">
      <c r="A117" s="91" t="str">
        <f aca="false">IF(名簿!$D117="","",名簿!$B117&amp;"")</f>
        <v/>
      </c>
      <c r="B117" s="91" t="str">
        <f aca="false">IF(名簿!$D117="","",名簿!$C117)</f>
        <v/>
      </c>
      <c r="C117" s="59" t="str">
        <f aca="false">IF(名簿!$D117="","",名簿!$D117&amp;IF(名簿!$F117="転出","（転出）",""))</f>
        <v/>
      </c>
      <c r="D117" s="149"/>
      <c r="E117" s="61" t="str">
        <f aca="false">IF(OR($C117="",名簿!$F117="転出"),"",IF($C$2="学級ごと",$A117,IF($C$2="前の単元と同じ",単元07!$E117&amp;"",$D117&amp;"")))</f>
        <v/>
      </c>
      <c r="F117" s="150"/>
      <c r="G117" s="150"/>
      <c r="H117" s="150"/>
      <c r="I117" s="151"/>
      <c r="J117" s="41" t="str">
        <f aca="false">IF($E117="","",$E117&amp;"|"&amp;COUNTIF($E$5:$E117,$E117))</f>
        <v/>
      </c>
      <c r="K117" s="40" t="str">
        <f aca="false">IF($I117="","",LEN($I117))</f>
        <v/>
      </c>
      <c r="L117" s="13"/>
      <c r="M117" s="13"/>
      <c r="N117" s="13"/>
      <c r="O117" s="13"/>
      <c r="P117" s="152"/>
      <c r="Q117" s="149"/>
      <c r="R117" s="152"/>
      <c r="S117" s="152"/>
      <c r="T117" s="62" t="str">
        <f aca="false">IF(OR($C117="",R117=""),"",IF(R117/IF($R$2="",100,$R$2)&gt;=設定!$I$28,設定!$G$8,IF(R117/IF($R$2="",100,$R$2)&lt;設定!$I$29,設定!$G$10,設定!$G$9)))</f>
        <v/>
      </c>
      <c r="U117" s="62" t="str">
        <f aca="false">IF(OR($C117="",S117=""),"",IF(S117/IF($S$2="",100,$S$2)&gt;=設定!$I$28,設定!$G$8,IF(S117/IF($S$2="",100,$S$2)&lt;設定!$I$29,設定!$G$10,設定!$G$9)))</f>
        <v/>
      </c>
    </row>
    <row r="118" customFormat="false" ht="21" hidden="false" customHeight="true" outlineLevel="0" collapsed="false">
      <c r="A118" s="91" t="str">
        <f aca="false">IF(名簿!$D118="","",名簿!$B118&amp;"")</f>
        <v/>
      </c>
      <c r="B118" s="91" t="str">
        <f aca="false">IF(名簿!$D118="","",名簿!$C118)</f>
        <v/>
      </c>
      <c r="C118" s="59" t="str">
        <f aca="false">IF(名簿!$D118="","",名簿!$D118&amp;IF(名簿!$F118="転出","（転出）",""))</f>
        <v/>
      </c>
      <c r="D118" s="149"/>
      <c r="E118" s="61" t="str">
        <f aca="false">IF(OR($C118="",名簿!$F118="転出"),"",IF($C$2="学級ごと",$A118,IF($C$2="前の単元と同じ",単元07!$E118&amp;"",$D118&amp;"")))</f>
        <v/>
      </c>
      <c r="F118" s="150"/>
      <c r="G118" s="150"/>
      <c r="H118" s="150"/>
      <c r="I118" s="151"/>
      <c r="J118" s="41" t="str">
        <f aca="false">IF($E118="","",$E118&amp;"|"&amp;COUNTIF($E$5:$E118,$E118))</f>
        <v/>
      </c>
      <c r="K118" s="40" t="str">
        <f aca="false">IF($I118="","",LEN($I118))</f>
        <v/>
      </c>
      <c r="L118" s="13"/>
      <c r="M118" s="13"/>
      <c r="N118" s="13"/>
      <c r="O118" s="13"/>
      <c r="P118" s="152"/>
      <c r="Q118" s="149"/>
      <c r="R118" s="152"/>
      <c r="S118" s="152"/>
      <c r="T118" s="62" t="str">
        <f aca="false">IF(OR($C118="",R118=""),"",IF(R118/IF($R$2="",100,$R$2)&gt;=設定!$I$28,設定!$G$8,IF(R118/IF($R$2="",100,$R$2)&lt;設定!$I$29,設定!$G$10,設定!$G$9)))</f>
        <v/>
      </c>
      <c r="U118" s="62" t="str">
        <f aca="false">IF(OR($C118="",S118=""),"",IF(S118/IF($S$2="",100,$S$2)&gt;=設定!$I$28,設定!$G$8,IF(S118/IF($S$2="",100,$S$2)&lt;設定!$I$29,設定!$G$10,設定!$G$9)))</f>
        <v/>
      </c>
    </row>
    <row r="119" customFormat="false" ht="21" hidden="false" customHeight="true" outlineLevel="0" collapsed="false">
      <c r="A119" s="91" t="str">
        <f aca="false">IF(名簿!$D119="","",名簿!$B119&amp;"")</f>
        <v/>
      </c>
      <c r="B119" s="91" t="str">
        <f aca="false">IF(名簿!$D119="","",名簿!$C119)</f>
        <v/>
      </c>
      <c r="C119" s="59" t="str">
        <f aca="false">IF(名簿!$D119="","",名簿!$D119&amp;IF(名簿!$F119="転出","（転出）",""))</f>
        <v/>
      </c>
      <c r="D119" s="149"/>
      <c r="E119" s="61" t="str">
        <f aca="false">IF(OR($C119="",名簿!$F119="転出"),"",IF($C$2="学級ごと",$A119,IF($C$2="前の単元と同じ",単元07!$E119&amp;"",$D119&amp;"")))</f>
        <v/>
      </c>
      <c r="F119" s="150"/>
      <c r="G119" s="150"/>
      <c r="H119" s="150"/>
      <c r="I119" s="151"/>
      <c r="J119" s="41" t="str">
        <f aca="false">IF($E119="","",$E119&amp;"|"&amp;COUNTIF($E$5:$E119,$E119))</f>
        <v/>
      </c>
      <c r="K119" s="40" t="str">
        <f aca="false">IF($I119="","",LEN($I119))</f>
        <v/>
      </c>
      <c r="L119" s="13"/>
      <c r="M119" s="13"/>
      <c r="N119" s="13"/>
      <c r="O119" s="13"/>
      <c r="P119" s="152"/>
      <c r="Q119" s="149"/>
      <c r="R119" s="152"/>
      <c r="S119" s="152"/>
      <c r="T119" s="62" t="str">
        <f aca="false">IF(OR($C119="",R119=""),"",IF(R119/IF($R$2="",100,$R$2)&gt;=設定!$I$28,設定!$G$8,IF(R119/IF($R$2="",100,$R$2)&lt;設定!$I$29,設定!$G$10,設定!$G$9)))</f>
        <v/>
      </c>
      <c r="U119" s="62" t="str">
        <f aca="false">IF(OR($C119="",S119=""),"",IF(S119/IF($S$2="",100,$S$2)&gt;=設定!$I$28,設定!$G$8,IF(S119/IF($S$2="",100,$S$2)&lt;設定!$I$29,設定!$G$10,設定!$G$9)))</f>
        <v/>
      </c>
    </row>
    <row r="120" customFormat="false" ht="21" hidden="false" customHeight="true" outlineLevel="0" collapsed="false">
      <c r="A120" s="91" t="str">
        <f aca="false">IF(名簿!$D120="","",名簿!$B120&amp;"")</f>
        <v/>
      </c>
      <c r="B120" s="91" t="str">
        <f aca="false">IF(名簿!$D120="","",名簿!$C120)</f>
        <v/>
      </c>
      <c r="C120" s="59" t="str">
        <f aca="false">IF(名簿!$D120="","",名簿!$D120&amp;IF(名簿!$F120="転出","（転出）",""))</f>
        <v/>
      </c>
      <c r="D120" s="149"/>
      <c r="E120" s="61" t="str">
        <f aca="false">IF(OR($C120="",名簿!$F120="転出"),"",IF($C$2="学級ごと",$A120,IF($C$2="前の単元と同じ",単元07!$E120&amp;"",$D120&amp;"")))</f>
        <v/>
      </c>
      <c r="F120" s="150"/>
      <c r="G120" s="150"/>
      <c r="H120" s="150"/>
      <c r="I120" s="151"/>
      <c r="J120" s="41" t="str">
        <f aca="false">IF($E120="","",$E120&amp;"|"&amp;COUNTIF($E$5:$E120,$E120))</f>
        <v/>
      </c>
      <c r="K120" s="40" t="str">
        <f aca="false">IF($I120="","",LEN($I120))</f>
        <v/>
      </c>
      <c r="L120" s="13"/>
      <c r="M120" s="13"/>
      <c r="N120" s="13"/>
      <c r="O120" s="13"/>
      <c r="P120" s="152"/>
      <c r="Q120" s="149"/>
      <c r="R120" s="152"/>
      <c r="S120" s="152"/>
      <c r="T120" s="62" t="str">
        <f aca="false">IF(OR($C120="",R120=""),"",IF(R120/IF($R$2="",100,$R$2)&gt;=設定!$I$28,設定!$G$8,IF(R120/IF($R$2="",100,$R$2)&lt;設定!$I$29,設定!$G$10,設定!$G$9)))</f>
        <v/>
      </c>
      <c r="U120" s="62" t="str">
        <f aca="false">IF(OR($C120="",S120=""),"",IF(S120/IF($S$2="",100,$S$2)&gt;=設定!$I$28,設定!$G$8,IF(S120/IF($S$2="",100,$S$2)&lt;設定!$I$29,設定!$G$10,設定!$G$9)))</f>
        <v/>
      </c>
    </row>
    <row r="121" customFormat="false" ht="21" hidden="false" customHeight="true" outlineLevel="0" collapsed="false">
      <c r="A121" s="91" t="str">
        <f aca="false">IF(名簿!$D121="","",名簿!$B121&amp;"")</f>
        <v/>
      </c>
      <c r="B121" s="91" t="str">
        <f aca="false">IF(名簿!$D121="","",名簿!$C121)</f>
        <v/>
      </c>
      <c r="C121" s="59" t="str">
        <f aca="false">IF(名簿!$D121="","",名簿!$D121&amp;IF(名簿!$F121="転出","（転出）",""))</f>
        <v/>
      </c>
      <c r="D121" s="149"/>
      <c r="E121" s="61" t="str">
        <f aca="false">IF(OR($C121="",名簿!$F121="転出"),"",IF($C$2="学級ごと",$A121,IF($C$2="前の単元と同じ",単元07!$E121&amp;"",$D121&amp;"")))</f>
        <v/>
      </c>
      <c r="F121" s="150"/>
      <c r="G121" s="150"/>
      <c r="H121" s="150"/>
      <c r="I121" s="151"/>
      <c r="J121" s="41" t="str">
        <f aca="false">IF($E121="","",$E121&amp;"|"&amp;COUNTIF($E$5:$E121,$E121))</f>
        <v/>
      </c>
      <c r="K121" s="40" t="str">
        <f aca="false">IF($I121="","",LEN($I121))</f>
        <v/>
      </c>
      <c r="L121" s="13"/>
      <c r="M121" s="13"/>
      <c r="N121" s="13"/>
      <c r="O121" s="13"/>
      <c r="P121" s="152"/>
      <c r="Q121" s="149"/>
      <c r="R121" s="152"/>
      <c r="S121" s="152"/>
      <c r="T121" s="62" t="str">
        <f aca="false">IF(OR($C121="",R121=""),"",IF(R121/IF($R$2="",100,$R$2)&gt;=設定!$I$28,設定!$G$8,IF(R121/IF($R$2="",100,$R$2)&lt;設定!$I$29,設定!$G$10,設定!$G$9)))</f>
        <v/>
      </c>
      <c r="U121" s="62" t="str">
        <f aca="false">IF(OR($C121="",S121=""),"",IF(S121/IF($S$2="",100,$S$2)&gt;=設定!$I$28,設定!$G$8,IF(S121/IF($S$2="",100,$S$2)&lt;設定!$I$29,設定!$G$10,設定!$G$9)))</f>
        <v/>
      </c>
    </row>
    <row r="122" customFormat="false" ht="21" hidden="false" customHeight="true" outlineLevel="0" collapsed="false">
      <c r="A122" s="91" t="str">
        <f aca="false">IF(名簿!$D122="","",名簿!$B122&amp;"")</f>
        <v/>
      </c>
      <c r="B122" s="91" t="str">
        <f aca="false">IF(名簿!$D122="","",名簿!$C122)</f>
        <v/>
      </c>
      <c r="C122" s="59" t="str">
        <f aca="false">IF(名簿!$D122="","",名簿!$D122&amp;IF(名簿!$F122="転出","（転出）",""))</f>
        <v/>
      </c>
      <c r="D122" s="149"/>
      <c r="E122" s="61" t="str">
        <f aca="false">IF(OR($C122="",名簿!$F122="転出"),"",IF($C$2="学級ごと",$A122,IF($C$2="前の単元と同じ",単元07!$E122&amp;"",$D122&amp;"")))</f>
        <v/>
      </c>
      <c r="F122" s="150"/>
      <c r="G122" s="150"/>
      <c r="H122" s="150"/>
      <c r="I122" s="151"/>
      <c r="J122" s="41" t="str">
        <f aca="false">IF($E122="","",$E122&amp;"|"&amp;COUNTIF($E$5:$E122,$E122))</f>
        <v/>
      </c>
      <c r="K122" s="40" t="str">
        <f aca="false">IF($I122="","",LEN($I122))</f>
        <v/>
      </c>
      <c r="L122" s="13"/>
      <c r="M122" s="13"/>
      <c r="N122" s="13"/>
      <c r="O122" s="13"/>
      <c r="P122" s="152"/>
      <c r="Q122" s="149"/>
      <c r="R122" s="152"/>
      <c r="S122" s="152"/>
      <c r="T122" s="62" t="str">
        <f aca="false">IF(OR($C122="",R122=""),"",IF(R122/IF($R$2="",100,$R$2)&gt;=設定!$I$28,設定!$G$8,IF(R122/IF($R$2="",100,$R$2)&lt;設定!$I$29,設定!$G$10,設定!$G$9)))</f>
        <v/>
      </c>
      <c r="U122" s="62" t="str">
        <f aca="false">IF(OR($C122="",S122=""),"",IF(S122/IF($S$2="",100,$S$2)&gt;=設定!$I$28,設定!$G$8,IF(S122/IF($S$2="",100,$S$2)&lt;設定!$I$29,設定!$G$10,設定!$G$9)))</f>
        <v/>
      </c>
    </row>
    <row r="123" customFormat="false" ht="21" hidden="false" customHeight="true" outlineLevel="0" collapsed="false">
      <c r="A123" s="91" t="str">
        <f aca="false">IF(名簿!$D123="","",名簿!$B123&amp;"")</f>
        <v/>
      </c>
      <c r="B123" s="91" t="str">
        <f aca="false">IF(名簿!$D123="","",名簿!$C123)</f>
        <v/>
      </c>
      <c r="C123" s="59" t="str">
        <f aca="false">IF(名簿!$D123="","",名簿!$D123&amp;IF(名簿!$F123="転出","（転出）",""))</f>
        <v/>
      </c>
      <c r="D123" s="149"/>
      <c r="E123" s="61" t="str">
        <f aca="false">IF(OR($C123="",名簿!$F123="転出"),"",IF($C$2="学級ごと",$A123,IF($C$2="前の単元と同じ",単元07!$E123&amp;"",$D123&amp;"")))</f>
        <v/>
      </c>
      <c r="F123" s="150"/>
      <c r="G123" s="150"/>
      <c r="H123" s="150"/>
      <c r="I123" s="151"/>
      <c r="J123" s="41" t="str">
        <f aca="false">IF($E123="","",$E123&amp;"|"&amp;COUNTIF($E$5:$E123,$E123))</f>
        <v/>
      </c>
      <c r="K123" s="40" t="str">
        <f aca="false">IF($I123="","",LEN($I123))</f>
        <v/>
      </c>
      <c r="L123" s="13"/>
      <c r="M123" s="13"/>
      <c r="N123" s="13"/>
      <c r="O123" s="13"/>
      <c r="P123" s="152"/>
      <c r="Q123" s="149"/>
      <c r="R123" s="152"/>
      <c r="S123" s="152"/>
      <c r="T123" s="62" t="str">
        <f aca="false">IF(OR($C123="",R123=""),"",IF(R123/IF($R$2="",100,$R$2)&gt;=設定!$I$28,設定!$G$8,IF(R123/IF($R$2="",100,$R$2)&lt;設定!$I$29,設定!$G$10,設定!$G$9)))</f>
        <v/>
      </c>
      <c r="U123" s="62" t="str">
        <f aca="false">IF(OR($C123="",S123=""),"",IF(S123/IF($S$2="",100,$S$2)&gt;=設定!$I$28,設定!$G$8,IF(S123/IF($S$2="",100,$S$2)&lt;設定!$I$29,設定!$G$10,設定!$G$9)))</f>
        <v/>
      </c>
    </row>
    <row r="124" customFormat="false" ht="21" hidden="false" customHeight="true" outlineLevel="0" collapsed="false">
      <c r="A124" s="91" t="str">
        <f aca="false">IF(名簿!$D124="","",名簿!$B124&amp;"")</f>
        <v/>
      </c>
      <c r="B124" s="91" t="str">
        <f aca="false">IF(名簿!$D124="","",名簿!$C124)</f>
        <v/>
      </c>
      <c r="C124" s="59" t="str">
        <f aca="false">IF(名簿!$D124="","",名簿!$D124&amp;IF(名簿!$F124="転出","（転出）",""))</f>
        <v/>
      </c>
      <c r="D124" s="149"/>
      <c r="E124" s="61" t="str">
        <f aca="false">IF(OR($C124="",名簿!$F124="転出"),"",IF($C$2="学級ごと",$A124,IF($C$2="前の単元と同じ",単元07!$E124&amp;"",$D124&amp;"")))</f>
        <v/>
      </c>
      <c r="F124" s="150"/>
      <c r="G124" s="150"/>
      <c r="H124" s="150"/>
      <c r="I124" s="151"/>
      <c r="J124" s="41" t="str">
        <f aca="false">IF($E124="","",$E124&amp;"|"&amp;COUNTIF($E$5:$E124,$E124))</f>
        <v/>
      </c>
      <c r="K124" s="40" t="str">
        <f aca="false">IF($I124="","",LEN($I124))</f>
        <v/>
      </c>
      <c r="L124" s="13"/>
      <c r="M124" s="13"/>
      <c r="N124" s="13"/>
      <c r="O124" s="13"/>
      <c r="P124" s="152"/>
      <c r="Q124" s="149"/>
      <c r="R124" s="152"/>
      <c r="S124" s="152"/>
      <c r="T124" s="62" t="str">
        <f aca="false">IF(OR($C124="",R124=""),"",IF(R124/IF($R$2="",100,$R$2)&gt;=設定!$I$28,設定!$G$8,IF(R124/IF($R$2="",100,$R$2)&lt;設定!$I$29,設定!$G$10,設定!$G$9)))</f>
        <v/>
      </c>
      <c r="U124" s="62" t="str">
        <f aca="false">IF(OR($C124="",S124=""),"",IF(S124/IF($S$2="",100,$S$2)&gt;=設定!$I$28,設定!$G$8,IF(S124/IF($S$2="",100,$S$2)&lt;設定!$I$29,設定!$G$10,設定!$G$9)))</f>
        <v/>
      </c>
    </row>
    <row r="125" customFormat="false" ht="21" hidden="false" customHeight="true" outlineLevel="0" collapsed="false">
      <c r="A125" s="91" t="str">
        <f aca="false">IF(名簿!$D125="","",名簿!$B125&amp;"")</f>
        <v/>
      </c>
      <c r="B125" s="91" t="str">
        <f aca="false">IF(名簿!$D125="","",名簿!$C125)</f>
        <v/>
      </c>
      <c r="C125" s="59" t="str">
        <f aca="false">IF(名簿!$D125="","",名簿!$D125&amp;IF(名簿!$F125="転出","（転出）",""))</f>
        <v/>
      </c>
      <c r="D125" s="149"/>
      <c r="E125" s="61" t="str">
        <f aca="false">IF(OR($C125="",名簿!$F125="転出"),"",IF($C$2="学級ごと",$A125,IF($C$2="前の単元と同じ",単元07!$E125&amp;"",$D125&amp;"")))</f>
        <v/>
      </c>
      <c r="F125" s="150"/>
      <c r="G125" s="150"/>
      <c r="H125" s="150"/>
      <c r="I125" s="151"/>
      <c r="J125" s="41" t="str">
        <f aca="false">IF($E125="","",$E125&amp;"|"&amp;COUNTIF($E$5:$E125,$E125))</f>
        <v/>
      </c>
      <c r="K125" s="40" t="str">
        <f aca="false">IF($I125="","",LEN($I125))</f>
        <v/>
      </c>
      <c r="L125" s="13"/>
      <c r="M125" s="13"/>
      <c r="N125" s="13"/>
      <c r="O125" s="13"/>
      <c r="P125" s="152"/>
      <c r="Q125" s="149"/>
      <c r="R125" s="152"/>
      <c r="S125" s="152"/>
      <c r="T125" s="62" t="str">
        <f aca="false">IF(OR($C125="",R125=""),"",IF(R125/IF($R$2="",100,$R$2)&gt;=設定!$I$28,設定!$G$8,IF(R125/IF($R$2="",100,$R$2)&lt;設定!$I$29,設定!$G$10,設定!$G$9)))</f>
        <v/>
      </c>
      <c r="U125" s="62" t="str">
        <f aca="false">IF(OR($C125="",S125=""),"",IF(S125/IF($S$2="",100,$S$2)&gt;=設定!$I$28,設定!$G$8,IF(S125/IF($S$2="",100,$S$2)&lt;設定!$I$29,設定!$G$10,設定!$G$9)))</f>
        <v/>
      </c>
    </row>
    <row r="126" customFormat="false" ht="21" hidden="false" customHeight="true" outlineLevel="0" collapsed="false">
      <c r="A126" s="91" t="str">
        <f aca="false">IF(名簿!$D126="","",名簿!$B126&amp;"")</f>
        <v/>
      </c>
      <c r="B126" s="91" t="str">
        <f aca="false">IF(名簿!$D126="","",名簿!$C126)</f>
        <v/>
      </c>
      <c r="C126" s="59" t="str">
        <f aca="false">IF(名簿!$D126="","",名簿!$D126&amp;IF(名簿!$F126="転出","（転出）",""))</f>
        <v/>
      </c>
      <c r="D126" s="149"/>
      <c r="E126" s="61" t="str">
        <f aca="false">IF(OR($C126="",名簿!$F126="転出"),"",IF($C$2="学級ごと",$A126,IF($C$2="前の単元と同じ",単元07!$E126&amp;"",$D126&amp;"")))</f>
        <v/>
      </c>
      <c r="F126" s="150"/>
      <c r="G126" s="150"/>
      <c r="H126" s="150"/>
      <c r="I126" s="151"/>
      <c r="J126" s="41" t="str">
        <f aca="false">IF($E126="","",$E126&amp;"|"&amp;COUNTIF($E$5:$E126,$E126))</f>
        <v/>
      </c>
      <c r="K126" s="40" t="str">
        <f aca="false">IF($I126="","",LEN($I126))</f>
        <v/>
      </c>
      <c r="L126" s="13"/>
      <c r="M126" s="13"/>
      <c r="N126" s="13"/>
      <c r="O126" s="13"/>
      <c r="P126" s="152"/>
      <c r="Q126" s="149"/>
      <c r="R126" s="152"/>
      <c r="S126" s="152"/>
      <c r="T126" s="62" t="str">
        <f aca="false">IF(OR($C126="",R126=""),"",IF(R126/IF($R$2="",100,$R$2)&gt;=設定!$I$28,設定!$G$8,IF(R126/IF($R$2="",100,$R$2)&lt;設定!$I$29,設定!$G$10,設定!$G$9)))</f>
        <v/>
      </c>
      <c r="U126" s="62" t="str">
        <f aca="false">IF(OR($C126="",S126=""),"",IF(S126/IF($S$2="",100,$S$2)&gt;=設定!$I$28,設定!$G$8,IF(S126/IF($S$2="",100,$S$2)&lt;設定!$I$29,設定!$G$10,設定!$G$9)))</f>
        <v/>
      </c>
    </row>
    <row r="127" customFormat="false" ht="21" hidden="false" customHeight="true" outlineLevel="0" collapsed="false">
      <c r="A127" s="91" t="str">
        <f aca="false">IF(名簿!$D127="","",名簿!$B127&amp;"")</f>
        <v/>
      </c>
      <c r="B127" s="91" t="str">
        <f aca="false">IF(名簿!$D127="","",名簿!$C127)</f>
        <v/>
      </c>
      <c r="C127" s="59" t="str">
        <f aca="false">IF(名簿!$D127="","",名簿!$D127&amp;IF(名簿!$F127="転出","（転出）",""))</f>
        <v/>
      </c>
      <c r="D127" s="149"/>
      <c r="E127" s="61" t="str">
        <f aca="false">IF(OR($C127="",名簿!$F127="転出"),"",IF($C$2="学級ごと",$A127,IF($C$2="前の単元と同じ",単元07!$E127&amp;"",$D127&amp;"")))</f>
        <v/>
      </c>
      <c r="F127" s="150"/>
      <c r="G127" s="150"/>
      <c r="H127" s="150"/>
      <c r="I127" s="151"/>
      <c r="J127" s="41" t="str">
        <f aca="false">IF($E127="","",$E127&amp;"|"&amp;COUNTIF($E$5:$E127,$E127))</f>
        <v/>
      </c>
      <c r="K127" s="40" t="str">
        <f aca="false">IF($I127="","",LEN($I127))</f>
        <v/>
      </c>
      <c r="L127" s="13"/>
      <c r="M127" s="13"/>
      <c r="N127" s="13"/>
      <c r="O127" s="13"/>
      <c r="P127" s="152"/>
      <c r="Q127" s="149"/>
      <c r="R127" s="152"/>
      <c r="S127" s="152"/>
      <c r="T127" s="62" t="str">
        <f aca="false">IF(OR($C127="",R127=""),"",IF(R127/IF($R$2="",100,$R$2)&gt;=設定!$I$28,設定!$G$8,IF(R127/IF($R$2="",100,$R$2)&lt;設定!$I$29,設定!$G$10,設定!$G$9)))</f>
        <v/>
      </c>
      <c r="U127" s="62" t="str">
        <f aca="false">IF(OR($C127="",S127=""),"",IF(S127/IF($S$2="",100,$S$2)&gt;=設定!$I$28,設定!$G$8,IF(S127/IF($S$2="",100,$S$2)&lt;設定!$I$29,設定!$G$10,設定!$G$9)))</f>
        <v/>
      </c>
    </row>
    <row r="128" customFormat="false" ht="21" hidden="false" customHeight="true" outlineLevel="0" collapsed="false">
      <c r="A128" s="91" t="str">
        <f aca="false">IF(名簿!$D128="","",名簿!$B128&amp;"")</f>
        <v/>
      </c>
      <c r="B128" s="91" t="str">
        <f aca="false">IF(名簿!$D128="","",名簿!$C128)</f>
        <v/>
      </c>
      <c r="C128" s="59" t="str">
        <f aca="false">IF(名簿!$D128="","",名簿!$D128&amp;IF(名簿!$F128="転出","（転出）",""))</f>
        <v/>
      </c>
      <c r="D128" s="149"/>
      <c r="E128" s="61" t="str">
        <f aca="false">IF(OR($C128="",名簿!$F128="転出"),"",IF($C$2="学級ごと",$A128,IF($C$2="前の単元と同じ",単元07!$E128&amp;"",$D128&amp;"")))</f>
        <v/>
      </c>
      <c r="F128" s="150"/>
      <c r="G128" s="150"/>
      <c r="H128" s="150"/>
      <c r="I128" s="151"/>
      <c r="J128" s="41" t="str">
        <f aca="false">IF($E128="","",$E128&amp;"|"&amp;COUNTIF($E$5:$E128,$E128))</f>
        <v/>
      </c>
      <c r="K128" s="40" t="str">
        <f aca="false">IF($I128="","",LEN($I128))</f>
        <v/>
      </c>
      <c r="L128" s="13"/>
      <c r="M128" s="13"/>
      <c r="N128" s="13"/>
      <c r="O128" s="13"/>
      <c r="P128" s="152"/>
      <c r="Q128" s="149"/>
      <c r="R128" s="152"/>
      <c r="S128" s="152"/>
      <c r="T128" s="62" t="str">
        <f aca="false">IF(OR($C128="",R128=""),"",IF(R128/IF($R$2="",100,$R$2)&gt;=設定!$I$28,設定!$G$8,IF(R128/IF($R$2="",100,$R$2)&lt;設定!$I$29,設定!$G$10,設定!$G$9)))</f>
        <v/>
      </c>
      <c r="U128" s="62" t="str">
        <f aca="false">IF(OR($C128="",S128=""),"",IF(S128/IF($S$2="",100,$S$2)&gt;=設定!$I$28,設定!$G$8,IF(S128/IF($S$2="",100,$S$2)&lt;設定!$I$29,設定!$G$10,設定!$G$9)))</f>
        <v/>
      </c>
    </row>
    <row r="129" customFormat="false" ht="21" hidden="false" customHeight="true" outlineLevel="0" collapsed="false">
      <c r="A129" s="91" t="str">
        <f aca="false">IF(名簿!$D129="","",名簿!$B129&amp;"")</f>
        <v/>
      </c>
      <c r="B129" s="91" t="str">
        <f aca="false">IF(名簿!$D129="","",名簿!$C129)</f>
        <v/>
      </c>
      <c r="C129" s="59" t="str">
        <f aca="false">IF(名簿!$D129="","",名簿!$D129&amp;IF(名簿!$F129="転出","（転出）",""))</f>
        <v/>
      </c>
      <c r="D129" s="149"/>
      <c r="E129" s="61" t="str">
        <f aca="false">IF(OR($C129="",名簿!$F129="転出"),"",IF($C$2="学級ごと",$A129,IF($C$2="前の単元と同じ",単元07!$E129&amp;"",$D129&amp;"")))</f>
        <v/>
      </c>
      <c r="F129" s="150"/>
      <c r="G129" s="150"/>
      <c r="H129" s="150"/>
      <c r="I129" s="151"/>
      <c r="J129" s="41" t="str">
        <f aca="false">IF($E129="","",$E129&amp;"|"&amp;COUNTIF($E$5:$E129,$E129))</f>
        <v/>
      </c>
      <c r="K129" s="40" t="str">
        <f aca="false">IF($I129="","",LEN($I129))</f>
        <v/>
      </c>
      <c r="L129" s="13"/>
      <c r="M129" s="13"/>
      <c r="N129" s="13"/>
      <c r="O129" s="13"/>
      <c r="P129" s="152"/>
      <c r="Q129" s="149"/>
      <c r="R129" s="152"/>
      <c r="S129" s="152"/>
      <c r="T129" s="62" t="str">
        <f aca="false">IF(OR($C129="",R129=""),"",IF(R129/IF($R$2="",100,$R$2)&gt;=設定!$I$28,設定!$G$8,IF(R129/IF($R$2="",100,$R$2)&lt;設定!$I$29,設定!$G$10,設定!$G$9)))</f>
        <v/>
      </c>
      <c r="U129" s="62" t="str">
        <f aca="false">IF(OR($C129="",S129=""),"",IF(S129/IF($S$2="",100,$S$2)&gt;=設定!$I$28,設定!$G$8,IF(S129/IF($S$2="",100,$S$2)&lt;設定!$I$29,設定!$G$10,設定!$G$9)))</f>
        <v/>
      </c>
    </row>
    <row r="130" customFormat="false" ht="21" hidden="false" customHeight="true" outlineLevel="0" collapsed="false">
      <c r="A130" s="91" t="str">
        <f aca="false">IF(名簿!$D130="","",名簿!$B130&amp;"")</f>
        <v/>
      </c>
      <c r="B130" s="91" t="str">
        <f aca="false">IF(名簿!$D130="","",名簿!$C130)</f>
        <v/>
      </c>
      <c r="C130" s="59" t="str">
        <f aca="false">IF(名簿!$D130="","",名簿!$D130&amp;IF(名簿!$F130="転出","（転出）",""))</f>
        <v/>
      </c>
      <c r="D130" s="149"/>
      <c r="E130" s="61" t="str">
        <f aca="false">IF(OR($C130="",名簿!$F130="転出"),"",IF($C$2="学級ごと",$A130,IF($C$2="前の単元と同じ",単元07!$E130&amp;"",$D130&amp;"")))</f>
        <v/>
      </c>
      <c r="F130" s="150"/>
      <c r="G130" s="150"/>
      <c r="H130" s="150"/>
      <c r="I130" s="151"/>
      <c r="J130" s="41" t="str">
        <f aca="false">IF($E130="","",$E130&amp;"|"&amp;COUNTIF($E$5:$E130,$E130))</f>
        <v/>
      </c>
      <c r="K130" s="40" t="str">
        <f aca="false">IF($I130="","",LEN($I130))</f>
        <v/>
      </c>
      <c r="L130" s="13"/>
      <c r="M130" s="13"/>
      <c r="N130" s="13"/>
      <c r="O130" s="13"/>
      <c r="P130" s="152"/>
      <c r="Q130" s="149"/>
      <c r="R130" s="152"/>
      <c r="S130" s="152"/>
      <c r="T130" s="62" t="str">
        <f aca="false">IF(OR($C130="",R130=""),"",IF(R130/IF($R$2="",100,$R$2)&gt;=設定!$I$28,設定!$G$8,IF(R130/IF($R$2="",100,$R$2)&lt;設定!$I$29,設定!$G$10,設定!$G$9)))</f>
        <v/>
      </c>
      <c r="U130" s="62" t="str">
        <f aca="false">IF(OR($C130="",S130=""),"",IF(S130/IF($S$2="",100,$S$2)&gt;=設定!$I$28,設定!$G$8,IF(S130/IF($S$2="",100,$S$2)&lt;設定!$I$29,設定!$G$10,設定!$G$9)))</f>
        <v/>
      </c>
    </row>
    <row r="131" customFormat="false" ht="21" hidden="false" customHeight="true" outlineLevel="0" collapsed="false">
      <c r="A131" s="91" t="str">
        <f aca="false">IF(名簿!$D131="","",名簿!$B131&amp;"")</f>
        <v/>
      </c>
      <c r="B131" s="91" t="str">
        <f aca="false">IF(名簿!$D131="","",名簿!$C131)</f>
        <v/>
      </c>
      <c r="C131" s="59" t="str">
        <f aca="false">IF(名簿!$D131="","",名簿!$D131&amp;IF(名簿!$F131="転出","（転出）",""))</f>
        <v/>
      </c>
      <c r="D131" s="149"/>
      <c r="E131" s="61" t="str">
        <f aca="false">IF(OR($C131="",名簿!$F131="転出"),"",IF($C$2="学級ごと",$A131,IF($C$2="前の単元と同じ",単元07!$E131&amp;"",$D131&amp;"")))</f>
        <v/>
      </c>
      <c r="F131" s="150"/>
      <c r="G131" s="150"/>
      <c r="H131" s="150"/>
      <c r="I131" s="151"/>
      <c r="J131" s="41" t="str">
        <f aca="false">IF($E131="","",$E131&amp;"|"&amp;COUNTIF($E$5:$E131,$E131))</f>
        <v/>
      </c>
      <c r="K131" s="40" t="str">
        <f aca="false">IF($I131="","",LEN($I131))</f>
        <v/>
      </c>
      <c r="L131" s="13"/>
      <c r="M131" s="13"/>
      <c r="N131" s="13"/>
      <c r="O131" s="13"/>
      <c r="P131" s="152"/>
      <c r="Q131" s="149"/>
      <c r="R131" s="152"/>
      <c r="S131" s="152"/>
      <c r="T131" s="62" t="str">
        <f aca="false">IF(OR($C131="",R131=""),"",IF(R131/IF($R$2="",100,$R$2)&gt;=設定!$I$28,設定!$G$8,IF(R131/IF($R$2="",100,$R$2)&lt;設定!$I$29,設定!$G$10,設定!$G$9)))</f>
        <v/>
      </c>
      <c r="U131" s="62" t="str">
        <f aca="false">IF(OR($C131="",S131=""),"",IF(S131/IF($S$2="",100,$S$2)&gt;=設定!$I$28,設定!$G$8,IF(S131/IF($S$2="",100,$S$2)&lt;設定!$I$29,設定!$G$10,設定!$G$9)))</f>
        <v/>
      </c>
    </row>
    <row r="132" customFormat="false" ht="21" hidden="false" customHeight="true" outlineLevel="0" collapsed="false">
      <c r="A132" s="91" t="str">
        <f aca="false">IF(名簿!$D132="","",名簿!$B132&amp;"")</f>
        <v/>
      </c>
      <c r="B132" s="91" t="str">
        <f aca="false">IF(名簿!$D132="","",名簿!$C132)</f>
        <v/>
      </c>
      <c r="C132" s="59" t="str">
        <f aca="false">IF(名簿!$D132="","",名簿!$D132&amp;IF(名簿!$F132="転出","（転出）",""))</f>
        <v/>
      </c>
      <c r="D132" s="149"/>
      <c r="E132" s="61" t="str">
        <f aca="false">IF(OR($C132="",名簿!$F132="転出"),"",IF($C$2="学級ごと",$A132,IF($C$2="前の単元と同じ",単元07!$E132&amp;"",$D132&amp;"")))</f>
        <v/>
      </c>
      <c r="F132" s="150"/>
      <c r="G132" s="150"/>
      <c r="H132" s="150"/>
      <c r="I132" s="151"/>
      <c r="J132" s="41" t="str">
        <f aca="false">IF($E132="","",$E132&amp;"|"&amp;COUNTIF($E$5:$E132,$E132))</f>
        <v/>
      </c>
      <c r="K132" s="40" t="str">
        <f aca="false">IF($I132="","",LEN($I132))</f>
        <v/>
      </c>
      <c r="L132" s="13"/>
      <c r="M132" s="13"/>
      <c r="N132" s="13"/>
      <c r="O132" s="13"/>
      <c r="P132" s="152"/>
      <c r="Q132" s="149"/>
      <c r="R132" s="152"/>
      <c r="S132" s="152"/>
      <c r="T132" s="62" t="str">
        <f aca="false">IF(OR($C132="",R132=""),"",IF(R132/IF($R$2="",100,$R$2)&gt;=設定!$I$28,設定!$G$8,IF(R132/IF($R$2="",100,$R$2)&lt;設定!$I$29,設定!$G$10,設定!$G$9)))</f>
        <v/>
      </c>
      <c r="U132" s="62" t="str">
        <f aca="false">IF(OR($C132="",S132=""),"",IF(S132/IF($S$2="",100,$S$2)&gt;=設定!$I$28,設定!$G$8,IF(S132/IF($S$2="",100,$S$2)&lt;設定!$I$29,設定!$G$10,設定!$G$9)))</f>
        <v/>
      </c>
    </row>
    <row r="133" customFormat="false" ht="21" hidden="false" customHeight="true" outlineLevel="0" collapsed="false">
      <c r="A133" s="91" t="str">
        <f aca="false">IF(名簿!$D133="","",名簿!$B133&amp;"")</f>
        <v/>
      </c>
      <c r="B133" s="91" t="str">
        <f aca="false">IF(名簿!$D133="","",名簿!$C133)</f>
        <v/>
      </c>
      <c r="C133" s="59" t="str">
        <f aca="false">IF(名簿!$D133="","",名簿!$D133&amp;IF(名簿!$F133="転出","（転出）",""))</f>
        <v/>
      </c>
      <c r="D133" s="149"/>
      <c r="E133" s="61" t="str">
        <f aca="false">IF(OR($C133="",名簿!$F133="転出"),"",IF($C$2="学級ごと",$A133,IF($C$2="前の単元と同じ",単元07!$E133&amp;"",$D133&amp;"")))</f>
        <v/>
      </c>
      <c r="F133" s="150"/>
      <c r="G133" s="150"/>
      <c r="H133" s="150"/>
      <c r="I133" s="151"/>
      <c r="J133" s="41" t="str">
        <f aca="false">IF($E133="","",$E133&amp;"|"&amp;COUNTIF($E$5:$E133,$E133))</f>
        <v/>
      </c>
      <c r="K133" s="40" t="str">
        <f aca="false">IF($I133="","",LEN($I133))</f>
        <v/>
      </c>
      <c r="L133" s="13"/>
      <c r="M133" s="13"/>
      <c r="N133" s="13"/>
      <c r="O133" s="13"/>
      <c r="P133" s="152"/>
      <c r="Q133" s="149"/>
      <c r="R133" s="152"/>
      <c r="S133" s="152"/>
      <c r="T133" s="62" t="str">
        <f aca="false">IF(OR($C133="",R133=""),"",IF(R133/IF($R$2="",100,$R$2)&gt;=設定!$I$28,設定!$G$8,IF(R133/IF($R$2="",100,$R$2)&lt;設定!$I$29,設定!$G$10,設定!$G$9)))</f>
        <v/>
      </c>
      <c r="U133" s="62" t="str">
        <f aca="false">IF(OR($C133="",S133=""),"",IF(S133/IF($S$2="",100,$S$2)&gt;=設定!$I$28,設定!$G$8,IF(S133/IF($S$2="",100,$S$2)&lt;設定!$I$29,設定!$G$10,設定!$G$9)))</f>
        <v/>
      </c>
    </row>
    <row r="134" customFormat="false" ht="21" hidden="false" customHeight="true" outlineLevel="0" collapsed="false">
      <c r="A134" s="91" t="str">
        <f aca="false">IF(名簿!$D134="","",名簿!$B134&amp;"")</f>
        <v/>
      </c>
      <c r="B134" s="91" t="str">
        <f aca="false">IF(名簿!$D134="","",名簿!$C134)</f>
        <v/>
      </c>
      <c r="C134" s="59" t="str">
        <f aca="false">IF(名簿!$D134="","",名簿!$D134&amp;IF(名簿!$F134="転出","（転出）",""))</f>
        <v/>
      </c>
      <c r="D134" s="149"/>
      <c r="E134" s="61" t="str">
        <f aca="false">IF(OR($C134="",名簿!$F134="転出"),"",IF($C$2="学級ごと",$A134,IF($C$2="前の単元と同じ",単元07!$E134&amp;"",$D134&amp;"")))</f>
        <v/>
      </c>
      <c r="F134" s="150"/>
      <c r="G134" s="150"/>
      <c r="H134" s="150"/>
      <c r="I134" s="151"/>
      <c r="J134" s="41" t="str">
        <f aca="false">IF($E134="","",$E134&amp;"|"&amp;COUNTIF($E$5:$E134,$E134))</f>
        <v/>
      </c>
      <c r="K134" s="40" t="str">
        <f aca="false">IF($I134="","",LEN($I134))</f>
        <v/>
      </c>
      <c r="L134" s="13"/>
      <c r="M134" s="13"/>
      <c r="N134" s="13"/>
      <c r="O134" s="13"/>
      <c r="P134" s="152"/>
      <c r="Q134" s="149"/>
      <c r="R134" s="152"/>
      <c r="S134" s="152"/>
      <c r="T134" s="62" t="str">
        <f aca="false">IF(OR($C134="",R134=""),"",IF(R134/IF($R$2="",100,$R$2)&gt;=設定!$I$28,設定!$G$8,IF(R134/IF($R$2="",100,$R$2)&lt;設定!$I$29,設定!$G$10,設定!$G$9)))</f>
        <v/>
      </c>
      <c r="U134" s="62" t="str">
        <f aca="false">IF(OR($C134="",S134=""),"",IF(S134/IF($S$2="",100,$S$2)&gt;=設定!$I$28,設定!$G$8,IF(S134/IF($S$2="",100,$S$2)&lt;設定!$I$29,設定!$G$10,設定!$G$9)))</f>
        <v/>
      </c>
    </row>
    <row r="135" customFormat="false" ht="21" hidden="false" customHeight="true" outlineLevel="0" collapsed="false">
      <c r="A135" s="91" t="str">
        <f aca="false">IF(名簿!$D135="","",名簿!$B135&amp;"")</f>
        <v/>
      </c>
      <c r="B135" s="91" t="str">
        <f aca="false">IF(名簿!$D135="","",名簿!$C135)</f>
        <v/>
      </c>
      <c r="C135" s="59" t="str">
        <f aca="false">IF(名簿!$D135="","",名簿!$D135&amp;IF(名簿!$F135="転出","（転出）",""))</f>
        <v/>
      </c>
      <c r="D135" s="149"/>
      <c r="E135" s="61" t="str">
        <f aca="false">IF(OR($C135="",名簿!$F135="転出"),"",IF($C$2="学級ごと",$A135,IF($C$2="前の単元と同じ",単元07!$E135&amp;"",$D135&amp;"")))</f>
        <v/>
      </c>
      <c r="F135" s="150"/>
      <c r="G135" s="150"/>
      <c r="H135" s="150"/>
      <c r="I135" s="151"/>
      <c r="J135" s="41" t="str">
        <f aca="false">IF($E135="","",$E135&amp;"|"&amp;COUNTIF($E$5:$E135,$E135))</f>
        <v/>
      </c>
      <c r="K135" s="40" t="str">
        <f aca="false">IF($I135="","",LEN($I135))</f>
        <v/>
      </c>
      <c r="L135" s="13"/>
      <c r="M135" s="13"/>
      <c r="N135" s="13"/>
      <c r="O135" s="13"/>
      <c r="P135" s="152"/>
      <c r="Q135" s="149"/>
      <c r="R135" s="152"/>
      <c r="S135" s="152"/>
      <c r="T135" s="62" t="str">
        <f aca="false">IF(OR($C135="",R135=""),"",IF(R135/IF($R$2="",100,$R$2)&gt;=設定!$I$28,設定!$G$8,IF(R135/IF($R$2="",100,$R$2)&lt;設定!$I$29,設定!$G$10,設定!$G$9)))</f>
        <v/>
      </c>
      <c r="U135" s="62" t="str">
        <f aca="false">IF(OR($C135="",S135=""),"",IF(S135/IF($S$2="",100,$S$2)&gt;=設定!$I$28,設定!$G$8,IF(S135/IF($S$2="",100,$S$2)&lt;設定!$I$29,設定!$G$10,設定!$G$9)))</f>
        <v/>
      </c>
    </row>
    <row r="136" customFormat="false" ht="21" hidden="false" customHeight="true" outlineLevel="0" collapsed="false">
      <c r="A136" s="91" t="str">
        <f aca="false">IF(名簿!$D136="","",名簿!$B136&amp;"")</f>
        <v/>
      </c>
      <c r="B136" s="91" t="str">
        <f aca="false">IF(名簿!$D136="","",名簿!$C136)</f>
        <v/>
      </c>
      <c r="C136" s="59" t="str">
        <f aca="false">IF(名簿!$D136="","",名簿!$D136&amp;IF(名簿!$F136="転出","（転出）",""))</f>
        <v/>
      </c>
      <c r="D136" s="149"/>
      <c r="E136" s="61" t="str">
        <f aca="false">IF(OR($C136="",名簿!$F136="転出"),"",IF($C$2="学級ごと",$A136,IF($C$2="前の単元と同じ",単元07!$E136&amp;"",$D136&amp;"")))</f>
        <v/>
      </c>
      <c r="F136" s="150"/>
      <c r="G136" s="150"/>
      <c r="H136" s="150"/>
      <c r="I136" s="151"/>
      <c r="J136" s="41" t="str">
        <f aca="false">IF($E136="","",$E136&amp;"|"&amp;COUNTIF($E$5:$E136,$E136))</f>
        <v/>
      </c>
      <c r="K136" s="40" t="str">
        <f aca="false">IF($I136="","",LEN($I136))</f>
        <v/>
      </c>
      <c r="L136" s="13"/>
      <c r="M136" s="13"/>
      <c r="N136" s="13"/>
      <c r="O136" s="13"/>
      <c r="P136" s="152"/>
      <c r="Q136" s="149"/>
      <c r="R136" s="152"/>
      <c r="S136" s="152"/>
      <c r="T136" s="62" t="str">
        <f aca="false">IF(OR($C136="",R136=""),"",IF(R136/IF($R$2="",100,$R$2)&gt;=設定!$I$28,設定!$G$8,IF(R136/IF($R$2="",100,$R$2)&lt;設定!$I$29,設定!$G$10,設定!$G$9)))</f>
        <v/>
      </c>
      <c r="U136" s="62" t="str">
        <f aca="false">IF(OR($C136="",S136=""),"",IF(S136/IF($S$2="",100,$S$2)&gt;=設定!$I$28,設定!$G$8,IF(S136/IF($S$2="",100,$S$2)&lt;設定!$I$29,設定!$G$10,設定!$G$9)))</f>
        <v/>
      </c>
    </row>
    <row r="137" customFormat="false" ht="21" hidden="false" customHeight="true" outlineLevel="0" collapsed="false">
      <c r="A137" s="91" t="str">
        <f aca="false">IF(名簿!$D137="","",名簿!$B137&amp;"")</f>
        <v/>
      </c>
      <c r="B137" s="91" t="str">
        <f aca="false">IF(名簿!$D137="","",名簿!$C137)</f>
        <v/>
      </c>
      <c r="C137" s="59" t="str">
        <f aca="false">IF(名簿!$D137="","",名簿!$D137&amp;IF(名簿!$F137="転出","（転出）",""))</f>
        <v/>
      </c>
      <c r="D137" s="149"/>
      <c r="E137" s="61" t="str">
        <f aca="false">IF(OR($C137="",名簿!$F137="転出"),"",IF($C$2="学級ごと",$A137,IF($C$2="前の単元と同じ",単元07!$E137&amp;"",$D137&amp;"")))</f>
        <v/>
      </c>
      <c r="F137" s="150"/>
      <c r="G137" s="150"/>
      <c r="H137" s="150"/>
      <c r="I137" s="151"/>
      <c r="J137" s="41" t="str">
        <f aca="false">IF($E137="","",$E137&amp;"|"&amp;COUNTIF($E$5:$E137,$E137))</f>
        <v/>
      </c>
      <c r="K137" s="40" t="str">
        <f aca="false">IF($I137="","",LEN($I137))</f>
        <v/>
      </c>
      <c r="L137" s="13"/>
      <c r="M137" s="13"/>
      <c r="N137" s="13"/>
      <c r="O137" s="13"/>
      <c r="P137" s="152"/>
      <c r="Q137" s="149"/>
      <c r="R137" s="152"/>
      <c r="S137" s="152"/>
      <c r="T137" s="62" t="str">
        <f aca="false">IF(OR($C137="",R137=""),"",IF(R137/IF($R$2="",100,$R$2)&gt;=設定!$I$28,設定!$G$8,IF(R137/IF($R$2="",100,$R$2)&lt;設定!$I$29,設定!$G$10,設定!$G$9)))</f>
        <v/>
      </c>
      <c r="U137" s="62" t="str">
        <f aca="false">IF(OR($C137="",S137=""),"",IF(S137/IF($S$2="",100,$S$2)&gt;=設定!$I$28,設定!$G$8,IF(S137/IF($S$2="",100,$S$2)&lt;設定!$I$29,設定!$G$10,設定!$G$9)))</f>
        <v/>
      </c>
    </row>
    <row r="138" customFormat="false" ht="21" hidden="false" customHeight="true" outlineLevel="0" collapsed="false">
      <c r="A138" s="91" t="str">
        <f aca="false">IF(名簿!$D138="","",名簿!$B138&amp;"")</f>
        <v/>
      </c>
      <c r="B138" s="91" t="str">
        <f aca="false">IF(名簿!$D138="","",名簿!$C138)</f>
        <v/>
      </c>
      <c r="C138" s="59" t="str">
        <f aca="false">IF(名簿!$D138="","",名簿!$D138&amp;IF(名簿!$F138="転出","（転出）",""))</f>
        <v/>
      </c>
      <c r="D138" s="149"/>
      <c r="E138" s="61" t="str">
        <f aca="false">IF(OR($C138="",名簿!$F138="転出"),"",IF($C$2="学級ごと",$A138,IF($C$2="前の単元と同じ",単元07!$E138&amp;"",$D138&amp;"")))</f>
        <v/>
      </c>
      <c r="F138" s="150"/>
      <c r="G138" s="150"/>
      <c r="H138" s="150"/>
      <c r="I138" s="151"/>
      <c r="J138" s="41" t="str">
        <f aca="false">IF($E138="","",$E138&amp;"|"&amp;COUNTIF($E$5:$E138,$E138))</f>
        <v/>
      </c>
      <c r="K138" s="40" t="str">
        <f aca="false">IF($I138="","",LEN($I138))</f>
        <v/>
      </c>
      <c r="L138" s="13"/>
      <c r="M138" s="13"/>
      <c r="N138" s="13"/>
      <c r="O138" s="13"/>
      <c r="P138" s="152"/>
      <c r="Q138" s="149"/>
      <c r="R138" s="152"/>
      <c r="S138" s="152"/>
      <c r="T138" s="62" t="str">
        <f aca="false">IF(OR($C138="",R138=""),"",IF(R138/IF($R$2="",100,$R$2)&gt;=設定!$I$28,設定!$G$8,IF(R138/IF($R$2="",100,$R$2)&lt;設定!$I$29,設定!$G$10,設定!$G$9)))</f>
        <v/>
      </c>
      <c r="U138" s="62" t="str">
        <f aca="false">IF(OR($C138="",S138=""),"",IF(S138/IF($S$2="",100,$S$2)&gt;=設定!$I$28,設定!$G$8,IF(S138/IF($S$2="",100,$S$2)&lt;設定!$I$29,設定!$G$10,設定!$G$9)))</f>
        <v/>
      </c>
    </row>
    <row r="139" customFormat="false" ht="21" hidden="false" customHeight="true" outlineLevel="0" collapsed="false">
      <c r="A139" s="91" t="str">
        <f aca="false">IF(名簿!$D139="","",名簿!$B139&amp;"")</f>
        <v/>
      </c>
      <c r="B139" s="91" t="str">
        <f aca="false">IF(名簿!$D139="","",名簿!$C139)</f>
        <v/>
      </c>
      <c r="C139" s="59" t="str">
        <f aca="false">IF(名簿!$D139="","",名簿!$D139&amp;IF(名簿!$F139="転出","（転出）",""))</f>
        <v/>
      </c>
      <c r="D139" s="149"/>
      <c r="E139" s="61" t="str">
        <f aca="false">IF(OR($C139="",名簿!$F139="転出"),"",IF($C$2="学級ごと",$A139,IF($C$2="前の単元と同じ",単元07!$E139&amp;"",$D139&amp;"")))</f>
        <v/>
      </c>
      <c r="F139" s="150"/>
      <c r="G139" s="150"/>
      <c r="H139" s="150"/>
      <c r="I139" s="151"/>
      <c r="J139" s="41" t="str">
        <f aca="false">IF($E139="","",$E139&amp;"|"&amp;COUNTIF($E$5:$E139,$E139))</f>
        <v/>
      </c>
      <c r="K139" s="40" t="str">
        <f aca="false">IF($I139="","",LEN($I139))</f>
        <v/>
      </c>
      <c r="L139" s="13"/>
      <c r="M139" s="13"/>
      <c r="N139" s="13"/>
      <c r="O139" s="13"/>
      <c r="P139" s="152"/>
      <c r="Q139" s="149"/>
      <c r="R139" s="152"/>
      <c r="S139" s="152"/>
      <c r="T139" s="62" t="str">
        <f aca="false">IF(OR($C139="",R139=""),"",IF(R139/IF($R$2="",100,$R$2)&gt;=設定!$I$28,設定!$G$8,IF(R139/IF($R$2="",100,$R$2)&lt;設定!$I$29,設定!$G$10,設定!$G$9)))</f>
        <v/>
      </c>
      <c r="U139" s="62" t="str">
        <f aca="false">IF(OR($C139="",S139=""),"",IF(S139/IF($S$2="",100,$S$2)&gt;=設定!$I$28,設定!$G$8,IF(S139/IF($S$2="",100,$S$2)&lt;設定!$I$29,設定!$G$10,設定!$G$9)))</f>
        <v/>
      </c>
    </row>
    <row r="140" customFormat="false" ht="21" hidden="false" customHeight="true" outlineLevel="0" collapsed="false">
      <c r="A140" s="91" t="str">
        <f aca="false">IF(名簿!$D140="","",名簿!$B140&amp;"")</f>
        <v/>
      </c>
      <c r="B140" s="91" t="str">
        <f aca="false">IF(名簿!$D140="","",名簿!$C140)</f>
        <v/>
      </c>
      <c r="C140" s="59" t="str">
        <f aca="false">IF(名簿!$D140="","",名簿!$D140&amp;IF(名簿!$F140="転出","（転出）",""))</f>
        <v/>
      </c>
      <c r="D140" s="149"/>
      <c r="E140" s="61" t="str">
        <f aca="false">IF(OR($C140="",名簿!$F140="転出"),"",IF($C$2="学級ごと",$A140,IF($C$2="前の単元と同じ",単元07!$E140&amp;"",$D140&amp;"")))</f>
        <v/>
      </c>
      <c r="F140" s="150"/>
      <c r="G140" s="150"/>
      <c r="H140" s="150"/>
      <c r="I140" s="151"/>
      <c r="J140" s="41" t="str">
        <f aca="false">IF($E140="","",$E140&amp;"|"&amp;COUNTIF($E$5:$E140,$E140))</f>
        <v/>
      </c>
      <c r="K140" s="40" t="str">
        <f aca="false">IF($I140="","",LEN($I140))</f>
        <v/>
      </c>
      <c r="L140" s="13"/>
      <c r="M140" s="13"/>
      <c r="N140" s="13"/>
      <c r="O140" s="13"/>
      <c r="P140" s="152"/>
      <c r="Q140" s="149"/>
      <c r="R140" s="152"/>
      <c r="S140" s="152"/>
      <c r="T140" s="62" t="str">
        <f aca="false">IF(OR($C140="",R140=""),"",IF(R140/IF($R$2="",100,$R$2)&gt;=設定!$I$28,設定!$G$8,IF(R140/IF($R$2="",100,$R$2)&lt;設定!$I$29,設定!$G$10,設定!$G$9)))</f>
        <v/>
      </c>
      <c r="U140" s="62" t="str">
        <f aca="false">IF(OR($C140="",S140=""),"",IF(S140/IF($S$2="",100,$S$2)&gt;=設定!$I$28,設定!$G$8,IF(S140/IF($S$2="",100,$S$2)&lt;設定!$I$29,設定!$G$10,設定!$G$9)))</f>
        <v/>
      </c>
    </row>
    <row r="141" customFormat="false" ht="21" hidden="false" customHeight="true" outlineLevel="0" collapsed="false">
      <c r="A141" s="91" t="str">
        <f aca="false">IF(名簿!$D141="","",名簿!$B141&amp;"")</f>
        <v/>
      </c>
      <c r="B141" s="91" t="str">
        <f aca="false">IF(名簿!$D141="","",名簿!$C141)</f>
        <v/>
      </c>
      <c r="C141" s="59" t="str">
        <f aca="false">IF(名簿!$D141="","",名簿!$D141&amp;IF(名簿!$F141="転出","（転出）",""))</f>
        <v/>
      </c>
      <c r="D141" s="149"/>
      <c r="E141" s="61" t="str">
        <f aca="false">IF(OR($C141="",名簿!$F141="転出"),"",IF($C$2="学級ごと",$A141,IF($C$2="前の単元と同じ",単元07!$E141&amp;"",$D141&amp;"")))</f>
        <v/>
      </c>
      <c r="F141" s="150"/>
      <c r="G141" s="150"/>
      <c r="H141" s="150"/>
      <c r="I141" s="151"/>
      <c r="J141" s="41" t="str">
        <f aca="false">IF($E141="","",$E141&amp;"|"&amp;COUNTIF($E$5:$E141,$E141))</f>
        <v/>
      </c>
      <c r="K141" s="40" t="str">
        <f aca="false">IF($I141="","",LEN($I141))</f>
        <v/>
      </c>
      <c r="L141" s="13"/>
      <c r="M141" s="13"/>
      <c r="N141" s="13"/>
      <c r="O141" s="13"/>
      <c r="P141" s="152"/>
      <c r="Q141" s="149"/>
      <c r="R141" s="152"/>
      <c r="S141" s="152"/>
      <c r="T141" s="62" t="str">
        <f aca="false">IF(OR($C141="",R141=""),"",IF(R141/IF($R$2="",100,$R$2)&gt;=設定!$I$28,設定!$G$8,IF(R141/IF($R$2="",100,$R$2)&lt;設定!$I$29,設定!$G$10,設定!$G$9)))</f>
        <v/>
      </c>
      <c r="U141" s="62" t="str">
        <f aca="false">IF(OR($C141="",S141=""),"",IF(S141/IF($S$2="",100,$S$2)&gt;=設定!$I$28,設定!$G$8,IF(S141/IF($S$2="",100,$S$2)&lt;設定!$I$29,設定!$G$10,設定!$G$9)))</f>
        <v/>
      </c>
    </row>
    <row r="142" customFormat="false" ht="21" hidden="false" customHeight="true" outlineLevel="0" collapsed="false">
      <c r="A142" s="91" t="str">
        <f aca="false">IF(名簿!$D142="","",名簿!$B142&amp;"")</f>
        <v/>
      </c>
      <c r="B142" s="91" t="str">
        <f aca="false">IF(名簿!$D142="","",名簿!$C142)</f>
        <v/>
      </c>
      <c r="C142" s="59" t="str">
        <f aca="false">IF(名簿!$D142="","",名簿!$D142&amp;IF(名簿!$F142="転出","（転出）",""))</f>
        <v/>
      </c>
      <c r="D142" s="149"/>
      <c r="E142" s="61" t="str">
        <f aca="false">IF(OR($C142="",名簿!$F142="転出"),"",IF($C$2="学級ごと",$A142,IF($C$2="前の単元と同じ",単元07!$E142&amp;"",$D142&amp;"")))</f>
        <v/>
      </c>
      <c r="F142" s="150"/>
      <c r="G142" s="150"/>
      <c r="H142" s="150"/>
      <c r="I142" s="151"/>
      <c r="J142" s="41" t="str">
        <f aca="false">IF($E142="","",$E142&amp;"|"&amp;COUNTIF($E$5:$E142,$E142))</f>
        <v/>
      </c>
      <c r="K142" s="40" t="str">
        <f aca="false">IF($I142="","",LEN($I142))</f>
        <v/>
      </c>
      <c r="L142" s="13"/>
      <c r="M142" s="13"/>
      <c r="N142" s="13"/>
      <c r="O142" s="13"/>
      <c r="P142" s="152"/>
      <c r="Q142" s="149"/>
      <c r="R142" s="152"/>
      <c r="S142" s="152"/>
      <c r="T142" s="62" t="str">
        <f aca="false">IF(OR($C142="",R142=""),"",IF(R142/IF($R$2="",100,$R$2)&gt;=設定!$I$28,設定!$G$8,IF(R142/IF($R$2="",100,$R$2)&lt;設定!$I$29,設定!$G$10,設定!$G$9)))</f>
        <v/>
      </c>
      <c r="U142" s="62" t="str">
        <f aca="false">IF(OR($C142="",S142=""),"",IF(S142/IF($S$2="",100,$S$2)&gt;=設定!$I$28,設定!$G$8,IF(S142/IF($S$2="",100,$S$2)&lt;設定!$I$29,設定!$G$10,設定!$G$9)))</f>
        <v/>
      </c>
    </row>
    <row r="143" customFormat="false" ht="21" hidden="false" customHeight="true" outlineLevel="0" collapsed="false">
      <c r="A143" s="91" t="str">
        <f aca="false">IF(名簿!$D143="","",名簿!$B143&amp;"")</f>
        <v/>
      </c>
      <c r="B143" s="91" t="str">
        <f aca="false">IF(名簿!$D143="","",名簿!$C143)</f>
        <v/>
      </c>
      <c r="C143" s="59" t="str">
        <f aca="false">IF(名簿!$D143="","",名簿!$D143&amp;IF(名簿!$F143="転出","（転出）",""))</f>
        <v/>
      </c>
      <c r="D143" s="149"/>
      <c r="E143" s="61" t="str">
        <f aca="false">IF(OR($C143="",名簿!$F143="転出"),"",IF($C$2="学級ごと",$A143,IF($C$2="前の単元と同じ",単元07!$E143&amp;"",$D143&amp;"")))</f>
        <v/>
      </c>
      <c r="F143" s="150"/>
      <c r="G143" s="150"/>
      <c r="H143" s="150"/>
      <c r="I143" s="151"/>
      <c r="J143" s="41" t="str">
        <f aca="false">IF($E143="","",$E143&amp;"|"&amp;COUNTIF($E$5:$E143,$E143))</f>
        <v/>
      </c>
      <c r="K143" s="40" t="str">
        <f aca="false">IF($I143="","",LEN($I143))</f>
        <v/>
      </c>
      <c r="L143" s="13"/>
      <c r="M143" s="13"/>
      <c r="N143" s="13"/>
      <c r="O143" s="13"/>
      <c r="P143" s="152"/>
      <c r="Q143" s="149"/>
      <c r="R143" s="152"/>
      <c r="S143" s="152"/>
      <c r="T143" s="62" t="str">
        <f aca="false">IF(OR($C143="",R143=""),"",IF(R143/IF($R$2="",100,$R$2)&gt;=設定!$I$28,設定!$G$8,IF(R143/IF($R$2="",100,$R$2)&lt;設定!$I$29,設定!$G$10,設定!$G$9)))</f>
        <v/>
      </c>
      <c r="U143" s="62" t="str">
        <f aca="false">IF(OR($C143="",S143=""),"",IF(S143/IF($S$2="",100,$S$2)&gt;=設定!$I$28,設定!$G$8,IF(S143/IF($S$2="",100,$S$2)&lt;設定!$I$29,設定!$G$10,設定!$G$9)))</f>
        <v/>
      </c>
    </row>
    <row r="144" customFormat="false" ht="21" hidden="false" customHeight="true" outlineLevel="0" collapsed="false">
      <c r="A144" s="91" t="str">
        <f aca="false">IF(名簿!$D144="","",名簿!$B144&amp;"")</f>
        <v/>
      </c>
      <c r="B144" s="91" t="str">
        <f aca="false">IF(名簿!$D144="","",名簿!$C144)</f>
        <v/>
      </c>
      <c r="C144" s="59" t="str">
        <f aca="false">IF(名簿!$D144="","",名簿!$D144&amp;IF(名簿!$F144="転出","（転出）",""))</f>
        <v/>
      </c>
      <c r="D144" s="149"/>
      <c r="E144" s="61" t="str">
        <f aca="false">IF(OR($C144="",名簿!$F144="転出"),"",IF($C$2="学級ごと",$A144,IF($C$2="前の単元と同じ",単元07!$E144&amp;"",$D144&amp;"")))</f>
        <v/>
      </c>
      <c r="F144" s="150"/>
      <c r="G144" s="150"/>
      <c r="H144" s="150"/>
      <c r="I144" s="151"/>
      <c r="J144" s="41" t="str">
        <f aca="false">IF($E144="","",$E144&amp;"|"&amp;COUNTIF($E$5:$E144,$E144))</f>
        <v/>
      </c>
      <c r="K144" s="40" t="str">
        <f aca="false">IF($I144="","",LEN($I144))</f>
        <v/>
      </c>
      <c r="L144" s="13"/>
      <c r="M144" s="13"/>
      <c r="N144" s="13"/>
      <c r="O144" s="13"/>
      <c r="P144" s="152"/>
      <c r="Q144" s="149"/>
      <c r="R144" s="152"/>
      <c r="S144" s="152"/>
      <c r="T144" s="62" t="str">
        <f aca="false">IF(OR($C144="",R144=""),"",IF(R144/IF($R$2="",100,$R$2)&gt;=設定!$I$28,設定!$G$8,IF(R144/IF($R$2="",100,$R$2)&lt;設定!$I$29,設定!$G$10,設定!$G$9)))</f>
        <v/>
      </c>
      <c r="U144" s="62" t="str">
        <f aca="false">IF(OR($C144="",S144=""),"",IF(S144/IF($S$2="",100,$S$2)&gt;=設定!$I$28,設定!$G$8,IF(S144/IF($S$2="",100,$S$2)&lt;設定!$I$29,設定!$G$10,設定!$G$9)))</f>
        <v/>
      </c>
    </row>
    <row r="145" customFormat="false" ht="21" hidden="false" customHeight="true" outlineLevel="0" collapsed="false">
      <c r="A145" s="91" t="str">
        <f aca="false">IF(名簿!$D145="","",名簿!$B145&amp;"")</f>
        <v/>
      </c>
      <c r="B145" s="91" t="str">
        <f aca="false">IF(名簿!$D145="","",名簿!$C145)</f>
        <v/>
      </c>
      <c r="C145" s="59" t="str">
        <f aca="false">IF(名簿!$D145="","",名簿!$D145&amp;IF(名簿!$F145="転出","（転出）",""))</f>
        <v/>
      </c>
      <c r="D145" s="149"/>
      <c r="E145" s="61" t="str">
        <f aca="false">IF(OR($C145="",名簿!$F145="転出"),"",IF($C$2="学級ごと",$A145,IF($C$2="前の単元と同じ",単元07!$E145&amp;"",$D145&amp;"")))</f>
        <v/>
      </c>
      <c r="F145" s="150"/>
      <c r="G145" s="150"/>
      <c r="H145" s="150"/>
      <c r="I145" s="151"/>
      <c r="J145" s="41" t="str">
        <f aca="false">IF($E145="","",$E145&amp;"|"&amp;COUNTIF($E$5:$E145,$E145))</f>
        <v/>
      </c>
      <c r="K145" s="40" t="str">
        <f aca="false">IF($I145="","",LEN($I145))</f>
        <v/>
      </c>
      <c r="L145" s="13"/>
      <c r="M145" s="13"/>
      <c r="N145" s="13"/>
      <c r="O145" s="13"/>
      <c r="P145" s="152"/>
      <c r="Q145" s="149"/>
      <c r="R145" s="152"/>
      <c r="S145" s="152"/>
      <c r="T145" s="62" t="str">
        <f aca="false">IF(OR($C145="",R145=""),"",IF(R145/IF($R$2="",100,$R$2)&gt;=設定!$I$28,設定!$G$8,IF(R145/IF($R$2="",100,$R$2)&lt;設定!$I$29,設定!$G$10,設定!$G$9)))</f>
        <v/>
      </c>
      <c r="U145" s="62" t="str">
        <f aca="false">IF(OR($C145="",S145=""),"",IF(S145/IF($S$2="",100,$S$2)&gt;=設定!$I$28,設定!$G$8,IF(S145/IF($S$2="",100,$S$2)&lt;設定!$I$29,設定!$G$10,設定!$G$9)))</f>
        <v/>
      </c>
    </row>
    <row r="146" customFormat="false" ht="21" hidden="false" customHeight="true" outlineLevel="0" collapsed="false">
      <c r="A146" s="91" t="str">
        <f aca="false">IF(名簿!$D146="","",名簿!$B146&amp;"")</f>
        <v/>
      </c>
      <c r="B146" s="91" t="str">
        <f aca="false">IF(名簿!$D146="","",名簿!$C146)</f>
        <v/>
      </c>
      <c r="C146" s="59" t="str">
        <f aca="false">IF(名簿!$D146="","",名簿!$D146&amp;IF(名簿!$F146="転出","（転出）",""))</f>
        <v/>
      </c>
      <c r="D146" s="149"/>
      <c r="E146" s="61" t="str">
        <f aca="false">IF(OR($C146="",名簿!$F146="転出"),"",IF($C$2="学級ごと",$A146,IF($C$2="前の単元と同じ",単元07!$E146&amp;"",$D146&amp;"")))</f>
        <v/>
      </c>
      <c r="F146" s="150"/>
      <c r="G146" s="150"/>
      <c r="H146" s="150"/>
      <c r="I146" s="151"/>
      <c r="J146" s="41" t="str">
        <f aca="false">IF($E146="","",$E146&amp;"|"&amp;COUNTIF($E$5:$E146,$E146))</f>
        <v/>
      </c>
      <c r="K146" s="40" t="str">
        <f aca="false">IF($I146="","",LEN($I146))</f>
        <v/>
      </c>
      <c r="L146" s="13"/>
      <c r="M146" s="13"/>
      <c r="N146" s="13"/>
      <c r="O146" s="13"/>
      <c r="P146" s="152"/>
      <c r="Q146" s="149"/>
      <c r="R146" s="152"/>
      <c r="S146" s="152"/>
      <c r="T146" s="62" t="str">
        <f aca="false">IF(OR($C146="",R146=""),"",IF(R146/IF($R$2="",100,$R$2)&gt;=設定!$I$28,設定!$G$8,IF(R146/IF($R$2="",100,$R$2)&lt;設定!$I$29,設定!$G$10,設定!$G$9)))</f>
        <v/>
      </c>
      <c r="U146" s="62" t="str">
        <f aca="false">IF(OR($C146="",S146=""),"",IF(S146/IF($S$2="",100,$S$2)&gt;=設定!$I$28,設定!$G$8,IF(S146/IF($S$2="",100,$S$2)&lt;設定!$I$29,設定!$G$10,設定!$G$9)))</f>
        <v/>
      </c>
    </row>
    <row r="147" customFormat="false" ht="21" hidden="false" customHeight="true" outlineLevel="0" collapsed="false">
      <c r="A147" s="91" t="str">
        <f aca="false">IF(名簿!$D147="","",名簿!$B147&amp;"")</f>
        <v/>
      </c>
      <c r="B147" s="91" t="str">
        <f aca="false">IF(名簿!$D147="","",名簿!$C147)</f>
        <v/>
      </c>
      <c r="C147" s="59" t="str">
        <f aca="false">IF(名簿!$D147="","",名簿!$D147&amp;IF(名簿!$F147="転出","（転出）",""))</f>
        <v/>
      </c>
      <c r="D147" s="149"/>
      <c r="E147" s="61" t="str">
        <f aca="false">IF(OR($C147="",名簿!$F147="転出"),"",IF($C$2="学級ごと",$A147,IF($C$2="前の単元と同じ",単元07!$E147&amp;"",$D147&amp;"")))</f>
        <v/>
      </c>
      <c r="F147" s="150"/>
      <c r="G147" s="150"/>
      <c r="H147" s="150"/>
      <c r="I147" s="151"/>
      <c r="J147" s="41" t="str">
        <f aca="false">IF($E147="","",$E147&amp;"|"&amp;COUNTIF($E$5:$E147,$E147))</f>
        <v/>
      </c>
      <c r="K147" s="40" t="str">
        <f aca="false">IF($I147="","",LEN($I147))</f>
        <v/>
      </c>
      <c r="L147" s="13"/>
      <c r="M147" s="13"/>
      <c r="N147" s="13"/>
      <c r="O147" s="13"/>
      <c r="P147" s="152"/>
      <c r="Q147" s="149"/>
      <c r="R147" s="152"/>
      <c r="S147" s="152"/>
      <c r="T147" s="62" t="str">
        <f aca="false">IF(OR($C147="",R147=""),"",IF(R147/IF($R$2="",100,$R$2)&gt;=設定!$I$28,設定!$G$8,IF(R147/IF($R$2="",100,$R$2)&lt;設定!$I$29,設定!$G$10,設定!$G$9)))</f>
        <v/>
      </c>
      <c r="U147" s="62" t="str">
        <f aca="false">IF(OR($C147="",S147=""),"",IF(S147/IF($S$2="",100,$S$2)&gt;=設定!$I$28,設定!$G$8,IF(S147/IF($S$2="",100,$S$2)&lt;設定!$I$29,設定!$G$10,設定!$G$9)))</f>
        <v/>
      </c>
    </row>
    <row r="148" customFormat="false" ht="21" hidden="false" customHeight="true" outlineLevel="0" collapsed="false">
      <c r="A148" s="91" t="str">
        <f aca="false">IF(名簿!$D148="","",名簿!$B148&amp;"")</f>
        <v/>
      </c>
      <c r="B148" s="91" t="str">
        <f aca="false">IF(名簿!$D148="","",名簿!$C148)</f>
        <v/>
      </c>
      <c r="C148" s="59" t="str">
        <f aca="false">IF(名簿!$D148="","",名簿!$D148&amp;IF(名簿!$F148="転出","（転出）",""))</f>
        <v/>
      </c>
      <c r="D148" s="149"/>
      <c r="E148" s="61" t="str">
        <f aca="false">IF(OR($C148="",名簿!$F148="転出"),"",IF($C$2="学級ごと",$A148,IF($C$2="前の単元と同じ",単元07!$E148&amp;"",$D148&amp;"")))</f>
        <v/>
      </c>
      <c r="F148" s="150"/>
      <c r="G148" s="150"/>
      <c r="H148" s="150"/>
      <c r="I148" s="151"/>
      <c r="J148" s="41" t="str">
        <f aca="false">IF($E148="","",$E148&amp;"|"&amp;COUNTIF($E$5:$E148,$E148))</f>
        <v/>
      </c>
      <c r="K148" s="40" t="str">
        <f aca="false">IF($I148="","",LEN($I148))</f>
        <v/>
      </c>
      <c r="L148" s="13"/>
      <c r="M148" s="13"/>
      <c r="N148" s="13"/>
      <c r="O148" s="13"/>
      <c r="P148" s="152"/>
      <c r="Q148" s="149"/>
      <c r="R148" s="152"/>
      <c r="S148" s="152"/>
      <c r="T148" s="62" t="str">
        <f aca="false">IF(OR($C148="",R148=""),"",IF(R148/IF($R$2="",100,$R$2)&gt;=設定!$I$28,設定!$G$8,IF(R148/IF($R$2="",100,$R$2)&lt;設定!$I$29,設定!$G$10,設定!$G$9)))</f>
        <v/>
      </c>
      <c r="U148" s="62" t="str">
        <f aca="false">IF(OR($C148="",S148=""),"",IF(S148/IF($S$2="",100,$S$2)&gt;=設定!$I$28,設定!$G$8,IF(S148/IF($S$2="",100,$S$2)&lt;設定!$I$29,設定!$G$10,設定!$G$9)))</f>
        <v/>
      </c>
    </row>
    <row r="149" customFormat="false" ht="21" hidden="false" customHeight="true" outlineLevel="0" collapsed="false">
      <c r="A149" s="91" t="str">
        <f aca="false">IF(名簿!$D149="","",名簿!$B149&amp;"")</f>
        <v/>
      </c>
      <c r="B149" s="91" t="str">
        <f aca="false">IF(名簿!$D149="","",名簿!$C149)</f>
        <v/>
      </c>
      <c r="C149" s="59" t="str">
        <f aca="false">IF(名簿!$D149="","",名簿!$D149&amp;IF(名簿!$F149="転出","（転出）",""))</f>
        <v/>
      </c>
      <c r="D149" s="149"/>
      <c r="E149" s="61" t="str">
        <f aca="false">IF(OR($C149="",名簿!$F149="転出"),"",IF($C$2="学級ごと",$A149,IF($C$2="前の単元と同じ",単元07!$E149&amp;"",$D149&amp;"")))</f>
        <v/>
      </c>
      <c r="F149" s="150"/>
      <c r="G149" s="150"/>
      <c r="H149" s="150"/>
      <c r="I149" s="151"/>
      <c r="J149" s="41" t="str">
        <f aca="false">IF($E149="","",$E149&amp;"|"&amp;COUNTIF($E$5:$E149,$E149))</f>
        <v/>
      </c>
      <c r="K149" s="40" t="str">
        <f aca="false">IF($I149="","",LEN($I149))</f>
        <v/>
      </c>
      <c r="L149" s="13"/>
      <c r="M149" s="13"/>
      <c r="N149" s="13"/>
      <c r="O149" s="13"/>
      <c r="P149" s="152"/>
      <c r="Q149" s="149"/>
      <c r="R149" s="152"/>
      <c r="S149" s="152"/>
      <c r="T149" s="62" t="str">
        <f aca="false">IF(OR($C149="",R149=""),"",IF(R149/IF($R$2="",100,$R$2)&gt;=設定!$I$28,設定!$G$8,IF(R149/IF($R$2="",100,$R$2)&lt;設定!$I$29,設定!$G$10,設定!$G$9)))</f>
        <v/>
      </c>
      <c r="U149" s="62" t="str">
        <f aca="false">IF(OR($C149="",S149=""),"",IF(S149/IF($S$2="",100,$S$2)&gt;=設定!$I$28,設定!$G$8,IF(S149/IF($S$2="",100,$S$2)&lt;設定!$I$29,設定!$G$10,設定!$G$9)))</f>
        <v/>
      </c>
    </row>
    <row r="150" customFormat="false" ht="21" hidden="false" customHeight="true" outlineLevel="0" collapsed="false">
      <c r="A150" s="91" t="str">
        <f aca="false">IF(名簿!$D150="","",名簿!$B150&amp;"")</f>
        <v/>
      </c>
      <c r="B150" s="91" t="str">
        <f aca="false">IF(名簿!$D150="","",名簿!$C150)</f>
        <v/>
      </c>
      <c r="C150" s="59" t="str">
        <f aca="false">IF(名簿!$D150="","",名簿!$D150&amp;IF(名簿!$F150="転出","（転出）",""))</f>
        <v/>
      </c>
      <c r="D150" s="149"/>
      <c r="E150" s="61" t="str">
        <f aca="false">IF(OR($C150="",名簿!$F150="転出"),"",IF($C$2="学級ごと",$A150,IF($C$2="前の単元と同じ",単元07!$E150&amp;"",$D150&amp;"")))</f>
        <v/>
      </c>
      <c r="F150" s="150"/>
      <c r="G150" s="150"/>
      <c r="H150" s="150"/>
      <c r="I150" s="151"/>
      <c r="J150" s="41" t="str">
        <f aca="false">IF($E150="","",$E150&amp;"|"&amp;COUNTIF($E$5:$E150,$E150))</f>
        <v/>
      </c>
      <c r="K150" s="40" t="str">
        <f aca="false">IF($I150="","",LEN($I150))</f>
        <v/>
      </c>
      <c r="L150" s="13"/>
      <c r="M150" s="13"/>
      <c r="N150" s="13"/>
      <c r="O150" s="13"/>
      <c r="P150" s="152"/>
      <c r="Q150" s="149"/>
      <c r="R150" s="152"/>
      <c r="S150" s="152"/>
      <c r="T150" s="62" t="str">
        <f aca="false">IF(OR($C150="",R150=""),"",IF(R150/IF($R$2="",100,$R$2)&gt;=設定!$I$28,設定!$G$8,IF(R150/IF($R$2="",100,$R$2)&lt;設定!$I$29,設定!$G$10,設定!$G$9)))</f>
        <v/>
      </c>
      <c r="U150" s="62" t="str">
        <f aca="false">IF(OR($C150="",S150=""),"",IF(S150/IF($S$2="",100,$S$2)&gt;=設定!$I$28,設定!$G$8,IF(S150/IF($S$2="",100,$S$2)&lt;設定!$I$29,設定!$G$10,設定!$G$9)))</f>
        <v/>
      </c>
    </row>
    <row r="151" customFormat="false" ht="21" hidden="false" customHeight="true" outlineLevel="0" collapsed="false">
      <c r="A151" s="91" t="str">
        <f aca="false">IF(名簿!$D151="","",名簿!$B151&amp;"")</f>
        <v/>
      </c>
      <c r="B151" s="91" t="str">
        <f aca="false">IF(名簿!$D151="","",名簿!$C151)</f>
        <v/>
      </c>
      <c r="C151" s="59" t="str">
        <f aca="false">IF(名簿!$D151="","",名簿!$D151&amp;IF(名簿!$F151="転出","（転出）",""))</f>
        <v/>
      </c>
      <c r="D151" s="149"/>
      <c r="E151" s="61" t="str">
        <f aca="false">IF(OR($C151="",名簿!$F151="転出"),"",IF($C$2="学級ごと",$A151,IF($C$2="前の単元と同じ",単元07!$E151&amp;"",$D151&amp;"")))</f>
        <v/>
      </c>
      <c r="F151" s="150"/>
      <c r="G151" s="150"/>
      <c r="H151" s="150"/>
      <c r="I151" s="151"/>
      <c r="J151" s="41" t="str">
        <f aca="false">IF($E151="","",$E151&amp;"|"&amp;COUNTIF($E$5:$E151,$E151))</f>
        <v/>
      </c>
      <c r="K151" s="40" t="str">
        <f aca="false">IF($I151="","",LEN($I151))</f>
        <v/>
      </c>
      <c r="L151" s="13"/>
      <c r="M151" s="13"/>
      <c r="N151" s="13"/>
      <c r="O151" s="13"/>
      <c r="P151" s="152"/>
      <c r="Q151" s="149"/>
      <c r="R151" s="152"/>
      <c r="S151" s="152"/>
      <c r="T151" s="62" t="str">
        <f aca="false">IF(OR($C151="",R151=""),"",IF(R151/IF($R$2="",100,$R$2)&gt;=設定!$I$28,設定!$G$8,IF(R151/IF($R$2="",100,$R$2)&lt;設定!$I$29,設定!$G$10,設定!$G$9)))</f>
        <v/>
      </c>
      <c r="U151" s="62" t="str">
        <f aca="false">IF(OR($C151="",S151=""),"",IF(S151/IF($S$2="",100,$S$2)&gt;=設定!$I$28,設定!$G$8,IF(S151/IF($S$2="",100,$S$2)&lt;設定!$I$29,設定!$G$10,設定!$G$9)))</f>
        <v/>
      </c>
    </row>
    <row r="152" customFormat="false" ht="21" hidden="false" customHeight="true" outlineLevel="0" collapsed="false">
      <c r="A152" s="91" t="str">
        <f aca="false">IF(名簿!$D152="","",名簿!$B152&amp;"")</f>
        <v/>
      </c>
      <c r="B152" s="91" t="str">
        <f aca="false">IF(名簿!$D152="","",名簿!$C152)</f>
        <v/>
      </c>
      <c r="C152" s="59" t="str">
        <f aca="false">IF(名簿!$D152="","",名簿!$D152&amp;IF(名簿!$F152="転出","（転出）",""))</f>
        <v/>
      </c>
      <c r="D152" s="149"/>
      <c r="E152" s="61" t="str">
        <f aca="false">IF(OR($C152="",名簿!$F152="転出"),"",IF($C$2="学級ごと",$A152,IF($C$2="前の単元と同じ",単元07!$E152&amp;"",$D152&amp;"")))</f>
        <v/>
      </c>
      <c r="F152" s="150"/>
      <c r="G152" s="150"/>
      <c r="H152" s="150"/>
      <c r="I152" s="151"/>
      <c r="J152" s="41" t="str">
        <f aca="false">IF($E152="","",$E152&amp;"|"&amp;COUNTIF($E$5:$E152,$E152))</f>
        <v/>
      </c>
      <c r="K152" s="40" t="str">
        <f aca="false">IF($I152="","",LEN($I152))</f>
        <v/>
      </c>
      <c r="L152" s="13"/>
      <c r="M152" s="13"/>
      <c r="N152" s="13"/>
      <c r="O152" s="13"/>
      <c r="P152" s="152"/>
      <c r="Q152" s="149"/>
      <c r="R152" s="152"/>
      <c r="S152" s="152"/>
      <c r="T152" s="62" t="str">
        <f aca="false">IF(OR($C152="",R152=""),"",IF(R152/IF($R$2="",100,$R$2)&gt;=設定!$I$28,設定!$G$8,IF(R152/IF($R$2="",100,$R$2)&lt;設定!$I$29,設定!$G$10,設定!$G$9)))</f>
        <v/>
      </c>
      <c r="U152" s="62" t="str">
        <f aca="false">IF(OR($C152="",S152=""),"",IF(S152/IF($S$2="",100,$S$2)&gt;=設定!$I$28,設定!$G$8,IF(S152/IF($S$2="",100,$S$2)&lt;設定!$I$29,設定!$G$10,設定!$G$9)))</f>
        <v/>
      </c>
    </row>
    <row r="153" customFormat="false" ht="21" hidden="false" customHeight="true" outlineLevel="0" collapsed="false">
      <c r="A153" s="91" t="str">
        <f aca="false">IF(名簿!$D153="","",名簿!$B153&amp;"")</f>
        <v/>
      </c>
      <c r="B153" s="91" t="str">
        <f aca="false">IF(名簿!$D153="","",名簿!$C153)</f>
        <v/>
      </c>
      <c r="C153" s="59" t="str">
        <f aca="false">IF(名簿!$D153="","",名簿!$D153&amp;IF(名簿!$F153="転出","（転出）",""))</f>
        <v/>
      </c>
      <c r="D153" s="149"/>
      <c r="E153" s="61" t="str">
        <f aca="false">IF(OR($C153="",名簿!$F153="転出"),"",IF($C$2="学級ごと",$A153,IF($C$2="前の単元と同じ",単元07!$E153&amp;"",$D153&amp;"")))</f>
        <v/>
      </c>
      <c r="F153" s="150"/>
      <c r="G153" s="150"/>
      <c r="H153" s="150"/>
      <c r="I153" s="151"/>
      <c r="J153" s="41" t="str">
        <f aca="false">IF($E153="","",$E153&amp;"|"&amp;COUNTIF($E$5:$E153,$E153))</f>
        <v/>
      </c>
      <c r="K153" s="40" t="str">
        <f aca="false">IF($I153="","",LEN($I153))</f>
        <v/>
      </c>
      <c r="L153" s="13"/>
      <c r="M153" s="13"/>
      <c r="N153" s="13"/>
      <c r="O153" s="13"/>
      <c r="P153" s="152"/>
      <c r="Q153" s="149"/>
      <c r="R153" s="152"/>
      <c r="S153" s="152"/>
      <c r="T153" s="62" t="str">
        <f aca="false">IF(OR($C153="",R153=""),"",IF(R153/IF($R$2="",100,$R$2)&gt;=設定!$I$28,設定!$G$8,IF(R153/IF($R$2="",100,$R$2)&lt;設定!$I$29,設定!$G$10,設定!$G$9)))</f>
        <v/>
      </c>
      <c r="U153" s="62" t="str">
        <f aca="false">IF(OR($C153="",S153=""),"",IF(S153/IF($S$2="",100,$S$2)&gt;=設定!$I$28,設定!$G$8,IF(S153/IF($S$2="",100,$S$2)&lt;設定!$I$29,設定!$G$10,設定!$G$9)))</f>
        <v/>
      </c>
    </row>
    <row r="154" customFormat="false" ht="21" hidden="false" customHeight="true" outlineLevel="0" collapsed="false">
      <c r="A154" s="91" t="str">
        <f aca="false">IF(名簿!$D154="","",名簿!$B154&amp;"")</f>
        <v/>
      </c>
      <c r="B154" s="91" t="str">
        <f aca="false">IF(名簿!$D154="","",名簿!$C154)</f>
        <v/>
      </c>
      <c r="C154" s="59" t="str">
        <f aca="false">IF(名簿!$D154="","",名簿!$D154&amp;IF(名簿!$F154="転出","（転出）",""))</f>
        <v/>
      </c>
      <c r="D154" s="149"/>
      <c r="E154" s="61" t="str">
        <f aca="false">IF(OR($C154="",名簿!$F154="転出"),"",IF($C$2="学級ごと",$A154,IF($C$2="前の単元と同じ",単元07!$E154&amp;"",$D154&amp;"")))</f>
        <v/>
      </c>
      <c r="F154" s="150"/>
      <c r="G154" s="150"/>
      <c r="H154" s="150"/>
      <c r="I154" s="151"/>
      <c r="J154" s="41" t="str">
        <f aca="false">IF($E154="","",$E154&amp;"|"&amp;COUNTIF($E$5:$E154,$E154))</f>
        <v/>
      </c>
      <c r="K154" s="40" t="str">
        <f aca="false">IF($I154="","",LEN($I154))</f>
        <v/>
      </c>
      <c r="L154" s="13"/>
      <c r="M154" s="13"/>
      <c r="N154" s="13"/>
      <c r="O154" s="13"/>
      <c r="P154" s="152"/>
      <c r="Q154" s="149"/>
      <c r="R154" s="152"/>
      <c r="S154" s="152"/>
      <c r="T154" s="62" t="str">
        <f aca="false">IF(OR($C154="",R154=""),"",IF(R154/IF($R$2="",100,$R$2)&gt;=設定!$I$28,設定!$G$8,IF(R154/IF($R$2="",100,$R$2)&lt;設定!$I$29,設定!$G$10,設定!$G$9)))</f>
        <v/>
      </c>
      <c r="U154" s="62" t="str">
        <f aca="false">IF(OR($C154="",S154=""),"",IF(S154/IF($S$2="",100,$S$2)&gt;=設定!$I$28,設定!$G$8,IF(S154/IF($S$2="",100,$S$2)&lt;設定!$I$29,設定!$G$10,設定!$G$9)))</f>
        <v/>
      </c>
    </row>
    <row r="155" customFormat="false" ht="21" hidden="false" customHeight="true" outlineLevel="0" collapsed="false">
      <c r="A155" s="91" t="str">
        <f aca="false">IF(名簿!$D155="","",名簿!$B155&amp;"")</f>
        <v/>
      </c>
      <c r="B155" s="91" t="str">
        <f aca="false">IF(名簿!$D155="","",名簿!$C155)</f>
        <v/>
      </c>
      <c r="C155" s="59" t="str">
        <f aca="false">IF(名簿!$D155="","",名簿!$D155&amp;IF(名簿!$F155="転出","（転出）",""))</f>
        <v/>
      </c>
      <c r="D155" s="149"/>
      <c r="E155" s="61" t="str">
        <f aca="false">IF(OR($C155="",名簿!$F155="転出"),"",IF($C$2="学級ごと",$A155,IF($C$2="前の単元と同じ",単元07!$E155&amp;"",$D155&amp;"")))</f>
        <v/>
      </c>
      <c r="F155" s="150"/>
      <c r="G155" s="150"/>
      <c r="H155" s="150"/>
      <c r="I155" s="151"/>
      <c r="J155" s="41" t="str">
        <f aca="false">IF($E155="","",$E155&amp;"|"&amp;COUNTIF($E$5:$E155,$E155))</f>
        <v/>
      </c>
      <c r="K155" s="40" t="str">
        <f aca="false">IF($I155="","",LEN($I155))</f>
        <v/>
      </c>
      <c r="L155" s="13"/>
      <c r="M155" s="13"/>
      <c r="N155" s="13"/>
      <c r="O155" s="13"/>
      <c r="P155" s="152"/>
      <c r="Q155" s="149"/>
      <c r="R155" s="152"/>
      <c r="S155" s="152"/>
      <c r="T155" s="62" t="str">
        <f aca="false">IF(OR($C155="",R155=""),"",IF(R155/IF($R$2="",100,$R$2)&gt;=設定!$I$28,設定!$G$8,IF(R155/IF($R$2="",100,$R$2)&lt;設定!$I$29,設定!$G$10,設定!$G$9)))</f>
        <v/>
      </c>
      <c r="U155" s="62" t="str">
        <f aca="false">IF(OR($C155="",S155=""),"",IF(S155/IF($S$2="",100,$S$2)&gt;=設定!$I$28,設定!$G$8,IF(S155/IF($S$2="",100,$S$2)&lt;設定!$I$29,設定!$G$10,設定!$G$9)))</f>
        <v/>
      </c>
    </row>
    <row r="156" customFormat="false" ht="21" hidden="false" customHeight="true" outlineLevel="0" collapsed="false">
      <c r="A156" s="91" t="str">
        <f aca="false">IF(名簿!$D156="","",名簿!$B156&amp;"")</f>
        <v/>
      </c>
      <c r="B156" s="91" t="str">
        <f aca="false">IF(名簿!$D156="","",名簿!$C156)</f>
        <v/>
      </c>
      <c r="C156" s="59" t="str">
        <f aca="false">IF(名簿!$D156="","",名簿!$D156&amp;IF(名簿!$F156="転出","（転出）",""))</f>
        <v/>
      </c>
      <c r="D156" s="149"/>
      <c r="E156" s="61" t="str">
        <f aca="false">IF(OR($C156="",名簿!$F156="転出"),"",IF($C$2="学級ごと",$A156,IF($C$2="前の単元と同じ",単元07!$E156&amp;"",$D156&amp;"")))</f>
        <v/>
      </c>
      <c r="F156" s="150"/>
      <c r="G156" s="150"/>
      <c r="H156" s="150"/>
      <c r="I156" s="151"/>
      <c r="J156" s="41" t="str">
        <f aca="false">IF($E156="","",$E156&amp;"|"&amp;COUNTIF($E$5:$E156,$E156))</f>
        <v/>
      </c>
      <c r="K156" s="40" t="str">
        <f aca="false">IF($I156="","",LEN($I156))</f>
        <v/>
      </c>
      <c r="L156" s="13"/>
      <c r="M156" s="13"/>
      <c r="N156" s="13"/>
      <c r="O156" s="13"/>
      <c r="P156" s="152"/>
      <c r="Q156" s="149"/>
      <c r="R156" s="152"/>
      <c r="S156" s="152"/>
      <c r="T156" s="62" t="str">
        <f aca="false">IF(OR($C156="",R156=""),"",IF(R156/IF($R$2="",100,$R$2)&gt;=設定!$I$28,設定!$G$8,IF(R156/IF($R$2="",100,$R$2)&lt;設定!$I$29,設定!$G$10,設定!$G$9)))</f>
        <v/>
      </c>
      <c r="U156" s="62" t="str">
        <f aca="false">IF(OR($C156="",S156=""),"",IF(S156/IF($S$2="",100,$S$2)&gt;=設定!$I$28,設定!$G$8,IF(S156/IF($S$2="",100,$S$2)&lt;設定!$I$29,設定!$G$10,設定!$G$9)))</f>
        <v/>
      </c>
    </row>
    <row r="157" customFormat="false" ht="21" hidden="false" customHeight="true" outlineLevel="0" collapsed="false">
      <c r="A157" s="91" t="str">
        <f aca="false">IF(名簿!$D157="","",名簿!$B157&amp;"")</f>
        <v/>
      </c>
      <c r="B157" s="91" t="str">
        <f aca="false">IF(名簿!$D157="","",名簿!$C157)</f>
        <v/>
      </c>
      <c r="C157" s="59" t="str">
        <f aca="false">IF(名簿!$D157="","",名簿!$D157&amp;IF(名簿!$F157="転出","（転出）",""))</f>
        <v/>
      </c>
      <c r="D157" s="149"/>
      <c r="E157" s="61" t="str">
        <f aca="false">IF(OR($C157="",名簿!$F157="転出"),"",IF($C$2="学級ごと",$A157,IF($C$2="前の単元と同じ",単元07!$E157&amp;"",$D157&amp;"")))</f>
        <v/>
      </c>
      <c r="F157" s="150"/>
      <c r="G157" s="150"/>
      <c r="H157" s="150"/>
      <c r="I157" s="151"/>
      <c r="J157" s="41" t="str">
        <f aca="false">IF($E157="","",$E157&amp;"|"&amp;COUNTIF($E$5:$E157,$E157))</f>
        <v/>
      </c>
      <c r="K157" s="40" t="str">
        <f aca="false">IF($I157="","",LEN($I157))</f>
        <v/>
      </c>
      <c r="L157" s="13"/>
      <c r="M157" s="13"/>
      <c r="N157" s="13"/>
      <c r="O157" s="13"/>
      <c r="P157" s="152"/>
      <c r="Q157" s="149"/>
      <c r="R157" s="152"/>
      <c r="S157" s="152"/>
      <c r="T157" s="62" t="str">
        <f aca="false">IF(OR($C157="",R157=""),"",IF(R157/IF($R$2="",100,$R$2)&gt;=設定!$I$28,設定!$G$8,IF(R157/IF($R$2="",100,$R$2)&lt;設定!$I$29,設定!$G$10,設定!$G$9)))</f>
        <v/>
      </c>
      <c r="U157" s="62" t="str">
        <f aca="false">IF(OR($C157="",S157=""),"",IF(S157/IF($S$2="",100,$S$2)&gt;=設定!$I$28,設定!$G$8,IF(S157/IF($S$2="",100,$S$2)&lt;設定!$I$29,設定!$G$10,設定!$G$9)))</f>
        <v/>
      </c>
    </row>
    <row r="158" customFormat="false" ht="21" hidden="false" customHeight="true" outlineLevel="0" collapsed="false">
      <c r="A158" s="91" t="str">
        <f aca="false">IF(名簿!$D158="","",名簿!$B158&amp;"")</f>
        <v/>
      </c>
      <c r="B158" s="91" t="str">
        <f aca="false">IF(名簿!$D158="","",名簿!$C158)</f>
        <v/>
      </c>
      <c r="C158" s="59" t="str">
        <f aca="false">IF(名簿!$D158="","",名簿!$D158&amp;IF(名簿!$F158="転出","（転出）",""))</f>
        <v/>
      </c>
      <c r="D158" s="149"/>
      <c r="E158" s="61" t="str">
        <f aca="false">IF(OR($C158="",名簿!$F158="転出"),"",IF($C$2="学級ごと",$A158,IF($C$2="前の単元と同じ",単元07!$E158&amp;"",$D158&amp;"")))</f>
        <v/>
      </c>
      <c r="F158" s="150"/>
      <c r="G158" s="150"/>
      <c r="H158" s="150"/>
      <c r="I158" s="151"/>
      <c r="J158" s="41" t="str">
        <f aca="false">IF($E158="","",$E158&amp;"|"&amp;COUNTIF($E$5:$E158,$E158))</f>
        <v/>
      </c>
      <c r="K158" s="40" t="str">
        <f aca="false">IF($I158="","",LEN($I158))</f>
        <v/>
      </c>
      <c r="L158" s="13"/>
      <c r="M158" s="13"/>
      <c r="N158" s="13"/>
      <c r="O158" s="13"/>
      <c r="P158" s="152"/>
      <c r="Q158" s="149"/>
      <c r="R158" s="152"/>
      <c r="S158" s="152"/>
      <c r="T158" s="62" t="str">
        <f aca="false">IF(OR($C158="",R158=""),"",IF(R158/IF($R$2="",100,$R$2)&gt;=設定!$I$28,設定!$G$8,IF(R158/IF($R$2="",100,$R$2)&lt;設定!$I$29,設定!$G$10,設定!$G$9)))</f>
        <v/>
      </c>
      <c r="U158" s="62" t="str">
        <f aca="false">IF(OR($C158="",S158=""),"",IF(S158/IF($S$2="",100,$S$2)&gt;=設定!$I$28,設定!$G$8,IF(S158/IF($S$2="",100,$S$2)&lt;設定!$I$29,設定!$G$10,設定!$G$9)))</f>
        <v/>
      </c>
    </row>
    <row r="159" customFormat="false" ht="21" hidden="false" customHeight="true" outlineLevel="0" collapsed="false">
      <c r="A159" s="91" t="str">
        <f aca="false">IF(名簿!$D159="","",名簿!$B159&amp;"")</f>
        <v/>
      </c>
      <c r="B159" s="91" t="str">
        <f aca="false">IF(名簿!$D159="","",名簿!$C159)</f>
        <v/>
      </c>
      <c r="C159" s="59" t="str">
        <f aca="false">IF(名簿!$D159="","",名簿!$D159&amp;IF(名簿!$F159="転出","（転出）",""))</f>
        <v/>
      </c>
      <c r="D159" s="149"/>
      <c r="E159" s="61" t="str">
        <f aca="false">IF(OR($C159="",名簿!$F159="転出"),"",IF($C$2="学級ごと",$A159,IF($C$2="前の単元と同じ",単元07!$E159&amp;"",$D159&amp;"")))</f>
        <v/>
      </c>
      <c r="F159" s="150"/>
      <c r="G159" s="150"/>
      <c r="H159" s="150"/>
      <c r="I159" s="151"/>
      <c r="J159" s="41" t="str">
        <f aca="false">IF($E159="","",$E159&amp;"|"&amp;COUNTIF($E$5:$E159,$E159))</f>
        <v/>
      </c>
      <c r="K159" s="40" t="str">
        <f aca="false">IF($I159="","",LEN($I159))</f>
        <v/>
      </c>
      <c r="L159" s="13"/>
      <c r="M159" s="13"/>
      <c r="N159" s="13"/>
      <c r="O159" s="13"/>
      <c r="P159" s="152"/>
      <c r="Q159" s="149"/>
      <c r="R159" s="152"/>
      <c r="S159" s="152"/>
      <c r="T159" s="62" t="str">
        <f aca="false">IF(OR($C159="",R159=""),"",IF(R159/IF($R$2="",100,$R$2)&gt;=設定!$I$28,設定!$G$8,IF(R159/IF($R$2="",100,$R$2)&lt;設定!$I$29,設定!$G$10,設定!$G$9)))</f>
        <v/>
      </c>
      <c r="U159" s="62" t="str">
        <f aca="false">IF(OR($C159="",S159=""),"",IF(S159/IF($S$2="",100,$S$2)&gt;=設定!$I$28,設定!$G$8,IF(S159/IF($S$2="",100,$S$2)&lt;設定!$I$29,設定!$G$10,設定!$G$9)))</f>
        <v/>
      </c>
    </row>
    <row r="160" customFormat="false" ht="21" hidden="false" customHeight="true" outlineLevel="0" collapsed="false">
      <c r="A160" s="91" t="str">
        <f aca="false">IF(名簿!$D160="","",名簿!$B160&amp;"")</f>
        <v/>
      </c>
      <c r="B160" s="91" t="str">
        <f aca="false">IF(名簿!$D160="","",名簿!$C160)</f>
        <v/>
      </c>
      <c r="C160" s="59" t="str">
        <f aca="false">IF(名簿!$D160="","",名簿!$D160&amp;IF(名簿!$F160="転出","（転出）",""))</f>
        <v/>
      </c>
      <c r="D160" s="149"/>
      <c r="E160" s="61" t="str">
        <f aca="false">IF(OR($C160="",名簿!$F160="転出"),"",IF($C$2="学級ごと",$A160,IF($C$2="前の単元と同じ",単元07!$E160&amp;"",$D160&amp;"")))</f>
        <v/>
      </c>
      <c r="F160" s="150"/>
      <c r="G160" s="150"/>
      <c r="H160" s="150"/>
      <c r="I160" s="151"/>
      <c r="J160" s="41" t="str">
        <f aca="false">IF($E160="","",$E160&amp;"|"&amp;COUNTIF($E$5:$E160,$E160))</f>
        <v/>
      </c>
      <c r="K160" s="40" t="str">
        <f aca="false">IF($I160="","",LEN($I160))</f>
        <v/>
      </c>
      <c r="L160" s="13"/>
      <c r="M160" s="13"/>
      <c r="N160" s="13"/>
      <c r="O160" s="13"/>
      <c r="P160" s="152"/>
      <c r="Q160" s="149"/>
      <c r="R160" s="152"/>
      <c r="S160" s="152"/>
      <c r="T160" s="62" t="str">
        <f aca="false">IF(OR($C160="",R160=""),"",IF(R160/IF($R$2="",100,$R$2)&gt;=設定!$I$28,設定!$G$8,IF(R160/IF($R$2="",100,$R$2)&lt;設定!$I$29,設定!$G$10,設定!$G$9)))</f>
        <v/>
      </c>
      <c r="U160" s="62" t="str">
        <f aca="false">IF(OR($C160="",S160=""),"",IF(S160/IF($S$2="",100,$S$2)&gt;=設定!$I$28,設定!$G$8,IF(S160/IF($S$2="",100,$S$2)&lt;設定!$I$29,設定!$G$10,設定!$G$9)))</f>
        <v/>
      </c>
    </row>
    <row r="161" customFormat="false" ht="21" hidden="false" customHeight="true" outlineLevel="0" collapsed="false">
      <c r="A161" s="91" t="str">
        <f aca="false">IF(名簿!$D161="","",名簿!$B161&amp;"")</f>
        <v/>
      </c>
      <c r="B161" s="91" t="str">
        <f aca="false">IF(名簿!$D161="","",名簿!$C161)</f>
        <v/>
      </c>
      <c r="C161" s="59" t="str">
        <f aca="false">IF(名簿!$D161="","",名簿!$D161&amp;IF(名簿!$F161="転出","（転出）",""))</f>
        <v/>
      </c>
      <c r="D161" s="149"/>
      <c r="E161" s="61" t="str">
        <f aca="false">IF(OR($C161="",名簿!$F161="転出"),"",IF($C$2="学級ごと",$A161,IF($C$2="前の単元と同じ",単元07!$E161&amp;"",$D161&amp;"")))</f>
        <v/>
      </c>
      <c r="F161" s="150"/>
      <c r="G161" s="150"/>
      <c r="H161" s="150"/>
      <c r="I161" s="151"/>
      <c r="J161" s="41" t="str">
        <f aca="false">IF($E161="","",$E161&amp;"|"&amp;COUNTIF($E$5:$E161,$E161))</f>
        <v/>
      </c>
      <c r="K161" s="40" t="str">
        <f aca="false">IF($I161="","",LEN($I161))</f>
        <v/>
      </c>
      <c r="L161" s="13"/>
      <c r="M161" s="13"/>
      <c r="N161" s="13"/>
      <c r="O161" s="13"/>
      <c r="P161" s="152"/>
      <c r="Q161" s="149"/>
      <c r="R161" s="152"/>
      <c r="S161" s="152"/>
      <c r="T161" s="62" t="str">
        <f aca="false">IF(OR($C161="",R161=""),"",IF(R161/IF($R$2="",100,$R$2)&gt;=設定!$I$28,設定!$G$8,IF(R161/IF($R$2="",100,$R$2)&lt;設定!$I$29,設定!$G$10,設定!$G$9)))</f>
        <v/>
      </c>
      <c r="U161" s="62" t="str">
        <f aca="false">IF(OR($C161="",S161=""),"",IF(S161/IF($S$2="",100,$S$2)&gt;=設定!$I$28,設定!$G$8,IF(S161/IF($S$2="",100,$S$2)&lt;設定!$I$29,設定!$G$10,設定!$G$9)))</f>
        <v/>
      </c>
    </row>
    <row r="162" customFormat="false" ht="21" hidden="false" customHeight="true" outlineLevel="0" collapsed="false">
      <c r="A162" s="91" t="str">
        <f aca="false">IF(名簿!$D162="","",名簿!$B162&amp;"")</f>
        <v/>
      </c>
      <c r="B162" s="91" t="str">
        <f aca="false">IF(名簿!$D162="","",名簿!$C162)</f>
        <v/>
      </c>
      <c r="C162" s="59" t="str">
        <f aca="false">IF(名簿!$D162="","",名簿!$D162&amp;IF(名簿!$F162="転出","（転出）",""))</f>
        <v/>
      </c>
      <c r="D162" s="149"/>
      <c r="E162" s="61" t="str">
        <f aca="false">IF(OR($C162="",名簿!$F162="転出"),"",IF($C$2="学級ごと",$A162,IF($C$2="前の単元と同じ",単元07!$E162&amp;"",$D162&amp;"")))</f>
        <v/>
      </c>
      <c r="F162" s="150"/>
      <c r="G162" s="150"/>
      <c r="H162" s="150"/>
      <c r="I162" s="151"/>
      <c r="J162" s="41" t="str">
        <f aca="false">IF($E162="","",$E162&amp;"|"&amp;COUNTIF($E$5:$E162,$E162))</f>
        <v/>
      </c>
      <c r="K162" s="40" t="str">
        <f aca="false">IF($I162="","",LEN($I162))</f>
        <v/>
      </c>
      <c r="L162" s="13"/>
      <c r="M162" s="13"/>
      <c r="N162" s="13"/>
      <c r="O162" s="13"/>
      <c r="P162" s="152"/>
      <c r="Q162" s="149"/>
      <c r="R162" s="152"/>
      <c r="S162" s="152"/>
      <c r="T162" s="62" t="str">
        <f aca="false">IF(OR($C162="",R162=""),"",IF(R162/IF($R$2="",100,$R$2)&gt;=設定!$I$28,設定!$G$8,IF(R162/IF($R$2="",100,$R$2)&lt;設定!$I$29,設定!$G$10,設定!$G$9)))</f>
        <v/>
      </c>
      <c r="U162" s="62" t="str">
        <f aca="false">IF(OR($C162="",S162=""),"",IF(S162/IF($S$2="",100,$S$2)&gt;=設定!$I$28,設定!$G$8,IF(S162/IF($S$2="",100,$S$2)&lt;設定!$I$29,設定!$G$10,設定!$G$9)))</f>
        <v/>
      </c>
    </row>
    <row r="163" customFormat="false" ht="21" hidden="false" customHeight="true" outlineLevel="0" collapsed="false">
      <c r="A163" s="91" t="str">
        <f aca="false">IF(名簿!$D163="","",名簿!$B163&amp;"")</f>
        <v/>
      </c>
      <c r="B163" s="91" t="str">
        <f aca="false">IF(名簿!$D163="","",名簿!$C163)</f>
        <v/>
      </c>
      <c r="C163" s="59" t="str">
        <f aca="false">IF(名簿!$D163="","",名簿!$D163&amp;IF(名簿!$F163="転出","（転出）",""))</f>
        <v/>
      </c>
      <c r="D163" s="149"/>
      <c r="E163" s="61" t="str">
        <f aca="false">IF(OR($C163="",名簿!$F163="転出"),"",IF($C$2="学級ごと",$A163,IF($C$2="前の単元と同じ",単元07!$E163&amp;"",$D163&amp;"")))</f>
        <v/>
      </c>
      <c r="F163" s="150"/>
      <c r="G163" s="150"/>
      <c r="H163" s="150"/>
      <c r="I163" s="151"/>
      <c r="J163" s="41" t="str">
        <f aca="false">IF($E163="","",$E163&amp;"|"&amp;COUNTIF($E$5:$E163,$E163))</f>
        <v/>
      </c>
      <c r="K163" s="40" t="str">
        <f aca="false">IF($I163="","",LEN($I163))</f>
        <v/>
      </c>
      <c r="L163" s="13"/>
      <c r="M163" s="13"/>
      <c r="N163" s="13"/>
      <c r="O163" s="13"/>
      <c r="P163" s="152"/>
      <c r="Q163" s="149"/>
      <c r="R163" s="152"/>
      <c r="S163" s="152"/>
      <c r="T163" s="62" t="str">
        <f aca="false">IF(OR($C163="",R163=""),"",IF(R163/IF($R$2="",100,$R$2)&gt;=設定!$I$28,設定!$G$8,IF(R163/IF($R$2="",100,$R$2)&lt;設定!$I$29,設定!$G$10,設定!$G$9)))</f>
        <v/>
      </c>
      <c r="U163" s="62" t="str">
        <f aca="false">IF(OR($C163="",S163=""),"",IF(S163/IF($S$2="",100,$S$2)&gt;=設定!$I$28,設定!$G$8,IF(S163/IF($S$2="",100,$S$2)&lt;設定!$I$29,設定!$G$10,設定!$G$9)))</f>
        <v/>
      </c>
    </row>
    <row r="164" customFormat="false" ht="21" hidden="false" customHeight="true" outlineLevel="0" collapsed="false">
      <c r="A164" s="91" t="str">
        <f aca="false">IF(名簿!$D164="","",名簿!$B164&amp;"")</f>
        <v/>
      </c>
      <c r="B164" s="91" t="str">
        <f aca="false">IF(名簿!$D164="","",名簿!$C164)</f>
        <v/>
      </c>
      <c r="C164" s="59" t="str">
        <f aca="false">IF(名簿!$D164="","",名簿!$D164&amp;IF(名簿!$F164="転出","（転出）",""))</f>
        <v/>
      </c>
      <c r="D164" s="149"/>
      <c r="E164" s="61" t="str">
        <f aca="false">IF(OR($C164="",名簿!$F164="転出"),"",IF($C$2="学級ごと",$A164,IF($C$2="前の単元と同じ",単元07!$E164&amp;"",$D164&amp;"")))</f>
        <v/>
      </c>
      <c r="F164" s="150"/>
      <c r="G164" s="150"/>
      <c r="H164" s="150"/>
      <c r="I164" s="151"/>
      <c r="J164" s="41" t="str">
        <f aca="false">IF($E164="","",$E164&amp;"|"&amp;COUNTIF($E$5:$E164,$E164))</f>
        <v/>
      </c>
      <c r="K164" s="40" t="str">
        <f aca="false">IF($I164="","",LEN($I164))</f>
        <v/>
      </c>
      <c r="L164" s="13"/>
      <c r="M164" s="13"/>
      <c r="N164" s="13"/>
      <c r="O164" s="13"/>
      <c r="P164" s="152"/>
      <c r="Q164" s="149"/>
      <c r="R164" s="152"/>
      <c r="S164" s="152"/>
      <c r="T164" s="62" t="str">
        <f aca="false">IF(OR($C164="",R164=""),"",IF(R164/IF($R$2="",100,$R$2)&gt;=設定!$I$28,設定!$G$8,IF(R164/IF($R$2="",100,$R$2)&lt;設定!$I$29,設定!$G$10,設定!$G$9)))</f>
        <v/>
      </c>
      <c r="U164" s="62" t="str">
        <f aca="false">IF(OR($C164="",S164=""),"",IF(S164/IF($S$2="",100,$S$2)&gt;=設定!$I$28,設定!$G$8,IF(S164/IF($S$2="",100,$S$2)&lt;設定!$I$29,設定!$G$10,設定!$G$9)))</f>
        <v/>
      </c>
    </row>
  </sheetData>
  <sheetProtection sheet="true" formatColumns="false" formatRows="false" autoFilter="false"/>
  <autoFilter ref="A4:I164"/>
  <mergeCells count="5">
    <mergeCell ref="A1:I1"/>
    <mergeCell ref="R1:U1"/>
    <mergeCell ref="A2:B2"/>
    <mergeCell ref="D2:I2"/>
    <mergeCell ref="T2:U2"/>
  </mergeCells>
  <conditionalFormatting sqref="A5:C164">
    <cfRule type="expression" priority="2" aboveAverage="0" equalAverage="0" bottom="0" percent="0" rank="0" text="" dxfId="37">
      <formula>RIGHT($C5,4)="（転出）"</formula>
    </cfRule>
    <cfRule type="expression" priority="3" aboveAverage="0" equalAverage="0" bottom="0" percent="0" rank="0" text="" dxfId="8">
      <formula>$C5&lt;&gt;""</formula>
    </cfRule>
  </conditionalFormatting>
  <conditionalFormatting sqref="D5:D164">
    <cfRule type="expression" priority="4" aboveAverage="0" equalAverage="0" bottom="0" percent="0" rank="0" text="" dxfId="37">
      <formula>RIGHT($C5,4)="（転出）"</formula>
    </cfRule>
    <cfRule type="expression" priority="5" aboveAverage="0" equalAverage="0" bottom="0" percent="0" rank="0" text="" dxfId="38">
      <formula>AND($C5&lt;&gt;"",$C$2&lt;&gt;"習熟度別")</formula>
    </cfRule>
    <cfRule type="expression" priority="6" aboveAverage="0" equalAverage="0" bottom="0" percent="0" rank="0" text="" dxfId="39">
      <formula>AND($C5&lt;&gt;"",$E5="")</formula>
    </cfRule>
    <cfRule type="expression" priority="7" aboveAverage="0" equalAverage="0" bottom="0" percent="0" rank="0" text="" dxfId="39">
      <formula>AND($C5&lt;&gt;"",$D5&lt;&gt;"",COUNTIF(コース一覧,$D5)=0)</formula>
    </cfRule>
    <cfRule type="expression" priority="8" aboveAverage="0" equalAverage="0" bottom="0" percent="0" rank="0" text="" dxfId="40">
      <formula>AND($C5&lt;&gt;"",$C$2="習熟度別",$Q5&lt;&gt;"",$E5&lt;&gt;"",$Q5&lt;&gt;$E5)</formula>
    </cfRule>
    <cfRule type="expression" priority="9" aboveAverage="0" equalAverage="0" bottom="0" percent="0" rank="0" text="" dxfId="41">
      <formula>$C5&lt;&gt;""</formula>
    </cfRule>
  </conditionalFormatting>
  <conditionalFormatting sqref="E5:E164">
    <cfRule type="expression" priority="10" aboveAverage="0" equalAverage="0" bottom="0" percent="0" rank="0" text="" dxfId="37">
      <formula>RIGHT($C5,4)="（転出）"</formula>
    </cfRule>
    <cfRule type="expression" priority="11" aboveAverage="0" equalAverage="0" bottom="0" percent="0" rank="0" text="" dxfId="42">
      <formula>AND($E5&lt;&gt;"",$E5=$L$2)</formula>
    </cfRule>
    <cfRule type="expression" priority="12" aboveAverage="0" equalAverage="0" bottom="0" percent="0" rank="0" text="" dxfId="43">
      <formula>AND($E5&lt;&gt;"",$E5=$L$3)</formula>
    </cfRule>
    <cfRule type="expression" priority="13" aboveAverage="0" equalAverage="0" bottom="0" percent="0" rank="0" text="" dxfId="44">
      <formula>AND($E5&lt;&gt;"",$E5=$L$4)</formula>
    </cfRule>
    <cfRule type="expression" priority="14" aboveAverage="0" equalAverage="0" bottom="0" percent="0" rank="0" text="" dxfId="45">
      <formula>AND($E5&lt;&gt;"",$E5=$L$5)</formula>
    </cfRule>
    <cfRule type="expression" priority="15" aboveAverage="0" equalAverage="0" bottom="0" percent="0" rank="0" text="" dxfId="46">
      <formula>AND($E5&lt;&gt;"",$E5=$L$6)</formula>
    </cfRule>
    <cfRule type="expression" priority="16" aboveAverage="0" equalAverage="0" bottom="0" percent="0" rank="0" text="" dxfId="8">
      <formula>$C5&lt;&gt;""</formula>
    </cfRule>
  </conditionalFormatting>
  <conditionalFormatting sqref="F5:H164">
    <cfRule type="expression" priority="17" aboveAverage="0" equalAverage="0" bottom="0" percent="0" rank="0" text="" dxfId="37">
      <formula>RIGHT($C5,4)="（転出）"</formula>
    </cfRule>
    <cfRule type="expression" priority="18" aboveAverage="0" equalAverage="0" bottom="0" percent="0" rank="0" text="" dxfId="12">
      <formula>AND(F5&lt;&gt;"",F5=設定!$G$10)</formula>
    </cfRule>
    <cfRule type="expression" priority="19" aboveAverage="0" equalAverage="0" bottom="0" percent="0" rank="0" text="" dxfId="47">
      <formula>AND(F5&lt;&gt;"",F5=設定!$G$8)</formula>
    </cfRule>
    <cfRule type="expression" priority="20" aboveAverage="0" equalAverage="0" bottom="0" percent="0" rank="0" text="" dxfId="41">
      <formula>AND($C5&lt;&gt;"",$E5&lt;&gt;"")</formula>
    </cfRule>
    <cfRule type="expression" priority="21" aboveAverage="0" equalAverage="0" bottom="0" percent="0" rank="0" text="" dxfId="8">
      <formula>$C5&lt;&gt;""</formula>
    </cfRule>
  </conditionalFormatting>
  <conditionalFormatting sqref="I5:I164">
    <cfRule type="expression" priority="22" aboveAverage="0" equalAverage="0" bottom="0" percent="0" rank="0" text="" dxfId="37">
      <formula>RIGHT($C5,4)="（転出）"</formula>
    </cfRule>
    <cfRule type="expression" priority="23" aboveAverage="0" equalAverage="0" bottom="0" percent="0" rank="0" text="" dxfId="48">
      <formula>AND($C5&lt;&gt;"",$I5&lt;&gt;"",ISNUMBER(設定!$I$22),LEN($I5)&gt;設定!$I$22)</formula>
    </cfRule>
    <cfRule type="expression" priority="24" aboveAverage="0" equalAverage="0" bottom="0" percent="0" rank="0" text="" dxfId="41">
      <formula>AND($C5&lt;&gt;"",$E5&lt;&gt;"")</formula>
    </cfRule>
    <cfRule type="expression" priority="25" aboveAverage="0" equalAverage="0" bottom="0" percent="0" rank="0" text="" dxfId="8">
      <formula>$C5&lt;&gt;""</formula>
    </cfRule>
  </conditionalFormatting>
  <conditionalFormatting sqref="K5:K164">
    <cfRule type="expression" priority="26" aboveAverage="0" equalAverage="0" bottom="0" percent="0" rank="0" text="" dxfId="49">
      <formula>AND($K5&lt;&gt;"",ISNUMBER(設定!$I$22),$K5&gt;設定!$I$22)</formula>
    </cfRule>
    <cfRule type="expression" priority="27" aboveAverage="0" equalAverage="0" bottom="0" percent="0" rank="0" text="" dxfId="50">
      <formula>$C5&lt;&gt;""</formula>
    </cfRule>
  </conditionalFormatting>
  <conditionalFormatting sqref="P5:P164">
    <cfRule type="expression" priority="28" aboveAverage="0" equalAverage="0" bottom="0" percent="0" rank="0" text="" dxfId="41">
      <formula>$C5&lt;&gt;""</formula>
    </cfRule>
  </conditionalFormatting>
  <conditionalFormatting sqref="R5:R164">
    <cfRule type="expression" priority="29" aboveAverage="0" equalAverage="0" bottom="0" percent="0" rank="0" text="" dxfId="49">
      <formula>AND($C5&lt;&gt;"",$R5&lt;&gt;"",$R$2&lt;&gt;"",$R5&gt;$R$2)</formula>
    </cfRule>
    <cfRule type="expression" priority="30" aboveAverage="0" equalAverage="0" bottom="0" percent="0" rank="0" text="" dxfId="41">
      <formula>$C5&lt;&gt;""</formula>
    </cfRule>
  </conditionalFormatting>
  <conditionalFormatting sqref="S5:S164">
    <cfRule type="expression" priority="31" aboveAverage="0" equalAverage="0" bottom="0" percent="0" rank="0" text="" dxfId="49">
      <formula>AND($C5&lt;&gt;"",$S5&lt;&gt;"",$S$2&lt;&gt;"",$S5&gt;$S$2)</formula>
    </cfRule>
    <cfRule type="expression" priority="32" aboveAverage="0" equalAverage="0" bottom="0" percent="0" rank="0" text="" dxfId="41">
      <formula>$C5&lt;&gt;""</formula>
    </cfRule>
  </conditionalFormatting>
  <conditionalFormatting sqref="T5:U164">
    <cfRule type="expression" priority="33" aboveAverage="0" equalAverage="0" bottom="0" percent="0" rank="0" text="" dxfId="12">
      <formula>AND(T5&lt;&gt;"",T5=設定!$G$10)</formula>
    </cfRule>
    <cfRule type="expression" priority="34" aboveAverage="0" equalAverage="0" bottom="0" percent="0" rank="0" text="" dxfId="51">
      <formula>AND(T5&lt;&gt;"",T5=設定!$G$8)</formula>
    </cfRule>
    <cfRule type="expression" priority="35" aboveAverage="0" equalAverage="0" bottom="0" percent="0" rank="0" text="" dxfId="19">
      <formula>$C5&lt;&gt;""</formula>
    </cfRule>
  </conditionalFormatting>
  <conditionalFormatting sqref="Q5:Q164">
    <cfRule type="expression" priority="36" aboveAverage="0" equalAverage="0" bottom="0" percent="0" rank="0" text="" dxfId="40">
      <formula>AND($C5&lt;&gt;"",$Q5&lt;&gt;"",$E5&lt;&gt;"",$Q5&lt;&gt;$E5)</formula>
    </cfRule>
    <cfRule type="expression" priority="37" aboveAverage="0" equalAverage="0" bottom="0" percent="0" rank="0" text="" dxfId="41">
      <formula>$C5&lt;&gt;""</formula>
    </cfRule>
  </conditionalFormatting>
  <conditionalFormatting sqref="L2:N2">
    <cfRule type="expression" priority="38" aboveAverage="0" equalAverage="0" bottom="0" percent="0" rank="0" text="" dxfId="14">
      <formula>$L2=""</formula>
    </cfRule>
  </conditionalFormatting>
  <conditionalFormatting sqref="L3:N3">
    <cfRule type="expression" priority="39" aboveAverage="0" equalAverage="0" bottom="0" percent="0" rank="0" text="" dxfId="14">
      <formula>$L3=""</formula>
    </cfRule>
  </conditionalFormatting>
  <conditionalFormatting sqref="L4:N4">
    <cfRule type="expression" priority="40" aboveAverage="0" equalAverage="0" bottom="0" percent="0" rank="0" text="" dxfId="14">
      <formula>$L4=""</formula>
    </cfRule>
  </conditionalFormatting>
  <conditionalFormatting sqref="L5:N5">
    <cfRule type="expression" priority="41" aboveAverage="0" equalAverage="0" bottom="0" percent="0" rank="0" text="" dxfId="14">
      <formula>$L5=""</formula>
    </cfRule>
  </conditionalFormatting>
  <conditionalFormatting sqref="L6:N6">
    <cfRule type="expression" priority="42" aboveAverage="0" equalAverage="0" bottom="0" percent="0" rank="0" text="" dxfId="14">
      <formula>$L6=""</formula>
    </cfRule>
  </conditionalFormatting>
  <conditionalFormatting sqref="N7">
    <cfRule type="expression" priority="43" aboveAverage="0" equalAverage="0" bottom="0" percent="0" rank="0" text="" dxfId="52">
      <formula>$N$7=0</formula>
    </cfRule>
  </conditionalFormatting>
  <dataValidations count="6">
    <dataValidation allowBlank="true" error="点数（数字）を入力してください。" errorStyle="stop" operator="between" showDropDown="false" showErrorMessage="true" showInputMessage="false" sqref="R2:S2 P5:P164 R5:S164" type="decimal">
      <formula1>0</formula1>
      <formula2>1000</formula2>
    </dataValidation>
    <dataValidation allowBlank="false" error="一覧から選んでください。" errorStyle="stop" errorTitle="入力エラー" operator="between" showDropDown="false" showErrorMessage="true" showInputMessage="false" sqref="C2" type="list">
      <formula1>"習熟度別,前の単元と同じ,学級ごと"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D5:D164" type="list">
      <formula1>コース一覧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Q5:Q164" type="list">
      <formula1>コース一覧</formula1>
      <formula2>0</formula2>
    </dataValidation>
    <dataValidation allowBlank="true" error="設定シートの評価記号（A/B/C）から選んでください。" errorStyle="stop" errorTitle="入力エラー" operator="between" showDropDown="false" showErrorMessage="true" showInputMessage="false" sqref="F5:H164" type="list">
      <formula1>評価記号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M2:M6" type="list">
      <formula1>担当者一覧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U16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5"/>
    <col collapsed="false" customWidth="true" hidden="false" outlineLevel="0" max="3" min="3" style="0" width="17"/>
    <col collapsed="false" customWidth="true" hidden="false" outlineLevel="0" max="4" min="4" style="0" width="11"/>
    <col collapsed="false" customWidth="true" hidden="false" outlineLevel="0" max="5" min="5" style="0" width="12"/>
    <col collapsed="false" customWidth="true" hidden="false" outlineLevel="0" max="8" min="6" style="0" width="6"/>
    <col collapsed="false" customWidth="true" hidden="false" outlineLevel="0" max="9" min="9" style="0" width="55"/>
    <col collapsed="false" customWidth="true" hidden="true" outlineLevel="0" max="10" min="10" style="0" width="3"/>
    <col collapsed="false" customWidth="true" hidden="false" outlineLevel="0" max="11" min="11" style="0" width="5"/>
    <col collapsed="false" customWidth="true" hidden="false" outlineLevel="0" max="12" min="12" style="0" width="14"/>
    <col collapsed="false" customWidth="true" hidden="false" outlineLevel="0" max="13" min="13" style="0" width="13"/>
    <col collapsed="false" customWidth="true" hidden="false" outlineLevel="0" max="14" min="14" style="0" width="7"/>
    <col collapsed="false" customWidth="true" hidden="false" outlineLevel="0" max="15" min="15" style="0" width="2"/>
    <col collapsed="false" customWidth="true" hidden="false" outlineLevel="0" max="16" min="16" style="0" width="9"/>
    <col collapsed="false" customWidth="true" hidden="false" outlineLevel="0" max="17" min="17" style="0" width="12"/>
    <col collapsed="false" customWidth="true" hidden="false" outlineLevel="0" max="19" min="18" style="0" width="7"/>
    <col collapsed="false" customWidth="true" hidden="false" outlineLevel="0" max="21" min="20" style="0" width="6"/>
  </cols>
  <sheetData>
    <row r="1" customFormat="false" ht="33.75" hidden="false" customHeight="true" outlineLevel="0" collapsed="false">
      <c r="A1" s="14" t="str">
        <f aca="false">"単元9　"&amp;IF(設定!$D$25="","（設定シートで単元名を入力）",設定!$D$25)&amp;IF(設定!$C$25="","","　／　"&amp;設定!$C$25&amp;IF(ISNUMBER(設定!$C$25),"学期",""))</f>
        <v>単元9　（設定シートで単元名を入力）</v>
      </c>
      <c r="B1" s="14"/>
      <c r="C1" s="14"/>
      <c r="D1" s="14"/>
      <c r="E1" s="14"/>
      <c r="F1" s="14"/>
      <c r="G1" s="14"/>
      <c r="H1" s="14"/>
      <c r="I1" s="14"/>
      <c r="J1" s="13"/>
      <c r="K1" s="13"/>
      <c r="L1" s="16" t="s">
        <v>153</v>
      </c>
      <c r="M1" s="16" t="s">
        <v>68</v>
      </c>
      <c r="N1" s="16" t="s">
        <v>128</v>
      </c>
      <c r="O1" s="13"/>
      <c r="P1" s="13"/>
      <c r="Q1" s="13"/>
      <c r="R1" s="131" t="s">
        <v>154</v>
      </c>
      <c r="S1" s="131"/>
      <c r="T1" s="131"/>
      <c r="U1" s="131"/>
    </row>
    <row r="2" customFormat="false" ht="25.5" hidden="false" customHeight="true" outlineLevel="0" collapsed="false">
      <c r="A2" s="16" t="s">
        <v>131</v>
      </c>
      <c r="B2" s="16"/>
      <c r="C2" s="138" t="s">
        <v>164</v>
      </c>
      <c r="D2" s="139" t="str">
        <f aca="false">IF($C$2="習熟度別","← D列「コース」で一人ずつ選びます",IF($C$2="前の単元と同じ","← 前の単元のコースをそのまま使います","← 在籍学級のまま分かれます"))</f>
        <v>← D列「コース」で一人ずつ選びます</v>
      </c>
      <c r="E2" s="139"/>
      <c r="F2" s="139"/>
      <c r="G2" s="139"/>
      <c r="H2" s="139"/>
      <c r="I2" s="139"/>
      <c r="J2" s="13"/>
      <c r="K2" s="13"/>
      <c r="L2" s="119" t="str">
        <f aca="false">IF($C$2="前の単元と同じ",単元08!$L2&amp;"",IF($C$2="学級ごと",IF(設定!$B$8="","",設定!$B$8&amp;""),IF(設定!$D$8="","",設定!$D$8&amp;"")))</f>
        <v>深める</v>
      </c>
      <c r="M2" s="39"/>
      <c r="N2" s="140" t="n">
        <f aca="false">IF($L2="","",COUNTIF($E$5:$E$164,$L2))</f>
        <v>0</v>
      </c>
      <c r="O2" s="13"/>
      <c r="P2" s="13"/>
      <c r="Q2" s="13"/>
      <c r="R2" s="141" t="n">
        <v>100</v>
      </c>
      <c r="S2" s="141" t="n">
        <v>100</v>
      </c>
      <c r="T2" s="142" t="s">
        <v>165</v>
      </c>
      <c r="U2" s="142"/>
    </row>
    <row r="3" customFormat="false" ht="17.15" hidden="false" customHeight="false" outlineLevel="0" collapsed="false">
      <c r="A3" s="4" t="s">
        <v>166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23" t="str">
        <f aca="false">IF($C$2="前の単元と同じ",単元08!$L3&amp;"",IF($C$2="学級ごと",IF(設定!$B$9="","",設定!$B$9&amp;""),IF(設定!$D$9="","",設定!$D$9&amp;"")))</f>
        <v>広げるA</v>
      </c>
      <c r="M3" s="39"/>
      <c r="N3" s="140" t="n">
        <f aca="false">IF($L3="","",COUNTIF($E$5:$E$164,$L3))</f>
        <v>0</v>
      </c>
      <c r="O3" s="13"/>
      <c r="P3" s="143" t="s">
        <v>167</v>
      </c>
      <c r="Q3" s="13"/>
      <c r="R3" s="144" t="s">
        <v>168</v>
      </c>
      <c r="S3" s="13"/>
      <c r="T3" s="13"/>
      <c r="U3" s="13"/>
    </row>
    <row r="4" customFormat="false" ht="30" hidden="false" customHeight="true" outlineLevel="0" collapsed="false">
      <c r="A4" s="16" t="s">
        <v>121</v>
      </c>
      <c r="B4" s="16" t="s">
        <v>122</v>
      </c>
      <c r="C4" s="16" t="s">
        <v>123</v>
      </c>
      <c r="D4" s="145" t="s">
        <v>153</v>
      </c>
      <c r="E4" s="16" t="s">
        <v>169</v>
      </c>
      <c r="F4" s="146" t="str">
        <f aca="false">設定!$I$8</f>
        <v>知</v>
      </c>
      <c r="G4" s="146" t="str">
        <f aca="false">設定!$I$9</f>
        <v>思</v>
      </c>
      <c r="H4" s="146" t="str">
        <f aca="false">設定!$I$10</f>
        <v>態</v>
      </c>
      <c r="I4" s="146" t="s">
        <v>107</v>
      </c>
      <c r="J4" s="16"/>
      <c r="K4" s="110" t="s">
        <v>170</v>
      </c>
      <c r="L4" s="124" t="str">
        <f aca="false">IF($C$2="前の単元と同じ",単元08!$L4&amp;"",IF($C$2="学級ごと",IF(設定!$B$10="","",設定!$B$10&amp;""),IF(設定!$D$10="","",設定!$D$10&amp;"")))</f>
        <v>広げるB</v>
      </c>
      <c r="M4" s="39"/>
      <c r="N4" s="140" t="n">
        <f aca="false">IF($L4="","",COUNTIF($E$5:$E$164,$L4))</f>
        <v>0</v>
      </c>
      <c r="O4" s="13"/>
      <c r="P4" s="147" t="s">
        <v>171</v>
      </c>
      <c r="Q4" s="147" t="s">
        <v>172</v>
      </c>
      <c r="R4" s="131" t="str">
        <f aca="false">設定!$I$8&amp;"得点"</f>
        <v>知得点</v>
      </c>
      <c r="S4" s="131" t="str">
        <f aca="false">設定!$I$9&amp;"得点"</f>
        <v>思得点</v>
      </c>
      <c r="T4" s="148" t="str">
        <f aca="false">設定!$I$8&amp;"目安"</f>
        <v>知目安</v>
      </c>
      <c r="U4" s="148" t="str">
        <f aca="false">設定!$I$9&amp;"目安"</f>
        <v>思目安</v>
      </c>
    </row>
    <row r="5" customFormat="false" ht="21" hidden="false" customHeight="true" outlineLevel="0" collapsed="false">
      <c r="A5" s="91" t="str">
        <f aca="false">IF(名簿!$D5="","",名簿!$B5&amp;"")</f>
        <v/>
      </c>
      <c r="B5" s="91" t="str">
        <f aca="false">IF(名簿!$D5="","",名簿!$C5)</f>
        <v/>
      </c>
      <c r="C5" s="59" t="str">
        <f aca="false">IF(名簿!$D5="","",名簿!$D5&amp;IF(名簿!$F5="転出","（転出）",""))</f>
        <v/>
      </c>
      <c r="D5" s="149"/>
      <c r="E5" s="61" t="str">
        <f aca="false">IF(OR($C5="",名簿!$F5="転出"),"",IF($C$2="学級ごと",$A5,IF($C$2="前の単元と同じ",単元08!$E5&amp;"",$D5&amp;"")))</f>
        <v/>
      </c>
      <c r="F5" s="150"/>
      <c r="G5" s="150"/>
      <c r="H5" s="150"/>
      <c r="I5" s="151"/>
      <c r="J5" s="41" t="str">
        <f aca="false">IF($E5="","",$E5&amp;"|"&amp;COUNTIF($E$5:$E5,$E5))</f>
        <v/>
      </c>
      <c r="K5" s="40" t="str">
        <f aca="false">IF($I5="","",LEN($I5))</f>
        <v/>
      </c>
      <c r="L5" s="125" t="str">
        <f aca="false">IF($C$2="前の単元と同じ",単元08!$L5&amp;"",IF($C$2="学級ごと",IF(設定!$B$11="","",設定!$B$11&amp;""),IF(設定!$D$11="","",設定!$D$11&amp;"")))</f>
        <v>かためる</v>
      </c>
      <c r="M5" s="39"/>
      <c r="N5" s="140" t="n">
        <f aca="false">IF($L5="","",COUNTIF($E$5:$E$164,$L5))</f>
        <v>0</v>
      </c>
      <c r="O5" s="13"/>
      <c r="P5" s="152"/>
      <c r="Q5" s="149"/>
      <c r="R5" s="152"/>
      <c r="S5" s="152"/>
      <c r="T5" s="62" t="str">
        <f aca="false">IF(OR($C5="",R5=""),"",IF(R5/IF($R$2="",100,$R$2)&gt;=設定!$I$28,設定!$G$8,IF(R5/IF($R$2="",100,$R$2)&lt;設定!$I$29,設定!$G$10,設定!$G$9)))</f>
        <v/>
      </c>
      <c r="U5" s="62" t="str">
        <f aca="false">IF(OR($C5="",S5=""),"",IF(S5/IF($S$2="",100,$S$2)&gt;=設定!$I$28,設定!$G$8,IF(S5/IF($S$2="",100,$S$2)&lt;設定!$I$29,設定!$G$10,設定!$G$9)))</f>
        <v/>
      </c>
    </row>
    <row r="6" customFormat="false" ht="21" hidden="false" customHeight="true" outlineLevel="0" collapsed="false">
      <c r="A6" s="91" t="str">
        <f aca="false">IF(名簿!$D6="","",名簿!$B6&amp;"")</f>
        <v/>
      </c>
      <c r="B6" s="91" t="str">
        <f aca="false">IF(名簿!$D6="","",名簿!$C6)</f>
        <v/>
      </c>
      <c r="C6" s="59" t="str">
        <f aca="false">IF(名簿!$D6="","",名簿!$D6&amp;IF(名簿!$F6="転出","（転出）",""))</f>
        <v/>
      </c>
      <c r="D6" s="149"/>
      <c r="E6" s="61" t="str">
        <f aca="false">IF(OR($C6="",名簿!$F6="転出"),"",IF($C$2="学級ごと",$A6,IF($C$2="前の単元と同じ",単元08!$E6&amp;"",$D6&amp;"")))</f>
        <v/>
      </c>
      <c r="F6" s="150"/>
      <c r="G6" s="150"/>
      <c r="H6" s="150"/>
      <c r="I6" s="151"/>
      <c r="J6" s="41" t="str">
        <f aca="false">IF($E6="","",$E6&amp;"|"&amp;COUNTIF($E$5:$E6,$E6))</f>
        <v/>
      </c>
      <c r="K6" s="40" t="str">
        <f aca="false">IF($I6="","",LEN($I6))</f>
        <v/>
      </c>
      <c r="L6" s="126" t="str">
        <f aca="false">IF($C$2="前の単元と同じ",単元08!$L6&amp;"",IF($C$2="学級ごと",IF(設定!$B$12="","",設定!$B$12&amp;""),IF(設定!$D$12="","",設定!$D$12&amp;"")))</f>
        <v/>
      </c>
      <c r="M6" s="39"/>
      <c r="N6" s="153" t="str">
        <f aca="false">IF($L6="","",COUNTIF($E$5:$E$164,$L6))</f>
        <v/>
      </c>
      <c r="O6" s="13"/>
      <c r="P6" s="152"/>
      <c r="Q6" s="149"/>
      <c r="R6" s="152"/>
      <c r="S6" s="152"/>
      <c r="T6" s="62" t="str">
        <f aca="false">IF(OR($C6="",R6=""),"",IF(R6/IF($R$2="",100,$R$2)&gt;=設定!$I$28,設定!$G$8,IF(R6/IF($R$2="",100,$R$2)&lt;設定!$I$29,設定!$G$10,設定!$G$9)))</f>
        <v/>
      </c>
      <c r="U6" s="62" t="str">
        <f aca="false">IF(OR($C6="",S6=""),"",IF(S6/IF($S$2="",100,$S$2)&gt;=設定!$I$28,設定!$G$8,IF(S6/IF($S$2="",100,$S$2)&lt;設定!$I$29,設定!$G$10,設定!$G$9)))</f>
        <v/>
      </c>
    </row>
    <row r="7" customFormat="false" ht="21" hidden="false" customHeight="true" outlineLevel="0" collapsed="false">
      <c r="A7" s="91" t="str">
        <f aca="false">IF(名簿!$D7="","",名簿!$B7&amp;"")</f>
        <v/>
      </c>
      <c r="B7" s="91" t="str">
        <f aca="false">IF(名簿!$D7="","",名簿!$C7)</f>
        <v/>
      </c>
      <c r="C7" s="59" t="str">
        <f aca="false">IF(名簿!$D7="","",名簿!$D7&amp;IF(名簿!$F7="転出","（転出）",""))</f>
        <v/>
      </c>
      <c r="D7" s="149"/>
      <c r="E7" s="61" t="str">
        <f aca="false">IF(OR($C7="",名簿!$F7="転出"),"",IF($C$2="学級ごと",$A7,IF($C$2="前の単元と同じ",単元08!$E7&amp;"",$D7&amp;"")))</f>
        <v/>
      </c>
      <c r="F7" s="150"/>
      <c r="G7" s="150"/>
      <c r="H7" s="150"/>
      <c r="I7" s="151"/>
      <c r="J7" s="41" t="str">
        <f aca="false">IF($E7="","",$E7&amp;"|"&amp;COUNTIF($E$5:$E7,$E7))</f>
        <v/>
      </c>
      <c r="K7" s="40" t="str">
        <f aca="false">IF($I7="","",LEN($I7))</f>
        <v/>
      </c>
      <c r="L7" s="154" t="s">
        <v>133</v>
      </c>
      <c r="M7" s="155" t="s">
        <v>173</v>
      </c>
      <c r="N7" s="156" t="n">
        <f aca="false">SUMPRODUCT(($C$5:$C$164&lt;&gt;"")*(名簿!$F$5:$F$164&lt;&gt;"転出")*($E$5:$E$164=""))</f>
        <v>0</v>
      </c>
      <c r="O7" s="13"/>
      <c r="P7" s="152"/>
      <c r="Q7" s="149"/>
      <c r="R7" s="152"/>
      <c r="S7" s="152"/>
      <c r="T7" s="62" t="str">
        <f aca="false">IF(OR($C7="",R7=""),"",IF(R7/IF($R$2="",100,$R$2)&gt;=設定!$I$28,設定!$G$8,IF(R7/IF($R$2="",100,$R$2)&lt;設定!$I$29,設定!$G$10,設定!$G$9)))</f>
        <v/>
      </c>
      <c r="U7" s="62" t="str">
        <f aca="false">IF(OR($C7="",S7=""),"",IF(S7/IF($S$2="",100,$S$2)&gt;=設定!$I$28,設定!$G$8,IF(S7/IF($S$2="",100,$S$2)&lt;設定!$I$29,設定!$G$10,設定!$G$9)))</f>
        <v/>
      </c>
    </row>
    <row r="8" customFormat="false" ht="21" hidden="false" customHeight="true" outlineLevel="0" collapsed="false">
      <c r="A8" s="91" t="str">
        <f aca="false">IF(名簿!$D8="","",名簿!$B8&amp;"")</f>
        <v/>
      </c>
      <c r="B8" s="91" t="str">
        <f aca="false">IF(名簿!$D8="","",名簿!$C8)</f>
        <v/>
      </c>
      <c r="C8" s="59" t="str">
        <f aca="false">IF(名簿!$D8="","",名簿!$D8&amp;IF(名簿!$F8="転出","（転出）",""))</f>
        <v/>
      </c>
      <c r="D8" s="149"/>
      <c r="E8" s="61" t="str">
        <f aca="false">IF(OR($C8="",名簿!$F8="転出"),"",IF($C$2="学級ごと",$A8,IF($C$2="前の単元と同じ",単元08!$E8&amp;"",$D8&amp;"")))</f>
        <v/>
      </c>
      <c r="F8" s="150"/>
      <c r="G8" s="150"/>
      <c r="H8" s="150"/>
      <c r="I8" s="151"/>
      <c r="J8" s="41" t="str">
        <f aca="false">IF($E8="","",$E8&amp;"|"&amp;COUNTIF($E$5:$E8,$E8))</f>
        <v/>
      </c>
      <c r="K8" s="40" t="str">
        <f aca="false">IF($I8="","",LEN($I8))</f>
        <v/>
      </c>
      <c r="L8" s="157" t="s">
        <v>174</v>
      </c>
      <c r="M8" s="158" t="s">
        <v>175</v>
      </c>
      <c r="N8" s="159" t="n">
        <f aca="false">SUMPRODUCT(($E$5:$E$164&lt;&gt;"")*(($F$5:$F$164="")+($G$5:$G$164="")+($H$5:$H$164="")&gt;0))</f>
        <v>0</v>
      </c>
      <c r="O8" s="13"/>
      <c r="P8" s="152"/>
      <c r="Q8" s="149"/>
      <c r="R8" s="152"/>
      <c r="S8" s="152"/>
      <c r="T8" s="62" t="str">
        <f aca="false">IF(OR($C8="",R8=""),"",IF(R8/IF($R$2="",100,$R$2)&gt;=設定!$I$28,設定!$G$8,IF(R8/IF($R$2="",100,$R$2)&lt;設定!$I$29,設定!$G$10,設定!$G$9)))</f>
        <v/>
      </c>
      <c r="U8" s="62" t="str">
        <f aca="false">IF(OR($C8="",S8=""),"",IF(S8/IF($S$2="",100,$S$2)&gt;=設定!$I$28,設定!$G$8,IF(S8/IF($S$2="",100,$S$2)&lt;設定!$I$29,設定!$G$10,設定!$G$9)))</f>
        <v/>
      </c>
    </row>
    <row r="9" customFormat="false" ht="21" hidden="false" customHeight="true" outlineLevel="0" collapsed="false">
      <c r="A9" s="91" t="str">
        <f aca="false">IF(名簿!$D9="","",名簿!$B9&amp;"")</f>
        <v/>
      </c>
      <c r="B9" s="91" t="str">
        <f aca="false">IF(名簿!$D9="","",名簿!$C9)</f>
        <v/>
      </c>
      <c r="C9" s="59" t="str">
        <f aca="false">IF(名簿!$D9="","",名簿!$D9&amp;IF(名簿!$F9="転出","（転出）",""))</f>
        <v/>
      </c>
      <c r="D9" s="149"/>
      <c r="E9" s="61" t="str">
        <f aca="false">IF(OR($C9="",名簿!$F9="転出"),"",IF($C$2="学級ごと",$A9,IF($C$2="前の単元と同じ",単元08!$E9&amp;"",$D9&amp;"")))</f>
        <v/>
      </c>
      <c r="F9" s="150"/>
      <c r="G9" s="150"/>
      <c r="H9" s="150"/>
      <c r="I9" s="151"/>
      <c r="J9" s="41" t="str">
        <f aca="false">IF($E9="","",$E9&amp;"|"&amp;COUNTIF($E$5:$E9,$E9))</f>
        <v/>
      </c>
      <c r="K9" s="40" t="str">
        <f aca="false">IF($I9="","",LEN($I9))</f>
        <v/>
      </c>
      <c r="L9" s="13"/>
      <c r="M9" s="13"/>
      <c r="N9" s="13"/>
      <c r="O9" s="13"/>
      <c r="P9" s="152"/>
      <c r="Q9" s="149"/>
      <c r="R9" s="152"/>
      <c r="S9" s="152"/>
      <c r="T9" s="62" t="str">
        <f aca="false">IF(OR($C9="",R9=""),"",IF(R9/IF($R$2="",100,$R$2)&gt;=設定!$I$28,設定!$G$8,IF(R9/IF($R$2="",100,$R$2)&lt;設定!$I$29,設定!$G$10,設定!$G$9)))</f>
        <v/>
      </c>
      <c r="U9" s="62" t="str">
        <f aca="false">IF(OR($C9="",S9=""),"",IF(S9/IF($S$2="",100,$S$2)&gt;=設定!$I$28,設定!$G$8,IF(S9/IF($S$2="",100,$S$2)&lt;設定!$I$29,設定!$G$10,設定!$G$9)))</f>
        <v/>
      </c>
    </row>
    <row r="10" customFormat="false" ht="21" hidden="false" customHeight="true" outlineLevel="0" collapsed="false">
      <c r="A10" s="91" t="str">
        <f aca="false">IF(名簿!$D10="","",名簿!$B10&amp;"")</f>
        <v/>
      </c>
      <c r="B10" s="91" t="str">
        <f aca="false">IF(名簿!$D10="","",名簿!$C10)</f>
        <v/>
      </c>
      <c r="C10" s="59" t="str">
        <f aca="false">IF(名簿!$D10="","",名簿!$D10&amp;IF(名簿!$F10="転出","（転出）",""))</f>
        <v/>
      </c>
      <c r="D10" s="149"/>
      <c r="E10" s="61" t="str">
        <f aca="false">IF(OR($C10="",名簿!$F10="転出"),"",IF($C$2="学級ごと",$A10,IF($C$2="前の単元と同じ",単元08!$E10&amp;"",$D10&amp;"")))</f>
        <v/>
      </c>
      <c r="F10" s="150"/>
      <c r="G10" s="150"/>
      <c r="H10" s="150"/>
      <c r="I10" s="151"/>
      <c r="J10" s="41" t="str">
        <f aca="false">IF($E10="","",$E10&amp;"|"&amp;COUNTIF($E$5:$E10,$E10))</f>
        <v/>
      </c>
      <c r="K10" s="40" t="str">
        <f aca="false">IF($I10="","",LEN($I10))</f>
        <v/>
      </c>
      <c r="L10" s="13"/>
      <c r="M10" s="13"/>
      <c r="N10" s="13"/>
      <c r="O10" s="13"/>
      <c r="P10" s="152"/>
      <c r="Q10" s="149"/>
      <c r="R10" s="152"/>
      <c r="S10" s="152"/>
      <c r="T10" s="62" t="str">
        <f aca="false">IF(OR($C10="",R10=""),"",IF(R10/IF($R$2="",100,$R$2)&gt;=設定!$I$28,設定!$G$8,IF(R10/IF($R$2="",100,$R$2)&lt;設定!$I$29,設定!$G$10,設定!$G$9)))</f>
        <v/>
      </c>
      <c r="U10" s="62" t="str">
        <f aca="false">IF(OR($C10="",S10=""),"",IF(S10/IF($S$2="",100,$S$2)&gt;=設定!$I$28,設定!$G$8,IF(S10/IF($S$2="",100,$S$2)&lt;設定!$I$29,設定!$G$10,設定!$G$9)))</f>
        <v/>
      </c>
    </row>
    <row r="11" customFormat="false" ht="21" hidden="false" customHeight="true" outlineLevel="0" collapsed="false">
      <c r="A11" s="91" t="str">
        <f aca="false">IF(名簿!$D11="","",名簿!$B11&amp;"")</f>
        <v/>
      </c>
      <c r="B11" s="91" t="str">
        <f aca="false">IF(名簿!$D11="","",名簿!$C11)</f>
        <v/>
      </c>
      <c r="C11" s="59" t="str">
        <f aca="false">IF(名簿!$D11="","",名簿!$D11&amp;IF(名簿!$F11="転出","（転出）",""))</f>
        <v/>
      </c>
      <c r="D11" s="149"/>
      <c r="E11" s="61" t="str">
        <f aca="false">IF(OR($C11="",名簿!$F11="転出"),"",IF($C$2="学級ごと",$A11,IF($C$2="前の単元と同じ",単元08!$E11&amp;"",$D11&amp;"")))</f>
        <v/>
      </c>
      <c r="F11" s="150"/>
      <c r="G11" s="150"/>
      <c r="H11" s="150"/>
      <c r="I11" s="151"/>
      <c r="J11" s="41" t="str">
        <f aca="false">IF($E11="","",$E11&amp;"|"&amp;COUNTIF($E$5:$E11,$E11))</f>
        <v/>
      </c>
      <c r="K11" s="40" t="str">
        <f aca="false">IF($I11="","",LEN($I11))</f>
        <v/>
      </c>
      <c r="L11" s="13"/>
      <c r="M11" s="13"/>
      <c r="N11" s="13"/>
      <c r="O11" s="13"/>
      <c r="P11" s="152"/>
      <c r="Q11" s="149"/>
      <c r="R11" s="152"/>
      <c r="S11" s="152"/>
      <c r="T11" s="62" t="str">
        <f aca="false">IF(OR($C11="",R11=""),"",IF(R11/IF($R$2="",100,$R$2)&gt;=設定!$I$28,設定!$G$8,IF(R11/IF($R$2="",100,$R$2)&lt;設定!$I$29,設定!$G$10,設定!$G$9)))</f>
        <v/>
      </c>
      <c r="U11" s="62" t="str">
        <f aca="false">IF(OR($C11="",S11=""),"",IF(S11/IF($S$2="",100,$S$2)&gt;=設定!$I$28,設定!$G$8,IF(S11/IF($S$2="",100,$S$2)&lt;設定!$I$29,設定!$G$10,設定!$G$9)))</f>
        <v/>
      </c>
    </row>
    <row r="12" customFormat="false" ht="21" hidden="false" customHeight="true" outlineLevel="0" collapsed="false">
      <c r="A12" s="91" t="str">
        <f aca="false">IF(名簿!$D12="","",名簿!$B12&amp;"")</f>
        <v/>
      </c>
      <c r="B12" s="91" t="str">
        <f aca="false">IF(名簿!$D12="","",名簿!$C12)</f>
        <v/>
      </c>
      <c r="C12" s="59" t="str">
        <f aca="false">IF(名簿!$D12="","",名簿!$D12&amp;IF(名簿!$F12="転出","（転出）",""))</f>
        <v/>
      </c>
      <c r="D12" s="149"/>
      <c r="E12" s="61" t="str">
        <f aca="false">IF(OR($C12="",名簿!$F12="転出"),"",IF($C$2="学級ごと",$A12,IF($C$2="前の単元と同じ",単元08!$E12&amp;"",$D12&amp;"")))</f>
        <v/>
      </c>
      <c r="F12" s="150"/>
      <c r="G12" s="150"/>
      <c r="H12" s="150"/>
      <c r="I12" s="151"/>
      <c r="J12" s="41" t="str">
        <f aca="false">IF($E12="","",$E12&amp;"|"&amp;COUNTIF($E$5:$E12,$E12))</f>
        <v/>
      </c>
      <c r="K12" s="40" t="str">
        <f aca="false">IF($I12="","",LEN($I12))</f>
        <v/>
      </c>
      <c r="L12" s="13"/>
      <c r="M12" s="13"/>
      <c r="N12" s="13"/>
      <c r="O12" s="13"/>
      <c r="P12" s="152"/>
      <c r="Q12" s="149"/>
      <c r="R12" s="152"/>
      <c r="S12" s="152"/>
      <c r="T12" s="62" t="str">
        <f aca="false">IF(OR($C12="",R12=""),"",IF(R12/IF($R$2="",100,$R$2)&gt;=設定!$I$28,設定!$G$8,IF(R12/IF($R$2="",100,$R$2)&lt;設定!$I$29,設定!$G$10,設定!$G$9)))</f>
        <v/>
      </c>
      <c r="U12" s="62" t="str">
        <f aca="false">IF(OR($C12="",S12=""),"",IF(S12/IF($S$2="",100,$S$2)&gt;=設定!$I$28,設定!$G$8,IF(S12/IF($S$2="",100,$S$2)&lt;設定!$I$29,設定!$G$10,設定!$G$9)))</f>
        <v/>
      </c>
    </row>
    <row r="13" customFormat="false" ht="21" hidden="false" customHeight="true" outlineLevel="0" collapsed="false">
      <c r="A13" s="91" t="str">
        <f aca="false">IF(名簿!$D13="","",名簿!$B13&amp;"")</f>
        <v/>
      </c>
      <c r="B13" s="91" t="str">
        <f aca="false">IF(名簿!$D13="","",名簿!$C13)</f>
        <v/>
      </c>
      <c r="C13" s="59" t="str">
        <f aca="false">IF(名簿!$D13="","",名簿!$D13&amp;IF(名簿!$F13="転出","（転出）",""))</f>
        <v/>
      </c>
      <c r="D13" s="149"/>
      <c r="E13" s="61" t="str">
        <f aca="false">IF(OR($C13="",名簿!$F13="転出"),"",IF($C$2="学級ごと",$A13,IF($C$2="前の単元と同じ",単元08!$E13&amp;"",$D13&amp;"")))</f>
        <v/>
      </c>
      <c r="F13" s="150"/>
      <c r="G13" s="150"/>
      <c r="H13" s="150"/>
      <c r="I13" s="151"/>
      <c r="J13" s="41" t="str">
        <f aca="false">IF($E13="","",$E13&amp;"|"&amp;COUNTIF($E$5:$E13,$E13))</f>
        <v/>
      </c>
      <c r="K13" s="40" t="str">
        <f aca="false">IF($I13="","",LEN($I13))</f>
        <v/>
      </c>
      <c r="L13" s="13"/>
      <c r="M13" s="13"/>
      <c r="N13" s="13"/>
      <c r="O13" s="13"/>
      <c r="P13" s="152"/>
      <c r="Q13" s="149"/>
      <c r="R13" s="152"/>
      <c r="S13" s="152"/>
      <c r="T13" s="62" t="str">
        <f aca="false">IF(OR($C13="",R13=""),"",IF(R13/IF($R$2="",100,$R$2)&gt;=設定!$I$28,設定!$G$8,IF(R13/IF($R$2="",100,$R$2)&lt;設定!$I$29,設定!$G$10,設定!$G$9)))</f>
        <v/>
      </c>
      <c r="U13" s="62" t="str">
        <f aca="false">IF(OR($C13="",S13=""),"",IF(S13/IF($S$2="",100,$S$2)&gt;=設定!$I$28,設定!$G$8,IF(S13/IF($S$2="",100,$S$2)&lt;設定!$I$29,設定!$G$10,設定!$G$9)))</f>
        <v/>
      </c>
    </row>
    <row r="14" customFormat="false" ht="21" hidden="false" customHeight="true" outlineLevel="0" collapsed="false">
      <c r="A14" s="91" t="str">
        <f aca="false">IF(名簿!$D14="","",名簿!$B14&amp;"")</f>
        <v/>
      </c>
      <c r="B14" s="91" t="str">
        <f aca="false">IF(名簿!$D14="","",名簿!$C14)</f>
        <v/>
      </c>
      <c r="C14" s="59" t="str">
        <f aca="false">IF(名簿!$D14="","",名簿!$D14&amp;IF(名簿!$F14="転出","（転出）",""))</f>
        <v/>
      </c>
      <c r="D14" s="149"/>
      <c r="E14" s="61" t="str">
        <f aca="false">IF(OR($C14="",名簿!$F14="転出"),"",IF($C$2="学級ごと",$A14,IF($C$2="前の単元と同じ",単元08!$E14&amp;"",$D14&amp;"")))</f>
        <v/>
      </c>
      <c r="F14" s="150"/>
      <c r="G14" s="150"/>
      <c r="H14" s="150"/>
      <c r="I14" s="151"/>
      <c r="J14" s="41" t="str">
        <f aca="false">IF($E14="","",$E14&amp;"|"&amp;COUNTIF($E$5:$E14,$E14))</f>
        <v/>
      </c>
      <c r="K14" s="40" t="str">
        <f aca="false">IF($I14="","",LEN($I14))</f>
        <v/>
      </c>
      <c r="L14" s="13"/>
      <c r="M14" s="13"/>
      <c r="N14" s="13"/>
      <c r="O14" s="13"/>
      <c r="P14" s="152"/>
      <c r="Q14" s="149"/>
      <c r="R14" s="152"/>
      <c r="S14" s="152"/>
      <c r="T14" s="62" t="str">
        <f aca="false">IF(OR($C14="",R14=""),"",IF(R14/IF($R$2="",100,$R$2)&gt;=設定!$I$28,設定!$G$8,IF(R14/IF($R$2="",100,$R$2)&lt;設定!$I$29,設定!$G$10,設定!$G$9)))</f>
        <v/>
      </c>
      <c r="U14" s="62" t="str">
        <f aca="false">IF(OR($C14="",S14=""),"",IF(S14/IF($S$2="",100,$S$2)&gt;=設定!$I$28,設定!$G$8,IF(S14/IF($S$2="",100,$S$2)&lt;設定!$I$29,設定!$G$10,設定!$G$9)))</f>
        <v/>
      </c>
    </row>
    <row r="15" customFormat="false" ht="21" hidden="false" customHeight="true" outlineLevel="0" collapsed="false">
      <c r="A15" s="91" t="str">
        <f aca="false">IF(名簿!$D15="","",名簿!$B15&amp;"")</f>
        <v/>
      </c>
      <c r="B15" s="91" t="str">
        <f aca="false">IF(名簿!$D15="","",名簿!$C15)</f>
        <v/>
      </c>
      <c r="C15" s="59" t="str">
        <f aca="false">IF(名簿!$D15="","",名簿!$D15&amp;IF(名簿!$F15="転出","（転出）",""))</f>
        <v/>
      </c>
      <c r="D15" s="149"/>
      <c r="E15" s="61" t="str">
        <f aca="false">IF(OR($C15="",名簿!$F15="転出"),"",IF($C$2="学級ごと",$A15,IF($C$2="前の単元と同じ",単元08!$E15&amp;"",$D15&amp;"")))</f>
        <v/>
      </c>
      <c r="F15" s="150"/>
      <c r="G15" s="150"/>
      <c r="H15" s="150"/>
      <c r="I15" s="151"/>
      <c r="J15" s="41" t="str">
        <f aca="false">IF($E15="","",$E15&amp;"|"&amp;COUNTIF($E$5:$E15,$E15))</f>
        <v/>
      </c>
      <c r="K15" s="40" t="str">
        <f aca="false">IF($I15="","",LEN($I15))</f>
        <v/>
      </c>
      <c r="L15" s="13"/>
      <c r="M15" s="13"/>
      <c r="N15" s="13"/>
      <c r="O15" s="13"/>
      <c r="P15" s="152"/>
      <c r="Q15" s="149"/>
      <c r="R15" s="152"/>
      <c r="S15" s="152"/>
      <c r="T15" s="62" t="str">
        <f aca="false">IF(OR($C15="",R15=""),"",IF(R15/IF($R$2="",100,$R$2)&gt;=設定!$I$28,設定!$G$8,IF(R15/IF($R$2="",100,$R$2)&lt;設定!$I$29,設定!$G$10,設定!$G$9)))</f>
        <v/>
      </c>
      <c r="U15" s="62" t="str">
        <f aca="false">IF(OR($C15="",S15=""),"",IF(S15/IF($S$2="",100,$S$2)&gt;=設定!$I$28,設定!$G$8,IF(S15/IF($S$2="",100,$S$2)&lt;設定!$I$29,設定!$G$10,設定!$G$9)))</f>
        <v/>
      </c>
    </row>
    <row r="16" customFormat="false" ht="21" hidden="false" customHeight="true" outlineLevel="0" collapsed="false">
      <c r="A16" s="91" t="str">
        <f aca="false">IF(名簿!$D16="","",名簿!$B16&amp;"")</f>
        <v/>
      </c>
      <c r="B16" s="91" t="str">
        <f aca="false">IF(名簿!$D16="","",名簿!$C16)</f>
        <v/>
      </c>
      <c r="C16" s="59" t="str">
        <f aca="false">IF(名簿!$D16="","",名簿!$D16&amp;IF(名簿!$F16="転出","（転出）",""))</f>
        <v/>
      </c>
      <c r="D16" s="149"/>
      <c r="E16" s="61" t="str">
        <f aca="false">IF(OR($C16="",名簿!$F16="転出"),"",IF($C$2="学級ごと",$A16,IF($C$2="前の単元と同じ",単元08!$E16&amp;"",$D16&amp;"")))</f>
        <v/>
      </c>
      <c r="F16" s="150"/>
      <c r="G16" s="150"/>
      <c r="H16" s="150"/>
      <c r="I16" s="151"/>
      <c r="J16" s="41" t="str">
        <f aca="false">IF($E16="","",$E16&amp;"|"&amp;COUNTIF($E$5:$E16,$E16))</f>
        <v/>
      </c>
      <c r="K16" s="40" t="str">
        <f aca="false">IF($I16="","",LEN($I16))</f>
        <v/>
      </c>
      <c r="L16" s="13"/>
      <c r="M16" s="13"/>
      <c r="N16" s="13"/>
      <c r="O16" s="13"/>
      <c r="P16" s="152"/>
      <c r="Q16" s="149"/>
      <c r="R16" s="152"/>
      <c r="S16" s="152"/>
      <c r="T16" s="62" t="str">
        <f aca="false">IF(OR($C16="",R16=""),"",IF(R16/IF($R$2="",100,$R$2)&gt;=設定!$I$28,設定!$G$8,IF(R16/IF($R$2="",100,$R$2)&lt;設定!$I$29,設定!$G$10,設定!$G$9)))</f>
        <v/>
      </c>
      <c r="U16" s="62" t="str">
        <f aca="false">IF(OR($C16="",S16=""),"",IF(S16/IF($S$2="",100,$S$2)&gt;=設定!$I$28,設定!$G$8,IF(S16/IF($S$2="",100,$S$2)&lt;設定!$I$29,設定!$G$10,設定!$G$9)))</f>
        <v/>
      </c>
    </row>
    <row r="17" customFormat="false" ht="21" hidden="false" customHeight="true" outlineLevel="0" collapsed="false">
      <c r="A17" s="91" t="str">
        <f aca="false">IF(名簿!$D17="","",名簿!$B17&amp;"")</f>
        <v/>
      </c>
      <c r="B17" s="91" t="str">
        <f aca="false">IF(名簿!$D17="","",名簿!$C17)</f>
        <v/>
      </c>
      <c r="C17" s="59" t="str">
        <f aca="false">IF(名簿!$D17="","",名簿!$D17&amp;IF(名簿!$F17="転出","（転出）",""))</f>
        <v/>
      </c>
      <c r="D17" s="149"/>
      <c r="E17" s="61" t="str">
        <f aca="false">IF(OR($C17="",名簿!$F17="転出"),"",IF($C$2="学級ごと",$A17,IF($C$2="前の単元と同じ",単元08!$E17&amp;"",$D17&amp;"")))</f>
        <v/>
      </c>
      <c r="F17" s="150"/>
      <c r="G17" s="150"/>
      <c r="H17" s="150"/>
      <c r="I17" s="151"/>
      <c r="J17" s="41" t="str">
        <f aca="false">IF($E17="","",$E17&amp;"|"&amp;COUNTIF($E$5:$E17,$E17))</f>
        <v/>
      </c>
      <c r="K17" s="40" t="str">
        <f aca="false">IF($I17="","",LEN($I17))</f>
        <v/>
      </c>
      <c r="L17" s="13"/>
      <c r="M17" s="13"/>
      <c r="N17" s="13"/>
      <c r="O17" s="13"/>
      <c r="P17" s="152"/>
      <c r="Q17" s="149"/>
      <c r="R17" s="152"/>
      <c r="S17" s="152"/>
      <c r="T17" s="62" t="str">
        <f aca="false">IF(OR($C17="",R17=""),"",IF(R17/IF($R$2="",100,$R$2)&gt;=設定!$I$28,設定!$G$8,IF(R17/IF($R$2="",100,$R$2)&lt;設定!$I$29,設定!$G$10,設定!$G$9)))</f>
        <v/>
      </c>
      <c r="U17" s="62" t="str">
        <f aca="false">IF(OR($C17="",S17=""),"",IF(S17/IF($S$2="",100,$S$2)&gt;=設定!$I$28,設定!$G$8,IF(S17/IF($S$2="",100,$S$2)&lt;設定!$I$29,設定!$G$10,設定!$G$9)))</f>
        <v/>
      </c>
    </row>
    <row r="18" customFormat="false" ht="21" hidden="false" customHeight="true" outlineLevel="0" collapsed="false">
      <c r="A18" s="91" t="str">
        <f aca="false">IF(名簿!$D18="","",名簿!$B18&amp;"")</f>
        <v/>
      </c>
      <c r="B18" s="91" t="str">
        <f aca="false">IF(名簿!$D18="","",名簿!$C18)</f>
        <v/>
      </c>
      <c r="C18" s="59" t="str">
        <f aca="false">IF(名簿!$D18="","",名簿!$D18&amp;IF(名簿!$F18="転出","（転出）",""))</f>
        <v/>
      </c>
      <c r="D18" s="149"/>
      <c r="E18" s="61" t="str">
        <f aca="false">IF(OR($C18="",名簿!$F18="転出"),"",IF($C$2="学級ごと",$A18,IF($C$2="前の単元と同じ",単元08!$E18&amp;"",$D18&amp;"")))</f>
        <v/>
      </c>
      <c r="F18" s="150"/>
      <c r="G18" s="150"/>
      <c r="H18" s="150"/>
      <c r="I18" s="151"/>
      <c r="J18" s="41" t="str">
        <f aca="false">IF($E18="","",$E18&amp;"|"&amp;COUNTIF($E$5:$E18,$E18))</f>
        <v/>
      </c>
      <c r="K18" s="40" t="str">
        <f aca="false">IF($I18="","",LEN($I18))</f>
        <v/>
      </c>
      <c r="L18" s="13"/>
      <c r="M18" s="13"/>
      <c r="N18" s="13"/>
      <c r="O18" s="13"/>
      <c r="P18" s="152"/>
      <c r="Q18" s="149"/>
      <c r="R18" s="152"/>
      <c r="S18" s="152"/>
      <c r="T18" s="62" t="str">
        <f aca="false">IF(OR($C18="",R18=""),"",IF(R18/IF($R$2="",100,$R$2)&gt;=設定!$I$28,設定!$G$8,IF(R18/IF($R$2="",100,$R$2)&lt;設定!$I$29,設定!$G$10,設定!$G$9)))</f>
        <v/>
      </c>
      <c r="U18" s="62" t="str">
        <f aca="false">IF(OR($C18="",S18=""),"",IF(S18/IF($S$2="",100,$S$2)&gt;=設定!$I$28,設定!$G$8,IF(S18/IF($S$2="",100,$S$2)&lt;設定!$I$29,設定!$G$10,設定!$G$9)))</f>
        <v/>
      </c>
    </row>
    <row r="19" customFormat="false" ht="21" hidden="false" customHeight="true" outlineLevel="0" collapsed="false">
      <c r="A19" s="91" t="str">
        <f aca="false">IF(名簿!$D19="","",名簿!$B19&amp;"")</f>
        <v/>
      </c>
      <c r="B19" s="91" t="str">
        <f aca="false">IF(名簿!$D19="","",名簿!$C19)</f>
        <v/>
      </c>
      <c r="C19" s="59" t="str">
        <f aca="false">IF(名簿!$D19="","",名簿!$D19&amp;IF(名簿!$F19="転出","（転出）",""))</f>
        <v/>
      </c>
      <c r="D19" s="149"/>
      <c r="E19" s="61" t="str">
        <f aca="false">IF(OR($C19="",名簿!$F19="転出"),"",IF($C$2="学級ごと",$A19,IF($C$2="前の単元と同じ",単元08!$E19&amp;"",$D19&amp;"")))</f>
        <v/>
      </c>
      <c r="F19" s="150"/>
      <c r="G19" s="150"/>
      <c r="H19" s="150"/>
      <c r="I19" s="151"/>
      <c r="J19" s="41" t="str">
        <f aca="false">IF($E19="","",$E19&amp;"|"&amp;COUNTIF($E$5:$E19,$E19))</f>
        <v/>
      </c>
      <c r="K19" s="40" t="str">
        <f aca="false">IF($I19="","",LEN($I19))</f>
        <v/>
      </c>
      <c r="L19" s="13"/>
      <c r="M19" s="13"/>
      <c r="N19" s="13"/>
      <c r="O19" s="13"/>
      <c r="P19" s="152"/>
      <c r="Q19" s="149"/>
      <c r="R19" s="152"/>
      <c r="S19" s="152"/>
      <c r="T19" s="62" t="str">
        <f aca="false">IF(OR($C19="",R19=""),"",IF(R19/IF($R$2="",100,$R$2)&gt;=設定!$I$28,設定!$G$8,IF(R19/IF($R$2="",100,$R$2)&lt;設定!$I$29,設定!$G$10,設定!$G$9)))</f>
        <v/>
      </c>
      <c r="U19" s="62" t="str">
        <f aca="false">IF(OR($C19="",S19=""),"",IF(S19/IF($S$2="",100,$S$2)&gt;=設定!$I$28,設定!$G$8,IF(S19/IF($S$2="",100,$S$2)&lt;設定!$I$29,設定!$G$10,設定!$G$9)))</f>
        <v/>
      </c>
    </row>
    <row r="20" customFormat="false" ht="21" hidden="false" customHeight="true" outlineLevel="0" collapsed="false">
      <c r="A20" s="91" t="str">
        <f aca="false">IF(名簿!$D20="","",名簿!$B20&amp;"")</f>
        <v/>
      </c>
      <c r="B20" s="91" t="str">
        <f aca="false">IF(名簿!$D20="","",名簿!$C20)</f>
        <v/>
      </c>
      <c r="C20" s="59" t="str">
        <f aca="false">IF(名簿!$D20="","",名簿!$D20&amp;IF(名簿!$F20="転出","（転出）",""))</f>
        <v/>
      </c>
      <c r="D20" s="149"/>
      <c r="E20" s="61" t="str">
        <f aca="false">IF(OR($C20="",名簿!$F20="転出"),"",IF($C$2="学級ごと",$A20,IF($C$2="前の単元と同じ",単元08!$E20&amp;"",$D20&amp;"")))</f>
        <v/>
      </c>
      <c r="F20" s="150"/>
      <c r="G20" s="150"/>
      <c r="H20" s="150"/>
      <c r="I20" s="151"/>
      <c r="J20" s="41" t="str">
        <f aca="false">IF($E20="","",$E20&amp;"|"&amp;COUNTIF($E$5:$E20,$E20))</f>
        <v/>
      </c>
      <c r="K20" s="40" t="str">
        <f aca="false">IF($I20="","",LEN($I20))</f>
        <v/>
      </c>
      <c r="L20" s="13"/>
      <c r="M20" s="13"/>
      <c r="N20" s="13"/>
      <c r="O20" s="13"/>
      <c r="P20" s="152"/>
      <c r="Q20" s="149"/>
      <c r="R20" s="152"/>
      <c r="S20" s="152"/>
      <c r="T20" s="62" t="str">
        <f aca="false">IF(OR($C20="",R20=""),"",IF(R20/IF($R$2="",100,$R$2)&gt;=設定!$I$28,設定!$G$8,IF(R20/IF($R$2="",100,$R$2)&lt;設定!$I$29,設定!$G$10,設定!$G$9)))</f>
        <v/>
      </c>
      <c r="U20" s="62" t="str">
        <f aca="false">IF(OR($C20="",S20=""),"",IF(S20/IF($S$2="",100,$S$2)&gt;=設定!$I$28,設定!$G$8,IF(S20/IF($S$2="",100,$S$2)&lt;設定!$I$29,設定!$G$10,設定!$G$9)))</f>
        <v/>
      </c>
    </row>
    <row r="21" customFormat="false" ht="21" hidden="false" customHeight="true" outlineLevel="0" collapsed="false">
      <c r="A21" s="91" t="str">
        <f aca="false">IF(名簿!$D21="","",名簿!$B21&amp;"")</f>
        <v/>
      </c>
      <c r="B21" s="91" t="str">
        <f aca="false">IF(名簿!$D21="","",名簿!$C21)</f>
        <v/>
      </c>
      <c r="C21" s="59" t="str">
        <f aca="false">IF(名簿!$D21="","",名簿!$D21&amp;IF(名簿!$F21="転出","（転出）",""))</f>
        <v/>
      </c>
      <c r="D21" s="149"/>
      <c r="E21" s="61" t="str">
        <f aca="false">IF(OR($C21="",名簿!$F21="転出"),"",IF($C$2="学級ごと",$A21,IF($C$2="前の単元と同じ",単元08!$E21&amp;"",$D21&amp;"")))</f>
        <v/>
      </c>
      <c r="F21" s="150"/>
      <c r="G21" s="150"/>
      <c r="H21" s="150"/>
      <c r="I21" s="151"/>
      <c r="J21" s="41" t="str">
        <f aca="false">IF($E21="","",$E21&amp;"|"&amp;COUNTIF($E$5:$E21,$E21))</f>
        <v/>
      </c>
      <c r="K21" s="40" t="str">
        <f aca="false">IF($I21="","",LEN($I21))</f>
        <v/>
      </c>
      <c r="L21" s="13"/>
      <c r="M21" s="13"/>
      <c r="N21" s="13"/>
      <c r="O21" s="13"/>
      <c r="P21" s="152"/>
      <c r="Q21" s="149"/>
      <c r="R21" s="152"/>
      <c r="S21" s="152"/>
      <c r="T21" s="62" t="str">
        <f aca="false">IF(OR($C21="",R21=""),"",IF(R21/IF($R$2="",100,$R$2)&gt;=設定!$I$28,設定!$G$8,IF(R21/IF($R$2="",100,$R$2)&lt;設定!$I$29,設定!$G$10,設定!$G$9)))</f>
        <v/>
      </c>
      <c r="U21" s="62" t="str">
        <f aca="false">IF(OR($C21="",S21=""),"",IF(S21/IF($S$2="",100,$S$2)&gt;=設定!$I$28,設定!$G$8,IF(S21/IF($S$2="",100,$S$2)&lt;設定!$I$29,設定!$G$10,設定!$G$9)))</f>
        <v/>
      </c>
    </row>
    <row r="22" customFormat="false" ht="21" hidden="false" customHeight="true" outlineLevel="0" collapsed="false">
      <c r="A22" s="91" t="str">
        <f aca="false">IF(名簿!$D22="","",名簿!$B22&amp;"")</f>
        <v/>
      </c>
      <c r="B22" s="91" t="str">
        <f aca="false">IF(名簿!$D22="","",名簿!$C22)</f>
        <v/>
      </c>
      <c r="C22" s="59" t="str">
        <f aca="false">IF(名簿!$D22="","",名簿!$D22&amp;IF(名簿!$F22="転出","（転出）",""))</f>
        <v/>
      </c>
      <c r="D22" s="149"/>
      <c r="E22" s="61" t="str">
        <f aca="false">IF(OR($C22="",名簿!$F22="転出"),"",IF($C$2="学級ごと",$A22,IF($C$2="前の単元と同じ",単元08!$E22&amp;"",$D22&amp;"")))</f>
        <v/>
      </c>
      <c r="F22" s="150"/>
      <c r="G22" s="150"/>
      <c r="H22" s="150"/>
      <c r="I22" s="151"/>
      <c r="J22" s="41" t="str">
        <f aca="false">IF($E22="","",$E22&amp;"|"&amp;COUNTIF($E$5:$E22,$E22))</f>
        <v/>
      </c>
      <c r="K22" s="40" t="str">
        <f aca="false">IF($I22="","",LEN($I22))</f>
        <v/>
      </c>
      <c r="L22" s="13"/>
      <c r="M22" s="13"/>
      <c r="N22" s="13"/>
      <c r="O22" s="13"/>
      <c r="P22" s="152"/>
      <c r="Q22" s="149"/>
      <c r="R22" s="152"/>
      <c r="S22" s="152"/>
      <c r="T22" s="62" t="str">
        <f aca="false">IF(OR($C22="",R22=""),"",IF(R22/IF($R$2="",100,$R$2)&gt;=設定!$I$28,設定!$G$8,IF(R22/IF($R$2="",100,$R$2)&lt;設定!$I$29,設定!$G$10,設定!$G$9)))</f>
        <v/>
      </c>
      <c r="U22" s="62" t="str">
        <f aca="false">IF(OR($C22="",S22=""),"",IF(S22/IF($S$2="",100,$S$2)&gt;=設定!$I$28,設定!$G$8,IF(S22/IF($S$2="",100,$S$2)&lt;設定!$I$29,設定!$G$10,設定!$G$9)))</f>
        <v/>
      </c>
    </row>
    <row r="23" customFormat="false" ht="21" hidden="false" customHeight="true" outlineLevel="0" collapsed="false">
      <c r="A23" s="91" t="str">
        <f aca="false">IF(名簿!$D23="","",名簿!$B23&amp;"")</f>
        <v/>
      </c>
      <c r="B23" s="91" t="str">
        <f aca="false">IF(名簿!$D23="","",名簿!$C23)</f>
        <v/>
      </c>
      <c r="C23" s="59" t="str">
        <f aca="false">IF(名簿!$D23="","",名簿!$D23&amp;IF(名簿!$F23="転出","（転出）",""))</f>
        <v/>
      </c>
      <c r="D23" s="149"/>
      <c r="E23" s="61" t="str">
        <f aca="false">IF(OR($C23="",名簿!$F23="転出"),"",IF($C$2="学級ごと",$A23,IF($C$2="前の単元と同じ",単元08!$E23&amp;"",$D23&amp;"")))</f>
        <v/>
      </c>
      <c r="F23" s="150"/>
      <c r="G23" s="150"/>
      <c r="H23" s="150"/>
      <c r="I23" s="151"/>
      <c r="J23" s="41" t="str">
        <f aca="false">IF($E23="","",$E23&amp;"|"&amp;COUNTIF($E$5:$E23,$E23))</f>
        <v/>
      </c>
      <c r="K23" s="40" t="str">
        <f aca="false">IF($I23="","",LEN($I23))</f>
        <v/>
      </c>
      <c r="L23" s="13"/>
      <c r="M23" s="13"/>
      <c r="N23" s="13"/>
      <c r="O23" s="13"/>
      <c r="P23" s="152"/>
      <c r="Q23" s="149"/>
      <c r="R23" s="152"/>
      <c r="S23" s="152"/>
      <c r="T23" s="62" t="str">
        <f aca="false">IF(OR($C23="",R23=""),"",IF(R23/IF($R$2="",100,$R$2)&gt;=設定!$I$28,設定!$G$8,IF(R23/IF($R$2="",100,$R$2)&lt;設定!$I$29,設定!$G$10,設定!$G$9)))</f>
        <v/>
      </c>
      <c r="U23" s="62" t="str">
        <f aca="false">IF(OR($C23="",S23=""),"",IF(S23/IF($S$2="",100,$S$2)&gt;=設定!$I$28,設定!$G$8,IF(S23/IF($S$2="",100,$S$2)&lt;設定!$I$29,設定!$G$10,設定!$G$9)))</f>
        <v/>
      </c>
    </row>
    <row r="24" customFormat="false" ht="21" hidden="false" customHeight="true" outlineLevel="0" collapsed="false">
      <c r="A24" s="91" t="str">
        <f aca="false">IF(名簿!$D24="","",名簿!$B24&amp;"")</f>
        <v/>
      </c>
      <c r="B24" s="91" t="str">
        <f aca="false">IF(名簿!$D24="","",名簿!$C24)</f>
        <v/>
      </c>
      <c r="C24" s="59" t="str">
        <f aca="false">IF(名簿!$D24="","",名簿!$D24&amp;IF(名簿!$F24="転出","（転出）",""))</f>
        <v/>
      </c>
      <c r="D24" s="149"/>
      <c r="E24" s="61" t="str">
        <f aca="false">IF(OR($C24="",名簿!$F24="転出"),"",IF($C$2="学級ごと",$A24,IF($C$2="前の単元と同じ",単元08!$E24&amp;"",$D24&amp;"")))</f>
        <v/>
      </c>
      <c r="F24" s="150"/>
      <c r="G24" s="150"/>
      <c r="H24" s="150"/>
      <c r="I24" s="151"/>
      <c r="J24" s="41" t="str">
        <f aca="false">IF($E24="","",$E24&amp;"|"&amp;COUNTIF($E$5:$E24,$E24))</f>
        <v/>
      </c>
      <c r="K24" s="40" t="str">
        <f aca="false">IF($I24="","",LEN($I24))</f>
        <v/>
      </c>
      <c r="L24" s="13"/>
      <c r="M24" s="13"/>
      <c r="N24" s="13"/>
      <c r="O24" s="13"/>
      <c r="P24" s="152"/>
      <c r="Q24" s="149"/>
      <c r="R24" s="152"/>
      <c r="S24" s="152"/>
      <c r="T24" s="62" t="str">
        <f aca="false">IF(OR($C24="",R24=""),"",IF(R24/IF($R$2="",100,$R$2)&gt;=設定!$I$28,設定!$G$8,IF(R24/IF($R$2="",100,$R$2)&lt;設定!$I$29,設定!$G$10,設定!$G$9)))</f>
        <v/>
      </c>
      <c r="U24" s="62" t="str">
        <f aca="false">IF(OR($C24="",S24=""),"",IF(S24/IF($S$2="",100,$S$2)&gt;=設定!$I$28,設定!$G$8,IF(S24/IF($S$2="",100,$S$2)&lt;設定!$I$29,設定!$G$10,設定!$G$9)))</f>
        <v/>
      </c>
    </row>
    <row r="25" customFormat="false" ht="21" hidden="false" customHeight="true" outlineLevel="0" collapsed="false">
      <c r="A25" s="91" t="str">
        <f aca="false">IF(名簿!$D25="","",名簿!$B25&amp;"")</f>
        <v/>
      </c>
      <c r="B25" s="91" t="str">
        <f aca="false">IF(名簿!$D25="","",名簿!$C25)</f>
        <v/>
      </c>
      <c r="C25" s="59" t="str">
        <f aca="false">IF(名簿!$D25="","",名簿!$D25&amp;IF(名簿!$F25="転出","（転出）",""))</f>
        <v/>
      </c>
      <c r="D25" s="149"/>
      <c r="E25" s="61" t="str">
        <f aca="false">IF(OR($C25="",名簿!$F25="転出"),"",IF($C$2="学級ごと",$A25,IF($C$2="前の単元と同じ",単元08!$E25&amp;"",$D25&amp;"")))</f>
        <v/>
      </c>
      <c r="F25" s="150"/>
      <c r="G25" s="150"/>
      <c r="H25" s="150"/>
      <c r="I25" s="151"/>
      <c r="J25" s="41" t="str">
        <f aca="false">IF($E25="","",$E25&amp;"|"&amp;COUNTIF($E$5:$E25,$E25))</f>
        <v/>
      </c>
      <c r="K25" s="40" t="str">
        <f aca="false">IF($I25="","",LEN($I25))</f>
        <v/>
      </c>
      <c r="L25" s="13"/>
      <c r="M25" s="13"/>
      <c r="N25" s="13"/>
      <c r="O25" s="13"/>
      <c r="P25" s="152"/>
      <c r="Q25" s="149"/>
      <c r="R25" s="152"/>
      <c r="S25" s="152"/>
      <c r="T25" s="62" t="str">
        <f aca="false">IF(OR($C25="",R25=""),"",IF(R25/IF($R$2="",100,$R$2)&gt;=設定!$I$28,設定!$G$8,IF(R25/IF($R$2="",100,$R$2)&lt;設定!$I$29,設定!$G$10,設定!$G$9)))</f>
        <v/>
      </c>
      <c r="U25" s="62" t="str">
        <f aca="false">IF(OR($C25="",S25=""),"",IF(S25/IF($S$2="",100,$S$2)&gt;=設定!$I$28,設定!$G$8,IF(S25/IF($S$2="",100,$S$2)&lt;設定!$I$29,設定!$G$10,設定!$G$9)))</f>
        <v/>
      </c>
    </row>
    <row r="26" customFormat="false" ht="21" hidden="false" customHeight="true" outlineLevel="0" collapsed="false">
      <c r="A26" s="91" t="str">
        <f aca="false">IF(名簿!$D26="","",名簿!$B26&amp;"")</f>
        <v/>
      </c>
      <c r="B26" s="91" t="str">
        <f aca="false">IF(名簿!$D26="","",名簿!$C26)</f>
        <v/>
      </c>
      <c r="C26" s="59" t="str">
        <f aca="false">IF(名簿!$D26="","",名簿!$D26&amp;IF(名簿!$F26="転出","（転出）",""))</f>
        <v/>
      </c>
      <c r="D26" s="149"/>
      <c r="E26" s="61" t="str">
        <f aca="false">IF(OR($C26="",名簿!$F26="転出"),"",IF($C$2="学級ごと",$A26,IF($C$2="前の単元と同じ",単元08!$E26&amp;"",$D26&amp;"")))</f>
        <v/>
      </c>
      <c r="F26" s="150"/>
      <c r="G26" s="150"/>
      <c r="H26" s="150"/>
      <c r="I26" s="151"/>
      <c r="J26" s="41" t="str">
        <f aca="false">IF($E26="","",$E26&amp;"|"&amp;COUNTIF($E$5:$E26,$E26))</f>
        <v/>
      </c>
      <c r="K26" s="40" t="str">
        <f aca="false">IF($I26="","",LEN($I26))</f>
        <v/>
      </c>
      <c r="L26" s="13"/>
      <c r="M26" s="13"/>
      <c r="N26" s="13"/>
      <c r="O26" s="13"/>
      <c r="P26" s="152"/>
      <c r="Q26" s="149"/>
      <c r="R26" s="152"/>
      <c r="S26" s="152"/>
      <c r="T26" s="62" t="str">
        <f aca="false">IF(OR($C26="",R26=""),"",IF(R26/IF($R$2="",100,$R$2)&gt;=設定!$I$28,設定!$G$8,IF(R26/IF($R$2="",100,$R$2)&lt;設定!$I$29,設定!$G$10,設定!$G$9)))</f>
        <v/>
      </c>
      <c r="U26" s="62" t="str">
        <f aca="false">IF(OR($C26="",S26=""),"",IF(S26/IF($S$2="",100,$S$2)&gt;=設定!$I$28,設定!$G$8,IF(S26/IF($S$2="",100,$S$2)&lt;設定!$I$29,設定!$G$10,設定!$G$9)))</f>
        <v/>
      </c>
    </row>
    <row r="27" customFormat="false" ht="21" hidden="false" customHeight="true" outlineLevel="0" collapsed="false">
      <c r="A27" s="91" t="str">
        <f aca="false">IF(名簿!$D27="","",名簿!$B27&amp;"")</f>
        <v/>
      </c>
      <c r="B27" s="91" t="str">
        <f aca="false">IF(名簿!$D27="","",名簿!$C27)</f>
        <v/>
      </c>
      <c r="C27" s="59" t="str">
        <f aca="false">IF(名簿!$D27="","",名簿!$D27&amp;IF(名簿!$F27="転出","（転出）",""))</f>
        <v/>
      </c>
      <c r="D27" s="149"/>
      <c r="E27" s="61" t="str">
        <f aca="false">IF(OR($C27="",名簿!$F27="転出"),"",IF($C$2="学級ごと",$A27,IF($C$2="前の単元と同じ",単元08!$E27&amp;"",$D27&amp;"")))</f>
        <v/>
      </c>
      <c r="F27" s="150"/>
      <c r="G27" s="150"/>
      <c r="H27" s="150"/>
      <c r="I27" s="151"/>
      <c r="J27" s="41" t="str">
        <f aca="false">IF($E27="","",$E27&amp;"|"&amp;COUNTIF($E$5:$E27,$E27))</f>
        <v/>
      </c>
      <c r="K27" s="40" t="str">
        <f aca="false">IF($I27="","",LEN($I27))</f>
        <v/>
      </c>
      <c r="L27" s="13"/>
      <c r="M27" s="13"/>
      <c r="N27" s="13"/>
      <c r="O27" s="13"/>
      <c r="P27" s="152"/>
      <c r="Q27" s="149"/>
      <c r="R27" s="152"/>
      <c r="S27" s="152"/>
      <c r="T27" s="62" t="str">
        <f aca="false">IF(OR($C27="",R27=""),"",IF(R27/IF($R$2="",100,$R$2)&gt;=設定!$I$28,設定!$G$8,IF(R27/IF($R$2="",100,$R$2)&lt;設定!$I$29,設定!$G$10,設定!$G$9)))</f>
        <v/>
      </c>
      <c r="U27" s="62" t="str">
        <f aca="false">IF(OR($C27="",S27=""),"",IF(S27/IF($S$2="",100,$S$2)&gt;=設定!$I$28,設定!$G$8,IF(S27/IF($S$2="",100,$S$2)&lt;設定!$I$29,設定!$G$10,設定!$G$9)))</f>
        <v/>
      </c>
    </row>
    <row r="28" customFormat="false" ht="21" hidden="false" customHeight="true" outlineLevel="0" collapsed="false">
      <c r="A28" s="91" t="str">
        <f aca="false">IF(名簿!$D28="","",名簿!$B28&amp;"")</f>
        <v/>
      </c>
      <c r="B28" s="91" t="str">
        <f aca="false">IF(名簿!$D28="","",名簿!$C28)</f>
        <v/>
      </c>
      <c r="C28" s="59" t="str">
        <f aca="false">IF(名簿!$D28="","",名簿!$D28&amp;IF(名簿!$F28="転出","（転出）",""))</f>
        <v/>
      </c>
      <c r="D28" s="149"/>
      <c r="E28" s="61" t="str">
        <f aca="false">IF(OR($C28="",名簿!$F28="転出"),"",IF($C$2="学級ごと",$A28,IF($C$2="前の単元と同じ",単元08!$E28&amp;"",$D28&amp;"")))</f>
        <v/>
      </c>
      <c r="F28" s="150"/>
      <c r="G28" s="150"/>
      <c r="H28" s="150"/>
      <c r="I28" s="151"/>
      <c r="J28" s="41" t="str">
        <f aca="false">IF($E28="","",$E28&amp;"|"&amp;COUNTIF($E$5:$E28,$E28))</f>
        <v/>
      </c>
      <c r="K28" s="40" t="str">
        <f aca="false">IF($I28="","",LEN($I28))</f>
        <v/>
      </c>
      <c r="L28" s="13"/>
      <c r="M28" s="13"/>
      <c r="N28" s="13"/>
      <c r="O28" s="13"/>
      <c r="P28" s="152"/>
      <c r="Q28" s="149"/>
      <c r="R28" s="152"/>
      <c r="S28" s="152"/>
      <c r="T28" s="62" t="str">
        <f aca="false">IF(OR($C28="",R28=""),"",IF(R28/IF($R$2="",100,$R$2)&gt;=設定!$I$28,設定!$G$8,IF(R28/IF($R$2="",100,$R$2)&lt;設定!$I$29,設定!$G$10,設定!$G$9)))</f>
        <v/>
      </c>
      <c r="U28" s="62" t="str">
        <f aca="false">IF(OR($C28="",S28=""),"",IF(S28/IF($S$2="",100,$S$2)&gt;=設定!$I$28,設定!$G$8,IF(S28/IF($S$2="",100,$S$2)&lt;設定!$I$29,設定!$G$10,設定!$G$9)))</f>
        <v/>
      </c>
    </row>
    <row r="29" customFormat="false" ht="21" hidden="false" customHeight="true" outlineLevel="0" collapsed="false">
      <c r="A29" s="91" t="str">
        <f aca="false">IF(名簿!$D29="","",名簿!$B29&amp;"")</f>
        <v/>
      </c>
      <c r="B29" s="91" t="str">
        <f aca="false">IF(名簿!$D29="","",名簿!$C29)</f>
        <v/>
      </c>
      <c r="C29" s="59" t="str">
        <f aca="false">IF(名簿!$D29="","",名簿!$D29&amp;IF(名簿!$F29="転出","（転出）",""))</f>
        <v/>
      </c>
      <c r="D29" s="149"/>
      <c r="E29" s="61" t="str">
        <f aca="false">IF(OR($C29="",名簿!$F29="転出"),"",IF($C$2="学級ごと",$A29,IF($C$2="前の単元と同じ",単元08!$E29&amp;"",$D29&amp;"")))</f>
        <v/>
      </c>
      <c r="F29" s="150"/>
      <c r="G29" s="150"/>
      <c r="H29" s="150"/>
      <c r="I29" s="151"/>
      <c r="J29" s="41" t="str">
        <f aca="false">IF($E29="","",$E29&amp;"|"&amp;COUNTIF($E$5:$E29,$E29))</f>
        <v/>
      </c>
      <c r="K29" s="40" t="str">
        <f aca="false">IF($I29="","",LEN($I29))</f>
        <v/>
      </c>
      <c r="L29" s="13"/>
      <c r="M29" s="13"/>
      <c r="N29" s="13"/>
      <c r="O29" s="13"/>
      <c r="P29" s="152"/>
      <c r="Q29" s="149"/>
      <c r="R29" s="152"/>
      <c r="S29" s="152"/>
      <c r="T29" s="62" t="str">
        <f aca="false">IF(OR($C29="",R29=""),"",IF(R29/IF($R$2="",100,$R$2)&gt;=設定!$I$28,設定!$G$8,IF(R29/IF($R$2="",100,$R$2)&lt;設定!$I$29,設定!$G$10,設定!$G$9)))</f>
        <v/>
      </c>
      <c r="U29" s="62" t="str">
        <f aca="false">IF(OR($C29="",S29=""),"",IF(S29/IF($S$2="",100,$S$2)&gt;=設定!$I$28,設定!$G$8,IF(S29/IF($S$2="",100,$S$2)&lt;設定!$I$29,設定!$G$10,設定!$G$9)))</f>
        <v/>
      </c>
    </row>
    <row r="30" customFormat="false" ht="21" hidden="false" customHeight="true" outlineLevel="0" collapsed="false">
      <c r="A30" s="91" t="str">
        <f aca="false">IF(名簿!$D30="","",名簿!$B30&amp;"")</f>
        <v/>
      </c>
      <c r="B30" s="91" t="str">
        <f aca="false">IF(名簿!$D30="","",名簿!$C30)</f>
        <v/>
      </c>
      <c r="C30" s="59" t="str">
        <f aca="false">IF(名簿!$D30="","",名簿!$D30&amp;IF(名簿!$F30="転出","（転出）",""))</f>
        <v/>
      </c>
      <c r="D30" s="149"/>
      <c r="E30" s="61" t="str">
        <f aca="false">IF(OR($C30="",名簿!$F30="転出"),"",IF($C$2="学級ごと",$A30,IF($C$2="前の単元と同じ",単元08!$E30&amp;"",$D30&amp;"")))</f>
        <v/>
      </c>
      <c r="F30" s="150"/>
      <c r="G30" s="150"/>
      <c r="H30" s="150"/>
      <c r="I30" s="151"/>
      <c r="J30" s="41" t="str">
        <f aca="false">IF($E30="","",$E30&amp;"|"&amp;COUNTIF($E$5:$E30,$E30))</f>
        <v/>
      </c>
      <c r="K30" s="40" t="str">
        <f aca="false">IF($I30="","",LEN($I30))</f>
        <v/>
      </c>
      <c r="L30" s="13"/>
      <c r="M30" s="13"/>
      <c r="N30" s="13"/>
      <c r="O30" s="13"/>
      <c r="P30" s="152"/>
      <c r="Q30" s="149"/>
      <c r="R30" s="152"/>
      <c r="S30" s="152"/>
      <c r="T30" s="62" t="str">
        <f aca="false">IF(OR($C30="",R30=""),"",IF(R30/IF($R$2="",100,$R$2)&gt;=設定!$I$28,設定!$G$8,IF(R30/IF($R$2="",100,$R$2)&lt;設定!$I$29,設定!$G$10,設定!$G$9)))</f>
        <v/>
      </c>
      <c r="U30" s="62" t="str">
        <f aca="false">IF(OR($C30="",S30=""),"",IF(S30/IF($S$2="",100,$S$2)&gt;=設定!$I$28,設定!$G$8,IF(S30/IF($S$2="",100,$S$2)&lt;設定!$I$29,設定!$G$10,設定!$G$9)))</f>
        <v/>
      </c>
    </row>
    <row r="31" customFormat="false" ht="21" hidden="false" customHeight="true" outlineLevel="0" collapsed="false">
      <c r="A31" s="91" t="str">
        <f aca="false">IF(名簿!$D31="","",名簿!$B31&amp;"")</f>
        <v/>
      </c>
      <c r="B31" s="91" t="str">
        <f aca="false">IF(名簿!$D31="","",名簿!$C31)</f>
        <v/>
      </c>
      <c r="C31" s="59" t="str">
        <f aca="false">IF(名簿!$D31="","",名簿!$D31&amp;IF(名簿!$F31="転出","（転出）",""))</f>
        <v/>
      </c>
      <c r="D31" s="149"/>
      <c r="E31" s="61" t="str">
        <f aca="false">IF(OR($C31="",名簿!$F31="転出"),"",IF($C$2="学級ごと",$A31,IF($C$2="前の単元と同じ",単元08!$E31&amp;"",$D31&amp;"")))</f>
        <v/>
      </c>
      <c r="F31" s="150"/>
      <c r="G31" s="150"/>
      <c r="H31" s="150"/>
      <c r="I31" s="151"/>
      <c r="J31" s="41" t="str">
        <f aca="false">IF($E31="","",$E31&amp;"|"&amp;COUNTIF($E$5:$E31,$E31))</f>
        <v/>
      </c>
      <c r="K31" s="40" t="str">
        <f aca="false">IF($I31="","",LEN($I31))</f>
        <v/>
      </c>
      <c r="L31" s="13"/>
      <c r="M31" s="13"/>
      <c r="N31" s="13"/>
      <c r="O31" s="13"/>
      <c r="P31" s="152"/>
      <c r="Q31" s="149"/>
      <c r="R31" s="152"/>
      <c r="S31" s="152"/>
      <c r="T31" s="62" t="str">
        <f aca="false">IF(OR($C31="",R31=""),"",IF(R31/IF($R$2="",100,$R$2)&gt;=設定!$I$28,設定!$G$8,IF(R31/IF($R$2="",100,$R$2)&lt;設定!$I$29,設定!$G$10,設定!$G$9)))</f>
        <v/>
      </c>
      <c r="U31" s="62" t="str">
        <f aca="false">IF(OR($C31="",S31=""),"",IF(S31/IF($S$2="",100,$S$2)&gt;=設定!$I$28,設定!$G$8,IF(S31/IF($S$2="",100,$S$2)&lt;設定!$I$29,設定!$G$10,設定!$G$9)))</f>
        <v/>
      </c>
    </row>
    <row r="32" customFormat="false" ht="21" hidden="false" customHeight="true" outlineLevel="0" collapsed="false">
      <c r="A32" s="91" t="str">
        <f aca="false">IF(名簿!$D32="","",名簿!$B32&amp;"")</f>
        <v/>
      </c>
      <c r="B32" s="91" t="str">
        <f aca="false">IF(名簿!$D32="","",名簿!$C32)</f>
        <v/>
      </c>
      <c r="C32" s="59" t="str">
        <f aca="false">IF(名簿!$D32="","",名簿!$D32&amp;IF(名簿!$F32="転出","（転出）",""))</f>
        <v/>
      </c>
      <c r="D32" s="149"/>
      <c r="E32" s="61" t="str">
        <f aca="false">IF(OR($C32="",名簿!$F32="転出"),"",IF($C$2="学級ごと",$A32,IF($C$2="前の単元と同じ",単元08!$E32&amp;"",$D32&amp;"")))</f>
        <v/>
      </c>
      <c r="F32" s="150"/>
      <c r="G32" s="150"/>
      <c r="H32" s="150"/>
      <c r="I32" s="151"/>
      <c r="J32" s="41" t="str">
        <f aca="false">IF($E32="","",$E32&amp;"|"&amp;COUNTIF($E$5:$E32,$E32))</f>
        <v/>
      </c>
      <c r="K32" s="40" t="str">
        <f aca="false">IF($I32="","",LEN($I32))</f>
        <v/>
      </c>
      <c r="L32" s="13"/>
      <c r="M32" s="13"/>
      <c r="N32" s="13"/>
      <c r="O32" s="13"/>
      <c r="P32" s="152"/>
      <c r="Q32" s="149"/>
      <c r="R32" s="152"/>
      <c r="S32" s="152"/>
      <c r="T32" s="62" t="str">
        <f aca="false">IF(OR($C32="",R32=""),"",IF(R32/IF($R$2="",100,$R$2)&gt;=設定!$I$28,設定!$G$8,IF(R32/IF($R$2="",100,$R$2)&lt;設定!$I$29,設定!$G$10,設定!$G$9)))</f>
        <v/>
      </c>
      <c r="U32" s="62" t="str">
        <f aca="false">IF(OR($C32="",S32=""),"",IF(S32/IF($S$2="",100,$S$2)&gt;=設定!$I$28,設定!$G$8,IF(S32/IF($S$2="",100,$S$2)&lt;設定!$I$29,設定!$G$10,設定!$G$9)))</f>
        <v/>
      </c>
    </row>
    <row r="33" customFormat="false" ht="21" hidden="false" customHeight="true" outlineLevel="0" collapsed="false">
      <c r="A33" s="91" t="str">
        <f aca="false">IF(名簿!$D33="","",名簿!$B33&amp;"")</f>
        <v/>
      </c>
      <c r="B33" s="91" t="str">
        <f aca="false">IF(名簿!$D33="","",名簿!$C33)</f>
        <v/>
      </c>
      <c r="C33" s="59" t="str">
        <f aca="false">IF(名簿!$D33="","",名簿!$D33&amp;IF(名簿!$F33="転出","（転出）",""))</f>
        <v/>
      </c>
      <c r="D33" s="149"/>
      <c r="E33" s="61" t="str">
        <f aca="false">IF(OR($C33="",名簿!$F33="転出"),"",IF($C$2="学級ごと",$A33,IF($C$2="前の単元と同じ",単元08!$E33&amp;"",$D33&amp;"")))</f>
        <v/>
      </c>
      <c r="F33" s="150"/>
      <c r="G33" s="150"/>
      <c r="H33" s="150"/>
      <c r="I33" s="151"/>
      <c r="J33" s="41" t="str">
        <f aca="false">IF($E33="","",$E33&amp;"|"&amp;COUNTIF($E$5:$E33,$E33))</f>
        <v/>
      </c>
      <c r="K33" s="40" t="str">
        <f aca="false">IF($I33="","",LEN($I33))</f>
        <v/>
      </c>
      <c r="L33" s="13"/>
      <c r="M33" s="13"/>
      <c r="N33" s="13"/>
      <c r="O33" s="13"/>
      <c r="P33" s="152"/>
      <c r="Q33" s="149"/>
      <c r="R33" s="152"/>
      <c r="S33" s="152"/>
      <c r="T33" s="62" t="str">
        <f aca="false">IF(OR($C33="",R33=""),"",IF(R33/IF($R$2="",100,$R$2)&gt;=設定!$I$28,設定!$G$8,IF(R33/IF($R$2="",100,$R$2)&lt;設定!$I$29,設定!$G$10,設定!$G$9)))</f>
        <v/>
      </c>
      <c r="U33" s="62" t="str">
        <f aca="false">IF(OR($C33="",S33=""),"",IF(S33/IF($S$2="",100,$S$2)&gt;=設定!$I$28,設定!$G$8,IF(S33/IF($S$2="",100,$S$2)&lt;設定!$I$29,設定!$G$10,設定!$G$9)))</f>
        <v/>
      </c>
    </row>
    <row r="34" customFormat="false" ht="21" hidden="false" customHeight="true" outlineLevel="0" collapsed="false">
      <c r="A34" s="91" t="str">
        <f aca="false">IF(名簿!$D34="","",名簿!$B34&amp;"")</f>
        <v/>
      </c>
      <c r="B34" s="91" t="str">
        <f aca="false">IF(名簿!$D34="","",名簿!$C34)</f>
        <v/>
      </c>
      <c r="C34" s="59" t="str">
        <f aca="false">IF(名簿!$D34="","",名簿!$D34&amp;IF(名簿!$F34="転出","（転出）",""))</f>
        <v/>
      </c>
      <c r="D34" s="149"/>
      <c r="E34" s="61" t="str">
        <f aca="false">IF(OR($C34="",名簿!$F34="転出"),"",IF($C$2="学級ごと",$A34,IF($C$2="前の単元と同じ",単元08!$E34&amp;"",$D34&amp;"")))</f>
        <v/>
      </c>
      <c r="F34" s="150"/>
      <c r="G34" s="150"/>
      <c r="H34" s="150"/>
      <c r="I34" s="151"/>
      <c r="J34" s="41" t="str">
        <f aca="false">IF($E34="","",$E34&amp;"|"&amp;COUNTIF($E$5:$E34,$E34))</f>
        <v/>
      </c>
      <c r="K34" s="40" t="str">
        <f aca="false">IF($I34="","",LEN($I34))</f>
        <v/>
      </c>
      <c r="L34" s="13"/>
      <c r="M34" s="13"/>
      <c r="N34" s="13"/>
      <c r="O34" s="13"/>
      <c r="P34" s="152"/>
      <c r="Q34" s="149"/>
      <c r="R34" s="152"/>
      <c r="S34" s="152"/>
      <c r="T34" s="62" t="str">
        <f aca="false">IF(OR($C34="",R34=""),"",IF(R34/IF($R$2="",100,$R$2)&gt;=設定!$I$28,設定!$G$8,IF(R34/IF($R$2="",100,$R$2)&lt;設定!$I$29,設定!$G$10,設定!$G$9)))</f>
        <v/>
      </c>
      <c r="U34" s="62" t="str">
        <f aca="false">IF(OR($C34="",S34=""),"",IF(S34/IF($S$2="",100,$S$2)&gt;=設定!$I$28,設定!$G$8,IF(S34/IF($S$2="",100,$S$2)&lt;設定!$I$29,設定!$G$10,設定!$G$9)))</f>
        <v/>
      </c>
    </row>
    <row r="35" customFormat="false" ht="21" hidden="false" customHeight="true" outlineLevel="0" collapsed="false">
      <c r="A35" s="91" t="str">
        <f aca="false">IF(名簿!$D35="","",名簿!$B35&amp;"")</f>
        <v/>
      </c>
      <c r="B35" s="91" t="str">
        <f aca="false">IF(名簿!$D35="","",名簿!$C35)</f>
        <v/>
      </c>
      <c r="C35" s="59" t="str">
        <f aca="false">IF(名簿!$D35="","",名簿!$D35&amp;IF(名簿!$F35="転出","（転出）",""))</f>
        <v/>
      </c>
      <c r="D35" s="149"/>
      <c r="E35" s="61" t="str">
        <f aca="false">IF(OR($C35="",名簿!$F35="転出"),"",IF($C$2="学級ごと",$A35,IF($C$2="前の単元と同じ",単元08!$E35&amp;"",$D35&amp;"")))</f>
        <v/>
      </c>
      <c r="F35" s="150"/>
      <c r="G35" s="150"/>
      <c r="H35" s="150"/>
      <c r="I35" s="151"/>
      <c r="J35" s="41" t="str">
        <f aca="false">IF($E35="","",$E35&amp;"|"&amp;COUNTIF($E$5:$E35,$E35))</f>
        <v/>
      </c>
      <c r="K35" s="40" t="str">
        <f aca="false">IF($I35="","",LEN($I35))</f>
        <v/>
      </c>
      <c r="L35" s="13"/>
      <c r="M35" s="13"/>
      <c r="N35" s="13"/>
      <c r="O35" s="13"/>
      <c r="P35" s="152"/>
      <c r="Q35" s="149"/>
      <c r="R35" s="152"/>
      <c r="S35" s="152"/>
      <c r="T35" s="62" t="str">
        <f aca="false">IF(OR($C35="",R35=""),"",IF(R35/IF($R$2="",100,$R$2)&gt;=設定!$I$28,設定!$G$8,IF(R35/IF($R$2="",100,$R$2)&lt;設定!$I$29,設定!$G$10,設定!$G$9)))</f>
        <v/>
      </c>
      <c r="U35" s="62" t="str">
        <f aca="false">IF(OR($C35="",S35=""),"",IF(S35/IF($S$2="",100,$S$2)&gt;=設定!$I$28,設定!$G$8,IF(S35/IF($S$2="",100,$S$2)&lt;設定!$I$29,設定!$G$10,設定!$G$9)))</f>
        <v/>
      </c>
    </row>
    <row r="36" customFormat="false" ht="21" hidden="false" customHeight="true" outlineLevel="0" collapsed="false">
      <c r="A36" s="91" t="str">
        <f aca="false">IF(名簿!$D36="","",名簿!$B36&amp;"")</f>
        <v/>
      </c>
      <c r="B36" s="91" t="str">
        <f aca="false">IF(名簿!$D36="","",名簿!$C36)</f>
        <v/>
      </c>
      <c r="C36" s="59" t="str">
        <f aca="false">IF(名簿!$D36="","",名簿!$D36&amp;IF(名簿!$F36="転出","（転出）",""))</f>
        <v/>
      </c>
      <c r="D36" s="149"/>
      <c r="E36" s="61" t="str">
        <f aca="false">IF(OR($C36="",名簿!$F36="転出"),"",IF($C$2="学級ごと",$A36,IF($C$2="前の単元と同じ",単元08!$E36&amp;"",$D36&amp;"")))</f>
        <v/>
      </c>
      <c r="F36" s="150"/>
      <c r="G36" s="150"/>
      <c r="H36" s="150"/>
      <c r="I36" s="151"/>
      <c r="J36" s="41" t="str">
        <f aca="false">IF($E36="","",$E36&amp;"|"&amp;COUNTIF($E$5:$E36,$E36))</f>
        <v/>
      </c>
      <c r="K36" s="40" t="str">
        <f aca="false">IF($I36="","",LEN($I36))</f>
        <v/>
      </c>
      <c r="L36" s="13"/>
      <c r="M36" s="13"/>
      <c r="N36" s="13"/>
      <c r="O36" s="13"/>
      <c r="P36" s="152"/>
      <c r="Q36" s="149"/>
      <c r="R36" s="152"/>
      <c r="S36" s="152"/>
      <c r="T36" s="62" t="str">
        <f aca="false">IF(OR($C36="",R36=""),"",IF(R36/IF($R$2="",100,$R$2)&gt;=設定!$I$28,設定!$G$8,IF(R36/IF($R$2="",100,$R$2)&lt;設定!$I$29,設定!$G$10,設定!$G$9)))</f>
        <v/>
      </c>
      <c r="U36" s="62" t="str">
        <f aca="false">IF(OR($C36="",S36=""),"",IF(S36/IF($S$2="",100,$S$2)&gt;=設定!$I$28,設定!$G$8,IF(S36/IF($S$2="",100,$S$2)&lt;設定!$I$29,設定!$G$10,設定!$G$9)))</f>
        <v/>
      </c>
    </row>
    <row r="37" customFormat="false" ht="21" hidden="false" customHeight="true" outlineLevel="0" collapsed="false">
      <c r="A37" s="91" t="str">
        <f aca="false">IF(名簿!$D37="","",名簿!$B37&amp;"")</f>
        <v/>
      </c>
      <c r="B37" s="91" t="str">
        <f aca="false">IF(名簿!$D37="","",名簿!$C37)</f>
        <v/>
      </c>
      <c r="C37" s="59" t="str">
        <f aca="false">IF(名簿!$D37="","",名簿!$D37&amp;IF(名簿!$F37="転出","（転出）",""))</f>
        <v/>
      </c>
      <c r="D37" s="149"/>
      <c r="E37" s="61" t="str">
        <f aca="false">IF(OR($C37="",名簿!$F37="転出"),"",IF($C$2="学級ごと",$A37,IF($C$2="前の単元と同じ",単元08!$E37&amp;"",$D37&amp;"")))</f>
        <v/>
      </c>
      <c r="F37" s="150"/>
      <c r="G37" s="150"/>
      <c r="H37" s="150"/>
      <c r="I37" s="151"/>
      <c r="J37" s="41" t="str">
        <f aca="false">IF($E37="","",$E37&amp;"|"&amp;COUNTIF($E$5:$E37,$E37))</f>
        <v/>
      </c>
      <c r="K37" s="40" t="str">
        <f aca="false">IF($I37="","",LEN($I37))</f>
        <v/>
      </c>
      <c r="L37" s="13"/>
      <c r="M37" s="13"/>
      <c r="N37" s="13"/>
      <c r="O37" s="13"/>
      <c r="P37" s="152"/>
      <c r="Q37" s="149"/>
      <c r="R37" s="152"/>
      <c r="S37" s="152"/>
      <c r="T37" s="62" t="str">
        <f aca="false">IF(OR($C37="",R37=""),"",IF(R37/IF($R$2="",100,$R$2)&gt;=設定!$I$28,設定!$G$8,IF(R37/IF($R$2="",100,$R$2)&lt;設定!$I$29,設定!$G$10,設定!$G$9)))</f>
        <v/>
      </c>
      <c r="U37" s="62" t="str">
        <f aca="false">IF(OR($C37="",S37=""),"",IF(S37/IF($S$2="",100,$S$2)&gt;=設定!$I$28,設定!$G$8,IF(S37/IF($S$2="",100,$S$2)&lt;設定!$I$29,設定!$G$10,設定!$G$9)))</f>
        <v/>
      </c>
    </row>
    <row r="38" customFormat="false" ht="21" hidden="false" customHeight="true" outlineLevel="0" collapsed="false">
      <c r="A38" s="91" t="str">
        <f aca="false">IF(名簿!$D38="","",名簿!$B38&amp;"")</f>
        <v/>
      </c>
      <c r="B38" s="91" t="str">
        <f aca="false">IF(名簿!$D38="","",名簿!$C38)</f>
        <v/>
      </c>
      <c r="C38" s="59" t="str">
        <f aca="false">IF(名簿!$D38="","",名簿!$D38&amp;IF(名簿!$F38="転出","（転出）",""))</f>
        <v/>
      </c>
      <c r="D38" s="149"/>
      <c r="E38" s="61" t="str">
        <f aca="false">IF(OR($C38="",名簿!$F38="転出"),"",IF($C$2="学級ごと",$A38,IF($C$2="前の単元と同じ",単元08!$E38&amp;"",$D38&amp;"")))</f>
        <v/>
      </c>
      <c r="F38" s="150"/>
      <c r="G38" s="150"/>
      <c r="H38" s="150"/>
      <c r="I38" s="151"/>
      <c r="J38" s="41" t="str">
        <f aca="false">IF($E38="","",$E38&amp;"|"&amp;COUNTIF($E$5:$E38,$E38))</f>
        <v/>
      </c>
      <c r="K38" s="40" t="str">
        <f aca="false">IF($I38="","",LEN($I38))</f>
        <v/>
      </c>
      <c r="L38" s="13"/>
      <c r="M38" s="13"/>
      <c r="N38" s="13"/>
      <c r="O38" s="13"/>
      <c r="P38" s="152"/>
      <c r="Q38" s="149"/>
      <c r="R38" s="152"/>
      <c r="S38" s="152"/>
      <c r="T38" s="62" t="str">
        <f aca="false">IF(OR($C38="",R38=""),"",IF(R38/IF($R$2="",100,$R$2)&gt;=設定!$I$28,設定!$G$8,IF(R38/IF($R$2="",100,$R$2)&lt;設定!$I$29,設定!$G$10,設定!$G$9)))</f>
        <v/>
      </c>
      <c r="U38" s="62" t="str">
        <f aca="false">IF(OR($C38="",S38=""),"",IF(S38/IF($S$2="",100,$S$2)&gt;=設定!$I$28,設定!$G$8,IF(S38/IF($S$2="",100,$S$2)&lt;設定!$I$29,設定!$G$10,設定!$G$9)))</f>
        <v/>
      </c>
    </row>
    <row r="39" customFormat="false" ht="21" hidden="false" customHeight="true" outlineLevel="0" collapsed="false">
      <c r="A39" s="91" t="str">
        <f aca="false">IF(名簿!$D39="","",名簿!$B39&amp;"")</f>
        <v/>
      </c>
      <c r="B39" s="91" t="str">
        <f aca="false">IF(名簿!$D39="","",名簿!$C39)</f>
        <v/>
      </c>
      <c r="C39" s="59" t="str">
        <f aca="false">IF(名簿!$D39="","",名簿!$D39&amp;IF(名簿!$F39="転出","（転出）",""))</f>
        <v/>
      </c>
      <c r="D39" s="149"/>
      <c r="E39" s="61" t="str">
        <f aca="false">IF(OR($C39="",名簿!$F39="転出"),"",IF($C$2="学級ごと",$A39,IF($C$2="前の単元と同じ",単元08!$E39&amp;"",$D39&amp;"")))</f>
        <v/>
      </c>
      <c r="F39" s="150"/>
      <c r="G39" s="150"/>
      <c r="H39" s="150"/>
      <c r="I39" s="151"/>
      <c r="J39" s="41" t="str">
        <f aca="false">IF($E39="","",$E39&amp;"|"&amp;COUNTIF($E$5:$E39,$E39))</f>
        <v/>
      </c>
      <c r="K39" s="40" t="str">
        <f aca="false">IF($I39="","",LEN($I39))</f>
        <v/>
      </c>
      <c r="L39" s="13"/>
      <c r="M39" s="13"/>
      <c r="N39" s="13"/>
      <c r="O39" s="13"/>
      <c r="P39" s="152"/>
      <c r="Q39" s="149"/>
      <c r="R39" s="152"/>
      <c r="S39" s="152"/>
      <c r="T39" s="62" t="str">
        <f aca="false">IF(OR($C39="",R39=""),"",IF(R39/IF($R$2="",100,$R$2)&gt;=設定!$I$28,設定!$G$8,IF(R39/IF($R$2="",100,$R$2)&lt;設定!$I$29,設定!$G$10,設定!$G$9)))</f>
        <v/>
      </c>
      <c r="U39" s="62" t="str">
        <f aca="false">IF(OR($C39="",S39=""),"",IF(S39/IF($S$2="",100,$S$2)&gt;=設定!$I$28,設定!$G$8,IF(S39/IF($S$2="",100,$S$2)&lt;設定!$I$29,設定!$G$10,設定!$G$9)))</f>
        <v/>
      </c>
    </row>
    <row r="40" customFormat="false" ht="21" hidden="false" customHeight="true" outlineLevel="0" collapsed="false">
      <c r="A40" s="91" t="str">
        <f aca="false">IF(名簿!$D40="","",名簿!$B40&amp;"")</f>
        <v/>
      </c>
      <c r="B40" s="91" t="str">
        <f aca="false">IF(名簿!$D40="","",名簿!$C40)</f>
        <v/>
      </c>
      <c r="C40" s="59" t="str">
        <f aca="false">IF(名簿!$D40="","",名簿!$D40&amp;IF(名簿!$F40="転出","（転出）",""))</f>
        <v/>
      </c>
      <c r="D40" s="149"/>
      <c r="E40" s="61" t="str">
        <f aca="false">IF(OR($C40="",名簿!$F40="転出"),"",IF($C$2="学級ごと",$A40,IF($C$2="前の単元と同じ",単元08!$E40&amp;"",$D40&amp;"")))</f>
        <v/>
      </c>
      <c r="F40" s="150"/>
      <c r="G40" s="150"/>
      <c r="H40" s="150"/>
      <c r="I40" s="151"/>
      <c r="J40" s="41" t="str">
        <f aca="false">IF($E40="","",$E40&amp;"|"&amp;COUNTIF($E$5:$E40,$E40))</f>
        <v/>
      </c>
      <c r="K40" s="40" t="str">
        <f aca="false">IF($I40="","",LEN($I40))</f>
        <v/>
      </c>
      <c r="L40" s="13"/>
      <c r="M40" s="13"/>
      <c r="N40" s="13"/>
      <c r="O40" s="13"/>
      <c r="P40" s="152"/>
      <c r="Q40" s="149"/>
      <c r="R40" s="152"/>
      <c r="S40" s="152"/>
      <c r="T40" s="62" t="str">
        <f aca="false">IF(OR($C40="",R40=""),"",IF(R40/IF($R$2="",100,$R$2)&gt;=設定!$I$28,設定!$G$8,IF(R40/IF($R$2="",100,$R$2)&lt;設定!$I$29,設定!$G$10,設定!$G$9)))</f>
        <v/>
      </c>
      <c r="U40" s="62" t="str">
        <f aca="false">IF(OR($C40="",S40=""),"",IF(S40/IF($S$2="",100,$S$2)&gt;=設定!$I$28,設定!$G$8,IF(S40/IF($S$2="",100,$S$2)&lt;設定!$I$29,設定!$G$10,設定!$G$9)))</f>
        <v/>
      </c>
    </row>
    <row r="41" customFormat="false" ht="21" hidden="false" customHeight="true" outlineLevel="0" collapsed="false">
      <c r="A41" s="91" t="str">
        <f aca="false">IF(名簿!$D41="","",名簿!$B41&amp;"")</f>
        <v/>
      </c>
      <c r="B41" s="91" t="str">
        <f aca="false">IF(名簿!$D41="","",名簿!$C41)</f>
        <v/>
      </c>
      <c r="C41" s="59" t="str">
        <f aca="false">IF(名簿!$D41="","",名簿!$D41&amp;IF(名簿!$F41="転出","（転出）",""))</f>
        <v/>
      </c>
      <c r="D41" s="149"/>
      <c r="E41" s="61" t="str">
        <f aca="false">IF(OR($C41="",名簿!$F41="転出"),"",IF($C$2="学級ごと",$A41,IF($C$2="前の単元と同じ",単元08!$E41&amp;"",$D41&amp;"")))</f>
        <v/>
      </c>
      <c r="F41" s="150"/>
      <c r="G41" s="150"/>
      <c r="H41" s="150"/>
      <c r="I41" s="151"/>
      <c r="J41" s="41" t="str">
        <f aca="false">IF($E41="","",$E41&amp;"|"&amp;COUNTIF($E$5:$E41,$E41))</f>
        <v/>
      </c>
      <c r="K41" s="40" t="str">
        <f aca="false">IF($I41="","",LEN($I41))</f>
        <v/>
      </c>
      <c r="L41" s="13"/>
      <c r="M41" s="13"/>
      <c r="N41" s="13"/>
      <c r="O41" s="13"/>
      <c r="P41" s="152"/>
      <c r="Q41" s="149"/>
      <c r="R41" s="152"/>
      <c r="S41" s="152"/>
      <c r="T41" s="62" t="str">
        <f aca="false">IF(OR($C41="",R41=""),"",IF(R41/IF($R$2="",100,$R$2)&gt;=設定!$I$28,設定!$G$8,IF(R41/IF($R$2="",100,$R$2)&lt;設定!$I$29,設定!$G$10,設定!$G$9)))</f>
        <v/>
      </c>
      <c r="U41" s="62" t="str">
        <f aca="false">IF(OR($C41="",S41=""),"",IF(S41/IF($S$2="",100,$S$2)&gt;=設定!$I$28,設定!$G$8,IF(S41/IF($S$2="",100,$S$2)&lt;設定!$I$29,設定!$G$10,設定!$G$9)))</f>
        <v/>
      </c>
    </row>
    <row r="42" customFormat="false" ht="21" hidden="false" customHeight="true" outlineLevel="0" collapsed="false">
      <c r="A42" s="91" t="str">
        <f aca="false">IF(名簿!$D42="","",名簿!$B42&amp;"")</f>
        <v/>
      </c>
      <c r="B42" s="91" t="str">
        <f aca="false">IF(名簿!$D42="","",名簿!$C42)</f>
        <v/>
      </c>
      <c r="C42" s="59" t="str">
        <f aca="false">IF(名簿!$D42="","",名簿!$D42&amp;IF(名簿!$F42="転出","（転出）",""))</f>
        <v/>
      </c>
      <c r="D42" s="149"/>
      <c r="E42" s="61" t="str">
        <f aca="false">IF(OR($C42="",名簿!$F42="転出"),"",IF($C$2="学級ごと",$A42,IF($C$2="前の単元と同じ",単元08!$E42&amp;"",$D42&amp;"")))</f>
        <v/>
      </c>
      <c r="F42" s="150"/>
      <c r="G42" s="150"/>
      <c r="H42" s="150"/>
      <c r="I42" s="151"/>
      <c r="J42" s="41" t="str">
        <f aca="false">IF($E42="","",$E42&amp;"|"&amp;COUNTIF($E$5:$E42,$E42))</f>
        <v/>
      </c>
      <c r="K42" s="40" t="str">
        <f aca="false">IF($I42="","",LEN($I42))</f>
        <v/>
      </c>
      <c r="L42" s="13"/>
      <c r="M42" s="13"/>
      <c r="N42" s="13"/>
      <c r="O42" s="13"/>
      <c r="P42" s="152"/>
      <c r="Q42" s="149"/>
      <c r="R42" s="152"/>
      <c r="S42" s="152"/>
      <c r="T42" s="62" t="str">
        <f aca="false">IF(OR($C42="",R42=""),"",IF(R42/IF($R$2="",100,$R$2)&gt;=設定!$I$28,設定!$G$8,IF(R42/IF($R$2="",100,$R$2)&lt;設定!$I$29,設定!$G$10,設定!$G$9)))</f>
        <v/>
      </c>
      <c r="U42" s="62" t="str">
        <f aca="false">IF(OR($C42="",S42=""),"",IF(S42/IF($S$2="",100,$S$2)&gt;=設定!$I$28,設定!$G$8,IF(S42/IF($S$2="",100,$S$2)&lt;設定!$I$29,設定!$G$10,設定!$G$9)))</f>
        <v/>
      </c>
    </row>
    <row r="43" customFormat="false" ht="21" hidden="false" customHeight="true" outlineLevel="0" collapsed="false">
      <c r="A43" s="91" t="str">
        <f aca="false">IF(名簿!$D43="","",名簿!$B43&amp;"")</f>
        <v/>
      </c>
      <c r="B43" s="91" t="str">
        <f aca="false">IF(名簿!$D43="","",名簿!$C43)</f>
        <v/>
      </c>
      <c r="C43" s="59" t="str">
        <f aca="false">IF(名簿!$D43="","",名簿!$D43&amp;IF(名簿!$F43="転出","（転出）",""))</f>
        <v/>
      </c>
      <c r="D43" s="149"/>
      <c r="E43" s="61" t="str">
        <f aca="false">IF(OR($C43="",名簿!$F43="転出"),"",IF($C$2="学級ごと",$A43,IF($C$2="前の単元と同じ",単元08!$E43&amp;"",$D43&amp;"")))</f>
        <v/>
      </c>
      <c r="F43" s="150"/>
      <c r="G43" s="150"/>
      <c r="H43" s="150"/>
      <c r="I43" s="151"/>
      <c r="J43" s="41" t="str">
        <f aca="false">IF($E43="","",$E43&amp;"|"&amp;COUNTIF($E$5:$E43,$E43))</f>
        <v/>
      </c>
      <c r="K43" s="40" t="str">
        <f aca="false">IF($I43="","",LEN($I43))</f>
        <v/>
      </c>
      <c r="L43" s="13"/>
      <c r="M43" s="13"/>
      <c r="N43" s="13"/>
      <c r="O43" s="13"/>
      <c r="P43" s="152"/>
      <c r="Q43" s="149"/>
      <c r="R43" s="152"/>
      <c r="S43" s="152"/>
      <c r="T43" s="62" t="str">
        <f aca="false">IF(OR($C43="",R43=""),"",IF(R43/IF($R$2="",100,$R$2)&gt;=設定!$I$28,設定!$G$8,IF(R43/IF($R$2="",100,$R$2)&lt;設定!$I$29,設定!$G$10,設定!$G$9)))</f>
        <v/>
      </c>
      <c r="U43" s="62" t="str">
        <f aca="false">IF(OR($C43="",S43=""),"",IF(S43/IF($S$2="",100,$S$2)&gt;=設定!$I$28,設定!$G$8,IF(S43/IF($S$2="",100,$S$2)&lt;設定!$I$29,設定!$G$10,設定!$G$9)))</f>
        <v/>
      </c>
    </row>
    <row r="44" customFormat="false" ht="21" hidden="false" customHeight="true" outlineLevel="0" collapsed="false">
      <c r="A44" s="91" t="str">
        <f aca="false">IF(名簿!$D44="","",名簿!$B44&amp;"")</f>
        <v/>
      </c>
      <c r="B44" s="91" t="str">
        <f aca="false">IF(名簿!$D44="","",名簿!$C44)</f>
        <v/>
      </c>
      <c r="C44" s="59" t="str">
        <f aca="false">IF(名簿!$D44="","",名簿!$D44&amp;IF(名簿!$F44="転出","（転出）",""))</f>
        <v/>
      </c>
      <c r="D44" s="149"/>
      <c r="E44" s="61" t="str">
        <f aca="false">IF(OR($C44="",名簿!$F44="転出"),"",IF($C$2="学級ごと",$A44,IF($C$2="前の単元と同じ",単元08!$E44&amp;"",$D44&amp;"")))</f>
        <v/>
      </c>
      <c r="F44" s="150"/>
      <c r="G44" s="150"/>
      <c r="H44" s="150"/>
      <c r="I44" s="151"/>
      <c r="J44" s="41" t="str">
        <f aca="false">IF($E44="","",$E44&amp;"|"&amp;COUNTIF($E$5:$E44,$E44))</f>
        <v/>
      </c>
      <c r="K44" s="40" t="str">
        <f aca="false">IF($I44="","",LEN($I44))</f>
        <v/>
      </c>
      <c r="L44" s="13"/>
      <c r="M44" s="13"/>
      <c r="N44" s="13"/>
      <c r="O44" s="13"/>
      <c r="P44" s="152"/>
      <c r="Q44" s="149"/>
      <c r="R44" s="152"/>
      <c r="S44" s="152"/>
      <c r="T44" s="62" t="str">
        <f aca="false">IF(OR($C44="",R44=""),"",IF(R44/IF($R$2="",100,$R$2)&gt;=設定!$I$28,設定!$G$8,IF(R44/IF($R$2="",100,$R$2)&lt;設定!$I$29,設定!$G$10,設定!$G$9)))</f>
        <v/>
      </c>
      <c r="U44" s="62" t="str">
        <f aca="false">IF(OR($C44="",S44=""),"",IF(S44/IF($S$2="",100,$S$2)&gt;=設定!$I$28,設定!$G$8,IF(S44/IF($S$2="",100,$S$2)&lt;設定!$I$29,設定!$G$10,設定!$G$9)))</f>
        <v/>
      </c>
    </row>
    <row r="45" customFormat="false" ht="21" hidden="false" customHeight="true" outlineLevel="0" collapsed="false">
      <c r="A45" s="91" t="str">
        <f aca="false">IF(名簿!$D45="","",名簿!$B45&amp;"")</f>
        <v/>
      </c>
      <c r="B45" s="91" t="str">
        <f aca="false">IF(名簿!$D45="","",名簿!$C45)</f>
        <v/>
      </c>
      <c r="C45" s="59" t="str">
        <f aca="false">IF(名簿!$D45="","",名簿!$D45&amp;IF(名簿!$F45="転出","（転出）",""))</f>
        <v/>
      </c>
      <c r="D45" s="149"/>
      <c r="E45" s="61" t="str">
        <f aca="false">IF(OR($C45="",名簿!$F45="転出"),"",IF($C$2="学級ごと",$A45,IF($C$2="前の単元と同じ",単元08!$E45&amp;"",$D45&amp;"")))</f>
        <v/>
      </c>
      <c r="F45" s="150"/>
      <c r="G45" s="150"/>
      <c r="H45" s="150"/>
      <c r="I45" s="151"/>
      <c r="J45" s="41" t="str">
        <f aca="false">IF($E45="","",$E45&amp;"|"&amp;COUNTIF($E$5:$E45,$E45))</f>
        <v/>
      </c>
      <c r="K45" s="40" t="str">
        <f aca="false">IF($I45="","",LEN($I45))</f>
        <v/>
      </c>
      <c r="L45" s="13"/>
      <c r="M45" s="13"/>
      <c r="N45" s="13"/>
      <c r="O45" s="13"/>
      <c r="P45" s="152"/>
      <c r="Q45" s="149"/>
      <c r="R45" s="152"/>
      <c r="S45" s="152"/>
      <c r="T45" s="62" t="str">
        <f aca="false">IF(OR($C45="",R45=""),"",IF(R45/IF($R$2="",100,$R$2)&gt;=設定!$I$28,設定!$G$8,IF(R45/IF($R$2="",100,$R$2)&lt;設定!$I$29,設定!$G$10,設定!$G$9)))</f>
        <v/>
      </c>
      <c r="U45" s="62" t="str">
        <f aca="false">IF(OR($C45="",S45=""),"",IF(S45/IF($S$2="",100,$S$2)&gt;=設定!$I$28,設定!$G$8,IF(S45/IF($S$2="",100,$S$2)&lt;設定!$I$29,設定!$G$10,設定!$G$9)))</f>
        <v/>
      </c>
    </row>
    <row r="46" customFormat="false" ht="21" hidden="false" customHeight="true" outlineLevel="0" collapsed="false">
      <c r="A46" s="91" t="str">
        <f aca="false">IF(名簿!$D46="","",名簿!$B46&amp;"")</f>
        <v/>
      </c>
      <c r="B46" s="91" t="str">
        <f aca="false">IF(名簿!$D46="","",名簿!$C46)</f>
        <v/>
      </c>
      <c r="C46" s="59" t="str">
        <f aca="false">IF(名簿!$D46="","",名簿!$D46&amp;IF(名簿!$F46="転出","（転出）",""))</f>
        <v/>
      </c>
      <c r="D46" s="149"/>
      <c r="E46" s="61" t="str">
        <f aca="false">IF(OR($C46="",名簿!$F46="転出"),"",IF($C$2="学級ごと",$A46,IF($C$2="前の単元と同じ",単元08!$E46&amp;"",$D46&amp;"")))</f>
        <v/>
      </c>
      <c r="F46" s="150"/>
      <c r="G46" s="150"/>
      <c r="H46" s="150"/>
      <c r="I46" s="151"/>
      <c r="J46" s="41" t="str">
        <f aca="false">IF($E46="","",$E46&amp;"|"&amp;COUNTIF($E$5:$E46,$E46))</f>
        <v/>
      </c>
      <c r="K46" s="40" t="str">
        <f aca="false">IF($I46="","",LEN($I46))</f>
        <v/>
      </c>
      <c r="L46" s="13"/>
      <c r="M46" s="13"/>
      <c r="N46" s="13"/>
      <c r="O46" s="13"/>
      <c r="P46" s="152"/>
      <c r="Q46" s="149"/>
      <c r="R46" s="152"/>
      <c r="S46" s="152"/>
      <c r="T46" s="62" t="str">
        <f aca="false">IF(OR($C46="",R46=""),"",IF(R46/IF($R$2="",100,$R$2)&gt;=設定!$I$28,設定!$G$8,IF(R46/IF($R$2="",100,$R$2)&lt;設定!$I$29,設定!$G$10,設定!$G$9)))</f>
        <v/>
      </c>
      <c r="U46" s="62" t="str">
        <f aca="false">IF(OR($C46="",S46=""),"",IF(S46/IF($S$2="",100,$S$2)&gt;=設定!$I$28,設定!$G$8,IF(S46/IF($S$2="",100,$S$2)&lt;設定!$I$29,設定!$G$10,設定!$G$9)))</f>
        <v/>
      </c>
    </row>
    <row r="47" customFormat="false" ht="21" hidden="false" customHeight="true" outlineLevel="0" collapsed="false">
      <c r="A47" s="91" t="str">
        <f aca="false">IF(名簿!$D47="","",名簿!$B47&amp;"")</f>
        <v/>
      </c>
      <c r="B47" s="91" t="str">
        <f aca="false">IF(名簿!$D47="","",名簿!$C47)</f>
        <v/>
      </c>
      <c r="C47" s="59" t="str">
        <f aca="false">IF(名簿!$D47="","",名簿!$D47&amp;IF(名簿!$F47="転出","（転出）",""))</f>
        <v/>
      </c>
      <c r="D47" s="149"/>
      <c r="E47" s="61" t="str">
        <f aca="false">IF(OR($C47="",名簿!$F47="転出"),"",IF($C$2="学級ごと",$A47,IF($C$2="前の単元と同じ",単元08!$E47&amp;"",$D47&amp;"")))</f>
        <v/>
      </c>
      <c r="F47" s="150"/>
      <c r="G47" s="150"/>
      <c r="H47" s="150"/>
      <c r="I47" s="151"/>
      <c r="J47" s="41" t="str">
        <f aca="false">IF($E47="","",$E47&amp;"|"&amp;COUNTIF($E$5:$E47,$E47))</f>
        <v/>
      </c>
      <c r="K47" s="40" t="str">
        <f aca="false">IF($I47="","",LEN($I47))</f>
        <v/>
      </c>
      <c r="L47" s="13"/>
      <c r="M47" s="13"/>
      <c r="N47" s="13"/>
      <c r="O47" s="13"/>
      <c r="P47" s="152"/>
      <c r="Q47" s="149"/>
      <c r="R47" s="152"/>
      <c r="S47" s="152"/>
      <c r="T47" s="62" t="str">
        <f aca="false">IF(OR($C47="",R47=""),"",IF(R47/IF($R$2="",100,$R$2)&gt;=設定!$I$28,設定!$G$8,IF(R47/IF($R$2="",100,$R$2)&lt;設定!$I$29,設定!$G$10,設定!$G$9)))</f>
        <v/>
      </c>
      <c r="U47" s="62" t="str">
        <f aca="false">IF(OR($C47="",S47=""),"",IF(S47/IF($S$2="",100,$S$2)&gt;=設定!$I$28,設定!$G$8,IF(S47/IF($S$2="",100,$S$2)&lt;設定!$I$29,設定!$G$10,設定!$G$9)))</f>
        <v/>
      </c>
    </row>
    <row r="48" customFormat="false" ht="21" hidden="false" customHeight="true" outlineLevel="0" collapsed="false">
      <c r="A48" s="91" t="str">
        <f aca="false">IF(名簿!$D48="","",名簿!$B48&amp;"")</f>
        <v/>
      </c>
      <c r="B48" s="91" t="str">
        <f aca="false">IF(名簿!$D48="","",名簿!$C48)</f>
        <v/>
      </c>
      <c r="C48" s="59" t="str">
        <f aca="false">IF(名簿!$D48="","",名簿!$D48&amp;IF(名簿!$F48="転出","（転出）",""))</f>
        <v/>
      </c>
      <c r="D48" s="149"/>
      <c r="E48" s="61" t="str">
        <f aca="false">IF(OR($C48="",名簿!$F48="転出"),"",IF($C$2="学級ごと",$A48,IF($C$2="前の単元と同じ",単元08!$E48&amp;"",$D48&amp;"")))</f>
        <v/>
      </c>
      <c r="F48" s="150"/>
      <c r="G48" s="150"/>
      <c r="H48" s="150"/>
      <c r="I48" s="151"/>
      <c r="J48" s="41" t="str">
        <f aca="false">IF($E48="","",$E48&amp;"|"&amp;COUNTIF($E$5:$E48,$E48))</f>
        <v/>
      </c>
      <c r="K48" s="40" t="str">
        <f aca="false">IF($I48="","",LEN($I48))</f>
        <v/>
      </c>
      <c r="L48" s="13"/>
      <c r="M48" s="13"/>
      <c r="N48" s="13"/>
      <c r="O48" s="13"/>
      <c r="P48" s="152"/>
      <c r="Q48" s="149"/>
      <c r="R48" s="152"/>
      <c r="S48" s="152"/>
      <c r="T48" s="62" t="str">
        <f aca="false">IF(OR($C48="",R48=""),"",IF(R48/IF($R$2="",100,$R$2)&gt;=設定!$I$28,設定!$G$8,IF(R48/IF($R$2="",100,$R$2)&lt;設定!$I$29,設定!$G$10,設定!$G$9)))</f>
        <v/>
      </c>
      <c r="U48" s="62" t="str">
        <f aca="false">IF(OR($C48="",S48=""),"",IF(S48/IF($S$2="",100,$S$2)&gt;=設定!$I$28,設定!$G$8,IF(S48/IF($S$2="",100,$S$2)&lt;設定!$I$29,設定!$G$10,設定!$G$9)))</f>
        <v/>
      </c>
    </row>
    <row r="49" customFormat="false" ht="21" hidden="false" customHeight="true" outlineLevel="0" collapsed="false">
      <c r="A49" s="91" t="str">
        <f aca="false">IF(名簿!$D49="","",名簿!$B49&amp;"")</f>
        <v/>
      </c>
      <c r="B49" s="91" t="str">
        <f aca="false">IF(名簿!$D49="","",名簿!$C49)</f>
        <v/>
      </c>
      <c r="C49" s="59" t="str">
        <f aca="false">IF(名簿!$D49="","",名簿!$D49&amp;IF(名簿!$F49="転出","（転出）",""))</f>
        <v/>
      </c>
      <c r="D49" s="149"/>
      <c r="E49" s="61" t="str">
        <f aca="false">IF(OR($C49="",名簿!$F49="転出"),"",IF($C$2="学級ごと",$A49,IF($C$2="前の単元と同じ",単元08!$E49&amp;"",$D49&amp;"")))</f>
        <v/>
      </c>
      <c r="F49" s="150"/>
      <c r="G49" s="150"/>
      <c r="H49" s="150"/>
      <c r="I49" s="151"/>
      <c r="J49" s="41" t="str">
        <f aca="false">IF($E49="","",$E49&amp;"|"&amp;COUNTIF($E$5:$E49,$E49))</f>
        <v/>
      </c>
      <c r="K49" s="40" t="str">
        <f aca="false">IF($I49="","",LEN($I49))</f>
        <v/>
      </c>
      <c r="L49" s="13"/>
      <c r="M49" s="13"/>
      <c r="N49" s="13"/>
      <c r="O49" s="13"/>
      <c r="P49" s="152"/>
      <c r="Q49" s="149"/>
      <c r="R49" s="152"/>
      <c r="S49" s="152"/>
      <c r="T49" s="62" t="str">
        <f aca="false">IF(OR($C49="",R49=""),"",IF(R49/IF($R$2="",100,$R$2)&gt;=設定!$I$28,設定!$G$8,IF(R49/IF($R$2="",100,$R$2)&lt;設定!$I$29,設定!$G$10,設定!$G$9)))</f>
        <v/>
      </c>
      <c r="U49" s="62" t="str">
        <f aca="false">IF(OR($C49="",S49=""),"",IF(S49/IF($S$2="",100,$S$2)&gt;=設定!$I$28,設定!$G$8,IF(S49/IF($S$2="",100,$S$2)&lt;設定!$I$29,設定!$G$10,設定!$G$9)))</f>
        <v/>
      </c>
    </row>
    <row r="50" customFormat="false" ht="21" hidden="false" customHeight="true" outlineLevel="0" collapsed="false">
      <c r="A50" s="91" t="str">
        <f aca="false">IF(名簿!$D50="","",名簿!$B50&amp;"")</f>
        <v/>
      </c>
      <c r="B50" s="91" t="str">
        <f aca="false">IF(名簿!$D50="","",名簿!$C50)</f>
        <v/>
      </c>
      <c r="C50" s="59" t="str">
        <f aca="false">IF(名簿!$D50="","",名簿!$D50&amp;IF(名簿!$F50="転出","（転出）",""))</f>
        <v/>
      </c>
      <c r="D50" s="149"/>
      <c r="E50" s="61" t="str">
        <f aca="false">IF(OR($C50="",名簿!$F50="転出"),"",IF($C$2="学級ごと",$A50,IF($C$2="前の単元と同じ",単元08!$E50&amp;"",$D50&amp;"")))</f>
        <v/>
      </c>
      <c r="F50" s="150"/>
      <c r="G50" s="150"/>
      <c r="H50" s="150"/>
      <c r="I50" s="151"/>
      <c r="J50" s="41" t="str">
        <f aca="false">IF($E50="","",$E50&amp;"|"&amp;COUNTIF($E$5:$E50,$E50))</f>
        <v/>
      </c>
      <c r="K50" s="40" t="str">
        <f aca="false">IF($I50="","",LEN($I50))</f>
        <v/>
      </c>
      <c r="L50" s="13"/>
      <c r="M50" s="13"/>
      <c r="N50" s="13"/>
      <c r="O50" s="13"/>
      <c r="P50" s="152"/>
      <c r="Q50" s="149"/>
      <c r="R50" s="152"/>
      <c r="S50" s="152"/>
      <c r="T50" s="62" t="str">
        <f aca="false">IF(OR($C50="",R50=""),"",IF(R50/IF($R$2="",100,$R$2)&gt;=設定!$I$28,設定!$G$8,IF(R50/IF($R$2="",100,$R$2)&lt;設定!$I$29,設定!$G$10,設定!$G$9)))</f>
        <v/>
      </c>
      <c r="U50" s="62" t="str">
        <f aca="false">IF(OR($C50="",S50=""),"",IF(S50/IF($S$2="",100,$S$2)&gt;=設定!$I$28,設定!$G$8,IF(S50/IF($S$2="",100,$S$2)&lt;設定!$I$29,設定!$G$10,設定!$G$9)))</f>
        <v/>
      </c>
    </row>
    <row r="51" customFormat="false" ht="21" hidden="false" customHeight="true" outlineLevel="0" collapsed="false">
      <c r="A51" s="91" t="str">
        <f aca="false">IF(名簿!$D51="","",名簿!$B51&amp;"")</f>
        <v/>
      </c>
      <c r="B51" s="91" t="str">
        <f aca="false">IF(名簿!$D51="","",名簿!$C51)</f>
        <v/>
      </c>
      <c r="C51" s="59" t="str">
        <f aca="false">IF(名簿!$D51="","",名簿!$D51&amp;IF(名簿!$F51="転出","（転出）",""))</f>
        <v/>
      </c>
      <c r="D51" s="149"/>
      <c r="E51" s="61" t="str">
        <f aca="false">IF(OR($C51="",名簿!$F51="転出"),"",IF($C$2="学級ごと",$A51,IF($C$2="前の単元と同じ",単元08!$E51&amp;"",$D51&amp;"")))</f>
        <v/>
      </c>
      <c r="F51" s="150"/>
      <c r="G51" s="150"/>
      <c r="H51" s="150"/>
      <c r="I51" s="151"/>
      <c r="J51" s="41" t="str">
        <f aca="false">IF($E51="","",$E51&amp;"|"&amp;COUNTIF($E$5:$E51,$E51))</f>
        <v/>
      </c>
      <c r="K51" s="40" t="str">
        <f aca="false">IF($I51="","",LEN($I51))</f>
        <v/>
      </c>
      <c r="L51" s="13"/>
      <c r="M51" s="13"/>
      <c r="N51" s="13"/>
      <c r="O51" s="13"/>
      <c r="P51" s="152"/>
      <c r="Q51" s="149"/>
      <c r="R51" s="152"/>
      <c r="S51" s="152"/>
      <c r="T51" s="62" t="str">
        <f aca="false">IF(OR($C51="",R51=""),"",IF(R51/IF($R$2="",100,$R$2)&gt;=設定!$I$28,設定!$G$8,IF(R51/IF($R$2="",100,$R$2)&lt;設定!$I$29,設定!$G$10,設定!$G$9)))</f>
        <v/>
      </c>
      <c r="U51" s="62" t="str">
        <f aca="false">IF(OR($C51="",S51=""),"",IF(S51/IF($S$2="",100,$S$2)&gt;=設定!$I$28,設定!$G$8,IF(S51/IF($S$2="",100,$S$2)&lt;設定!$I$29,設定!$G$10,設定!$G$9)))</f>
        <v/>
      </c>
    </row>
    <row r="52" customFormat="false" ht="21" hidden="false" customHeight="true" outlineLevel="0" collapsed="false">
      <c r="A52" s="91" t="str">
        <f aca="false">IF(名簿!$D52="","",名簿!$B52&amp;"")</f>
        <v/>
      </c>
      <c r="B52" s="91" t="str">
        <f aca="false">IF(名簿!$D52="","",名簿!$C52)</f>
        <v/>
      </c>
      <c r="C52" s="59" t="str">
        <f aca="false">IF(名簿!$D52="","",名簿!$D52&amp;IF(名簿!$F52="転出","（転出）",""))</f>
        <v/>
      </c>
      <c r="D52" s="149"/>
      <c r="E52" s="61" t="str">
        <f aca="false">IF(OR($C52="",名簿!$F52="転出"),"",IF($C$2="学級ごと",$A52,IF($C$2="前の単元と同じ",単元08!$E52&amp;"",$D52&amp;"")))</f>
        <v/>
      </c>
      <c r="F52" s="150"/>
      <c r="G52" s="150"/>
      <c r="H52" s="150"/>
      <c r="I52" s="151"/>
      <c r="J52" s="41" t="str">
        <f aca="false">IF($E52="","",$E52&amp;"|"&amp;COUNTIF($E$5:$E52,$E52))</f>
        <v/>
      </c>
      <c r="K52" s="40" t="str">
        <f aca="false">IF($I52="","",LEN($I52))</f>
        <v/>
      </c>
      <c r="L52" s="13"/>
      <c r="M52" s="13"/>
      <c r="N52" s="13"/>
      <c r="O52" s="13"/>
      <c r="P52" s="152"/>
      <c r="Q52" s="149"/>
      <c r="R52" s="152"/>
      <c r="S52" s="152"/>
      <c r="T52" s="62" t="str">
        <f aca="false">IF(OR($C52="",R52=""),"",IF(R52/IF($R$2="",100,$R$2)&gt;=設定!$I$28,設定!$G$8,IF(R52/IF($R$2="",100,$R$2)&lt;設定!$I$29,設定!$G$10,設定!$G$9)))</f>
        <v/>
      </c>
      <c r="U52" s="62" t="str">
        <f aca="false">IF(OR($C52="",S52=""),"",IF(S52/IF($S$2="",100,$S$2)&gt;=設定!$I$28,設定!$G$8,IF(S52/IF($S$2="",100,$S$2)&lt;設定!$I$29,設定!$G$10,設定!$G$9)))</f>
        <v/>
      </c>
    </row>
    <row r="53" customFormat="false" ht="21" hidden="false" customHeight="true" outlineLevel="0" collapsed="false">
      <c r="A53" s="91" t="str">
        <f aca="false">IF(名簿!$D53="","",名簿!$B53&amp;"")</f>
        <v/>
      </c>
      <c r="B53" s="91" t="str">
        <f aca="false">IF(名簿!$D53="","",名簿!$C53)</f>
        <v/>
      </c>
      <c r="C53" s="59" t="str">
        <f aca="false">IF(名簿!$D53="","",名簿!$D53&amp;IF(名簿!$F53="転出","（転出）",""))</f>
        <v/>
      </c>
      <c r="D53" s="149"/>
      <c r="E53" s="61" t="str">
        <f aca="false">IF(OR($C53="",名簿!$F53="転出"),"",IF($C$2="学級ごと",$A53,IF($C$2="前の単元と同じ",単元08!$E53&amp;"",$D53&amp;"")))</f>
        <v/>
      </c>
      <c r="F53" s="150"/>
      <c r="G53" s="150"/>
      <c r="H53" s="150"/>
      <c r="I53" s="151"/>
      <c r="J53" s="41" t="str">
        <f aca="false">IF($E53="","",$E53&amp;"|"&amp;COUNTIF($E$5:$E53,$E53))</f>
        <v/>
      </c>
      <c r="K53" s="40" t="str">
        <f aca="false">IF($I53="","",LEN($I53))</f>
        <v/>
      </c>
      <c r="L53" s="13"/>
      <c r="M53" s="13"/>
      <c r="N53" s="13"/>
      <c r="O53" s="13"/>
      <c r="P53" s="152"/>
      <c r="Q53" s="149"/>
      <c r="R53" s="152"/>
      <c r="S53" s="152"/>
      <c r="T53" s="62" t="str">
        <f aca="false">IF(OR($C53="",R53=""),"",IF(R53/IF($R$2="",100,$R$2)&gt;=設定!$I$28,設定!$G$8,IF(R53/IF($R$2="",100,$R$2)&lt;設定!$I$29,設定!$G$10,設定!$G$9)))</f>
        <v/>
      </c>
      <c r="U53" s="62" t="str">
        <f aca="false">IF(OR($C53="",S53=""),"",IF(S53/IF($S$2="",100,$S$2)&gt;=設定!$I$28,設定!$G$8,IF(S53/IF($S$2="",100,$S$2)&lt;設定!$I$29,設定!$G$10,設定!$G$9)))</f>
        <v/>
      </c>
    </row>
    <row r="54" customFormat="false" ht="21" hidden="false" customHeight="true" outlineLevel="0" collapsed="false">
      <c r="A54" s="91" t="str">
        <f aca="false">IF(名簿!$D54="","",名簿!$B54&amp;"")</f>
        <v/>
      </c>
      <c r="B54" s="91" t="str">
        <f aca="false">IF(名簿!$D54="","",名簿!$C54)</f>
        <v/>
      </c>
      <c r="C54" s="59" t="str">
        <f aca="false">IF(名簿!$D54="","",名簿!$D54&amp;IF(名簿!$F54="転出","（転出）",""))</f>
        <v/>
      </c>
      <c r="D54" s="149"/>
      <c r="E54" s="61" t="str">
        <f aca="false">IF(OR($C54="",名簿!$F54="転出"),"",IF($C$2="学級ごと",$A54,IF($C$2="前の単元と同じ",単元08!$E54&amp;"",$D54&amp;"")))</f>
        <v/>
      </c>
      <c r="F54" s="150"/>
      <c r="G54" s="150"/>
      <c r="H54" s="150"/>
      <c r="I54" s="151"/>
      <c r="J54" s="41" t="str">
        <f aca="false">IF($E54="","",$E54&amp;"|"&amp;COUNTIF($E$5:$E54,$E54))</f>
        <v/>
      </c>
      <c r="K54" s="40" t="str">
        <f aca="false">IF($I54="","",LEN($I54))</f>
        <v/>
      </c>
      <c r="L54" s="13"/>
      <c r="M54" s="13"/>
      <c r="N54" s="13"/>
      <c r="O54" s="13"/>
      <c r="P54" s="152"/>
      <c r="Q54" s="149"/>
      <c r="R54" s="152"/>
      <c r="S54" s="152"/>
      <c r="T54" s="62" t="str">
        <f aca="false">IF(OR($C54="",R54=""),"",IF(R54/IF($R$2="",100,$R$2)&gt;=設定!$I$28,設定!$G$8,IF(R54/IF($R$2="",100,$R$2)&lt;設定!$I$29,設定!$G$10,設定!$G$9)))</f>
        <v/>
      </c>
      <c r="U54" s="62" t="str">
        <f aca="false">IF(OR($C54="",S54=""),"",IF(S54/IF($S$2="",100,$S$2)&gt;=設定!$I$28,設定!$G$8,IF(S54/IF($S$2="",100,$S$2)&lt;設定!$I$29,設定!$G$10,設定!$G$9)))</f>
        <v/>
      </c>
    </row>
    <row r="55" customFormat="false" ht="21" hidden="false" customHeight="true" outlineLevel="0" collapsed="false">
      <c r="A55" s="91" t="str">
        <f aca="false">IF(名簿!$D55="","",名簿!$B55&amp;"")</f>
        <v/>
      </c>
      <c r="B55" s="91" t="str">
        <f aca="false">IF(名簿!$D55="","",名簿!$C55)</f>
        <v/>
      </c>
      <c r="C55" s="59" t="str">
        <f aca="false">IF(名簿!$D55="","",名簿!$D55&amp;IF(名簿!$F55="転出","（転出）",""))</f>
        <v/>
      </c>
      <c r="D55" s="149"/>
      <c r="E55" s="61" t="str">
        <f aca="false">IF(OR($C55="",名簿!$F55="転出"),"",IF($C$2="学級ごと",$A55,IF($C$2="前の単元と同じ",単元08!$E55&amp;"",$D55&amp;"")))</f>
        <v/>
      </c>
      <c r="F55" s="150"/>
      <c r="G55" s="150"/>
      <c r="H55" s="150"/>
      <c r="I55" s="151"/>
      <c r="J55" s="41" t="str">
        <f aca="false">IF($E55="","",$E55&amp;"|"&amp;COUNTIF($E$5:$E55,$E55))</f>
        <v/>
      </c>
      <c r="K55" s="40" t="str">
        <f aca="false">IF($I55="","",LEN($I55))</f>
        <v/>
      </c>
      <c r="L55" s="13"/>
      <c r="M55" s="13"/>
      <c r="N55" s="13"/>
      <c r="O55" s="13"/>
      <c r="P55" s="152"/>
      <c r="Q55" s="149"/>
      <c r="R55" s="152"/>
      <c r="S55" s="152"/>
      <c r="T55" s="62" t="str">
        <f aca="false">IF(OR($C55="",R55=""),"",IF(R55/IF($R$2="",100,$R$2)&gt;=設定!$I$28,設定!$G$8,IF(R55/IF($R$2="",100,$R$2)&lt;設定!$I$29,設定!$G$10,設定!$G$9)))</f>
        <v/>
      </c>
      <c r="U55" s="62" t="str">
        <f aca="false">IF(OR($C55="",S55=""),"",IF(S55/IF($S$2="",100,$S$2)&gt;=設定!$I$28,設定!$G$8,IF(S55/IF($S$2="",100,$S$2)&lt;設定!$I$29,設定!$G$10,設定!$G$9)))</f>
        <v/>
      </c>
    </row>
    <row r="56" customFormat="false" ht="21" hidden="false" customHeight="true" outlineLevel="0" collapsed="false">
      <c r="A56" s="91" t="str">
        <f aca="false">IF(名簿!$D56="","",名簿!$B56&amp;"")</f>
        <v/>
      </c>
      <c r="B56" s="91" t="str">
        <f aca="false">IF(名簿!$D56="","",名簿!$C56)</f>
        <v/>
      </c>
      <c r="C56" s="59" t="str">
        <f aca="false">IF(名簿!$D56="","",名簿!$D56&amp;IF(名簿!$F56="転出","（転出）",""))</f>
        <v/>
      </c>
      <c r="D56" s="149"/>
      <c r="E56" s="61" t="str">
        <f aca="false">IF(OR($C56="",名簿!$F56="転出"),"",IF($C$2="学級ごと",$A56,IF($C$2="前の単元と同じ",単元08!$E56&amp;"",$D56&amp;"")))</f>
        <v/>
      </c>
      <c r="F56" s="150"/>
      <c r="G56" s="150"/>
      <c r="H56" s="150"/>
      <c r="I56" s="151"/>
      <c r="J56" s="41" t="str">
        <f aca="false">IF($E56="","",$E56&amp;"|"&amp;COUNTIF($E$5:$E56,$E56))</f>
        <v/>
      </c>
      <c r="K56" s="40" t="str">
        <f aca="false">IF($I56="","",LEN($I56))</f>
        <v/>
      </c>
      <c r="L56" s="13"/>
      <c r="M56" s="13"/>
      <c r="N56" s="13"/>
      <c r="O56" s="13"/>
      <c r="P56" s="152"/>
      <c r="Q56" s="149"/>
      <c r="R56" s="152"/>
      <c r="S56" s="152"/>
      <c r="T56" s="62" t="str">
        <f aca="false">IF(OR($C56="",R56=""),"",IF(R56/IF($R$2="",100,$R$2)&gt;=設定!$I$28,設定!$G$8,IF(R56/IF($R$2="",100,$R$2)&lt;設定!$I$29,設定!$G$10,設定!$G$9)))</f>
        <v/>
      </c>
      <c r="U56" s="62" t="str">
        <f aca="false">IF(OR($C56="",S56=""),"",IF(S56/IF($S$2="",100,$S$2)&gt;=設定!$I$28,設定!$G$8,IF(S56/IF($S$2="",100,$S$2)&lt;設定!$I$29,設定!$G$10,設定!$G$9)))</f>
        <v/>
      </c>
    </row>
    <row r="57" customFormat="false" ht="21" hidden="false" customHeight="true" outlineLevel="0" collapsed="false">
      <c r="A57" s="91" t="str">
        <f aca="false">IF(名簿!$D57="","",名簿!$B57&amp;"")</f>
        <v/>
      </c>
      <c r="B57" s="91" t="str">
        <f aca="false">IF(名簿!$D57="","",名簿!$C57)</f>
        <v/>
      </c>
      <c r="C57" s="59" t="str">
        <f aca="false">IF(名簿!$D57="","",名簿!$D57&amp;IF(名簿!$F57="転出","（転出）",""))</f>
        <v/>
      </c>
      <c r="D57" s="149"/>
      <c r="E57" s="61" t="str">
        <f aca="false">IF(OR($C57="",名簿!$F57="転出"),"",IF($C$2="学級ごと",$A57,IF($C$2="前の単元と同じ",単元08!$E57&amp;"",$D57&amp;"")))</f>
        <v/>
      </c>
      <c r="F57" s="150"/>
      <c r="G57" s="150"/>
      <c r="H57" s="150"/>
      <c r="I57" s="151"/>
      <c r="J57" s="41" t="str">
        <f aca="false">IF($E57="","",$E57&amp;"|"&amp;COUNTIF($E$5:$E57,$E57))</f>
        <v/>
      </c>
      <c r="K57" s="40" t="str">
        <f aca="false">IF($I57="","",LEN($I57))</f>
        <v/>
      </c>
      <c r="L57" s="13"/>
      <c r="M57" s="13"/>
      <c r="N57" s="13"/>
      <c r="O57" s="13"/>
      <c r="P57" s="152"/>
      <c r="Q57" s="149"/>
      <c r="R57" s="152"/>
      <c r="S57" s="152"/>
      <c r="T57" s="62" t="str">
        <f aca="false">IF(OR($C57="",R57=""),"",IF(R57/IF($R$2="",100,$R$2)&gt;=設定!$I$28,設定!$G$8,IF(R57/IF($R$2="",100,$R$2)&lt;設定!$I$29,設定!$G$10,設定!$G$9)))</f>
        <v/>
      </c>
      <c r="U57" s="62" t="str">
        <f aca="false">IF(OR($C57="",S57=""),"",IF(S57/IF($S$2="",100,$S$2)&gt;=設定!$I$28,設定!$G$8,IF(S57/IF($S$2="",100,$S$2)&lt;設定!$I$29,設定!$G$10,設定!$G$9)))</f>
        <v/>
      </c>
    </row>
    <row r="58" customFormat="false" ht="21" hidden="false" customHeight="true" outlineLevel="0" collapsed="false">
      <c r="A58" s="91" t="str">
        <f aca="false">IF(名簿!$D58="","",名簿!$B58&amp;"")</f>
        <v/>
      </c>
      <c r="B58" s="91" t="str">
        <f aca="false">IF(名簿!$D58="","",名簿!$C58)</f>
        <v/>
      </c>
      <c r="C58" s="59" t="str">
        <f aca="false">IF(名簿!$D58="","",名簿!$D58&amp;IF(名簿!$F58="転出","（転出）",""))</f>
        <v/>
      </c>
      <c r="D58" s="149"/>
      <c r="E58" s="61" t="str">
        <f aca="false">IF(OR($C58="",名簿!$F58="転出"),"",IF($C$2="学級ごと",$A58,IF($C$2="前の単元と同じ",単元08!$E58&amp;"",$D58&amp;"")))</f>
        <v/>
      </c>
      <c r="F58" s="150"/>
      <c r="G58" s="150"/>
      <c r="H58" s="150"/>
      <c r="I58" s="151"/>
      <c r="J58" s="41" t="str">
        <f aca="false">IF($E58="","",$E58&amp;"|"&amp;COUNTIF($E$5:$E58,$E58))</f>
        <v/>
      </c>
      <c r="K58" s="40" t="str">
        <f aca="false">IF($I58="","",LEN($I58))</f>
        <v/>
      </c>
      <c r="L58" s="13"/>
      <c r="M58" s="13"/>
      <c r="N58" s="13"/>
      <c r="O58" s="13"/>
      <c r="P58" s="152"/>
      <c r="Q58" s="149"/>
      <c r="R58" s="152"/>
      <c r="S58" s="152"/>
      <c r="T58" s="62" t="str">
        <f aca="false">IF(OR($C58="",R58=""),"",IF(R58/IF($R$2="",100,$R$2)&gt;=設定!$I$28,設定!$G$8,IF(R58/IF($R$2="",100,$R$2)&lt;設定!$I$29,設定!$G$10,設定!$G$9)))</f>
        <v/>
      </c>
      <c r="U58" s="62" t="str">
        <f aca="false">IF(OR($C58="",S58=""),"",IF(S58/IF($S$2="",100,$S$2)&gt;=設定!$I$28,設定!$G$8,IF(S58/IF($S$2="",100,$S$2)&lt;設定!$I$29,設定!$G$10,設定!$G$9)))</f>
        <v/>
      </c>
    </row>
    <row r="59" customFormat="false" ht="21" hidden="false" customHeight="true" outlineLevel="0" collapsed="false">
      <c r="A59" s="91" t="str">
        <f aca="false">IF(名簿!$D59="","",名簿!$B59&amp;"")</f>
        <v/>
      </c>
      <c r="B59" s="91" t="str">
        <f aca="false">IF(名簿!$D59="","",名簿!$C59)</f>
        <v/>
      </c>
      <c r="C59" s="59" t="str">
        <f aca="false">IF(名簿!$D59="","",名簿!$D59&amp;IF(名簿!$F59="転出","（転出）",""))</f>
        <v/>
      </c>
      <c r="D59" s="149"/>
      <c r="E59" s="61" t="str">
        <f aca="false">IF(OR($C59="",名簿!$F59="転出"),"",IF($C$2="学級ごと",$A59,IF($C$2="前の単元と同じ",単元08!$E59&amp;"",$D59&amp;"")))</f>
        <v/>
      </c>
      <c r="F59" s="150"/>
      <c r="G59" s="150"/>
      <c r="H59" s="150"/>
      <c r="I59" s="151"/>
      <c r="J59" s="41" t="str">
        <f aca="false">IF($E59="","",$E59&amp;"|"&amp;COUNTIF($E$5:$E59,$E59))</f>
        <v/>
      </c>
      <c r="K59" s="40" t="str">
        <f aca="false">IF($I59="","",LEN($I59))</f>
        <v/>
      </c>
      <c r="L59" s="13"/>
      <c r="M59" s="13"/>
      <c r="N59" s="13"/>
      <c r="O59" s="13"/>
      <c r="P59" s="152"/>
      <c r="Q59" s="149"/>
      <c r="R59" s="152"/>
      <c r="S59" s="152"/>
      <c r="T59" s="62" t="str">
        <f aca="false">IF(OR($C59="",R59=""),"",IF(R59/IF($R$2="",100,$R$2)&gt;=設定!$I$28,設定!$G$8,IF(R59/IF($R$2="",100,$R$2)&lt;設定!$I$29,設定!$G$10,設定!$G$9)))</f>
        <v/>
      </c>
      <c r="U59" s="62" t="str">
        <f aca="false">IF(OR($C59="",S59=""),"",IF(S59/IF($S$2="",100,$S$2)&gt;=設定!$I$28,設定!$G$8,IF(S59/IF($S$2="",100,$S$2)&lt;設定!$I$29,設定!$G$10,設定!$G$9)))</f>
        <v/>
      </c>
    </row>
    <row r="60" customFormat="false" ht="21" hidden="false" customHeight="true" outlineLevel="0" collapsed="false">
      <c r="A60" s="91" t="str">
        <f aca="false">IF(名簿!$D60="","",名簿!$B60&amp;"")</f>
        <v/>
      </c>
      <c r="B60" s="91" t="str">
        <f aca="false">IF(名簿!$D60="","",名簿!$C60)</f>
        <v/>
      </c>
      <c r="C60" s="59" t="str">
        <f aca="false">IF(名簿!$D60="","",名簿!$D60&amp;IF(名簿!$F60="転出","（転出）",""))</f>
        <v/>
      </c>
      <c r="D60" s="149"/>
      <c r="E60" s="61" t="str">
        <f aca="false">IF(OR($C60="",名簿!$F60="転出"),"",IF($C$2="学級ごと",$A60,IF($C$2="前の単元と同じ",単元08!$E60&amp;"",$D60&amp;"")))</f>
        <v/>
      </c>
      <c r="F60" s="150"/>
      <c r="G60" s="150"/>
      <c r="H60" s="150"/>
      <c r="I60" s="151"/>
      <c r="J60" s="41" t="str">
        <f aca="false">IF($E60="","",$E60&amp;"|"&amp;COUNTIF($E$5:$E60,$E60))</f>
        <v/>
      </c>
      <c r="K60" s="40" t="str">
        <f aca="false">IF($I60="","",LEN($I60))</f>
        <v/>
      </c>
      <c r="L60" s="13"/>
      <c r="M60" s="13"/>
      <c r="N60" s="13"/>
      <c r="O60" s="13"/>
      <c r="P60" s="152"/>
      <c r="Q60" s="149"/>
      <c r="R60" s="152"/>
      <c r="S60" s="152"/>
      <c r="T60" s="62" t="str">
        <f aca="false">IF(OR($C60="",R60=""),"",IF(R60/IF($R$2="",100,$R$2)&gt;=設定!$I$28,設定!$G$8,IF(R60/IF($R$2="",100,$R$2)&lt;設定!$I$29,設定!$G$10,設定!$G$9)))</f>
        <v/>
      </c>
      <c r="U60" s="62" t="str">
        <f aca="false">IF(OR($C60="",S60=""),"",IF(S60/IF($S$2="",100,$S$2)&gt;=設定!$I$28,設定!$G$8,IF(S60/IF($S$2="",100,$S$2)&lt;設定!$I$29,設定!$G$10,設定!$G$9)))</f>
        <v/>
      </c>
    </row>
    <row r="61" customFormat="false" ht="21" hidden="false" customHeight="true" outlineLevel="0" collapsed="false">
      <c r="A61" s="91" t="str">
        <f aca="false">IF(名簿!$D61="","",名簿!$B61&amp;"")</f>
        <v/>
      </c>
      <c r="B61" s="91" t="str">
        <f aca="false">IF(名簿!$D61="","",名簿!$C61)</f>
        <v/>
      </c>
      <c r="C61" s="59" t="str">
        <f aca="false">IF(名簿!$D61="","",名簿!$D61&amp;IF(名簿!$F61="転出","（転出）",""))</f>
        <v/>
      </c>
      <c r="D61" s="149"/>
      <c r="E61" s="61" t="str">
        <f aca="false">IF(OR($C61="",名簿!$F61="転出"),"",IF($C$2="学級ごと",$A61,IF($C$2="前の単元と同じ",単元08!$E61&amp;"",$D61&amp;"")))</f>
        <v/>
      </c>
      <c r="F61" s="150"/>
      <c r="G61" s="150"/>
      <c r="H61" s="150"/>
      <c r="I61" s="151"/>
      <c r="J61" s="41" t="str">
        <f aca="false">IF($E61="","",$E61&amp;"|"&amp;COUNTIF($E$5:$E61,$E61))</f>
        <v/>
      </c>
      <c r="K61" s="40" t="str">
        <f aca="false">IF($I61="","",LEN($I61))</f>
        <v/>
      </c>
      <c r="L61" s="13"/>
      <c r="M61" s="13"/>
      <c r="N61" s="13"/>
      <c r="O61" s="13"/>
      <c r="P61" s="152"/>
      <c r="Q61" s="149"/>
      <c r="R61" s="152"/>
      <c r="S61" s="152"/>
      <c r="T61" s="62" t="str">
        <f aca="false">IF(OR($C61="",R61=""),"",IF(R61/IF($R$2="",100,$R$2)&gt;=設定!$I$28,設定!$G$8,IF(R61/IF($R$2="",100,$R$2)&lt;設定!$I$29,設定!$G$10,設定!$G$9)))</f>
        <v/>
      </c>
      <c r="U61" s="62" t="str">
        <f aca="false">IF(OR($C61="",S61=""),"",IF(S61/IF($S$2="",100,$S$2)&gt;=設定!$I$28,設定!$G$8,IF(S61/IF($S$2="",100,$S$2)&lt;設定!$I$29,設定!$G$10,設定!$G$9)))</f>
        <v/>
      </c>
    </row>
    <row r="62" customFormat="false" ht="21" hidden="false" customHeight="true" outlineLevel="0" collapsed="false">
      <c r="A62" s="91" t="str">
        <f aca="false">IF(名簿!$D62="","",名簿!$B62&amp;"")</f>
        <v/>
      </c>
      <c r="B62" s="91" t="str">
        <f aca="false">IF(名簿!$D62="","",名簿!$C62)</f>
        <v/>
      </c>
      <c r="C62" s="59" t="str">
        <f aca="false">IF(名簿!$D62="","",名簿!$D62&amp;IF(名簿!$F62="転出","（転出）",""))</f>
        <v/>
      </c>
      <c r="D62" s="149"/>
      <c r="E62" s="61" t="str">
        <f aca="false">IF(OR($C62="",名簿!$F62="転出"),"",IF($C$2="学級ごと",$A62,IF($C$2="前の単元と同じ",単元08!$E62&amp;"",$D62&amp;"")))</f>
        <v/>
      </c>
      <c r="F62" s="150"/>
      <c r="G62" s="150"/>
      <c r="H62" s="150"/>
      <c r="I62" s="151"/>
      <c r="J62" s="41" t="str">
        <f aca="false">IF($E62="","",$E62&amp;"|"&amp;COUNTIF($E$5:$E62,$E62))</f>
        <v/>
      </c>
      <c r="K62" s="40" t="str">
        <f aca="false">IF($I62="","",LEN($I62))</f>
        <v/>
      </c>
      <c r="L62" s="13"/>
      <c r="M62" s="13"/>
      <c r="N62" s="13"/>
      <c r="O62" s="13"/>
      <c r="P62" s="152"/>
      <c r="Q62" s="149"/>
      <c r="R62" s="152"/>
      <c r="S62" s="152"/>
      <c r="T62" s="62" t="str">
        <f aca="false">IF(OR($C62="",R62=""),"",IF(R62/IF($R$2="",100,$R$2)&gt;=設定!$I$28,設定!$G$8,IF(R62/IF($R$2="",100,$R$2)&lt;設定!$I$29,設定!$G$10,設定!$G$9)))</f>
        <v/>
      </c>
      <c r="U62" s="62" t="str">
        <f aca="false">IF(OR($C62="",S62=""),"",IF(S62/IF($S$2="",100,$S$2)&gt;=設定!$I$28,設定!$G$8,IF(S62/IF($S$2="",100,$S$2)&lt;設定!$I$29,設定!$G$10,設定!$G$9)))</f>
        <v/>
      </c>
    </row>
    <row r="63" customFormat="false" ht="21" hidden="false" customHeight="true" outlineLevel="0" collapsed="false">
      <c r="A63" s="91" t="str">
        <f aca="false">IF(名簿!$D63="","",名簿!$B63&amp;"")</f>
        <v/>
      </c>
      <c r="B63" s="91" t="str">
        <f aca="false">IF(名簿!$D63="","",名簿!$C63)</f>
        <v/>
      </c>
      <c r="C63" s="59" t="str">
        <f aca="false">IF(名簿!$D63="","",名簿!$D63&amp;IF(名簿!$F63="転出","（転出）",""))</f>
        <v/>
      </c>
      <c r="D63" s="149"/>
      <c r="E63" s="61" t="str">
        <f aca="false">IF(OR($C63="",名簿!$F63="転出"),"",IF($C$2="学級ごと",$A63,IF($C$2="前の単元と同じ",単元08!$E63&amp;"",$D63&amp;"")))</f>
        <v/>
      </c>
      <c r="F63" s="150"/>
      <c r="G63" s="150"/>
      <c r="H63" s="150"/>
      <c r="I63" s="151"/>
      <c r="J63" s="41" t="str">
        <f aca="false">IF($E63="","",$E63&amp;"|"&amp;COUNTIF($E$5:$E63,$E63))</f>
        <v/>
      </c>
      <c r="K63" s="40" t="str">
        <f aca="false">IF($I63="","",LEN($I63))</f>
        <v/>
      </c>
      <c r="L63" s="13"/>
      <c r="M63" s="13"/>
      <c r="N63" s="13"/>
      <c r="O63" s="13"/>
      <c r="P63" s="152"/>
      <c r="Q63" s="149"/>
      <c r="R63" s="152"/>
      <c r="S63" s="152"/>
      <c r="T63" s="62" t="str">
        <f aca="false">IF(OR($C63="",R63=""),"",IF(R63/IF($R$2="",100,$R$2)&gt;=設定!$I$28,設定!$G$8,IF(R63/IF($R$2="",100,$R$2)&lt;設定!$I$29,設定!$G$10,設定!$G$9)))</f>
        <v/>
      </c>
      <c r="U63" s="62" t="str">
        <f aca="false">IF(OR($C63="",S63=""),"",IF(S63/IF($S$2="",100,$S$2)&gt;=設定!$I$28,設定!$G$8,IF(S63/IF($S$2="",100,$S$2)&lt;設定!$I$29,設定!$G$10,設定!$G$9)))</f>
        <v/>
      </c>
    </row>
    <row r="64" customFormat="false" ht="21" hidden="false" customHeight="true" outlineLevel="0" collapsed="false">
      <c r="A64" s="91" t="str">
        <f aca="false">IF(名簿!$D64="","",名簿!$B64&amp;"")</f>
        <v/>
      </c>
      <c r="B64" s="91" t="str">
        <f aca="false">IF(名簿!$D64="","",名簿!$C64)</f>
        <v/>
      </c>
      <c r="C64" s="59" t="str">
        <f aca="false">IF(名簿!$D64="","",名簿!$D64&amp;IF(名簿!$F64="転出","（転出）",""))</f>
        <v/>
      </c>
      <c r="D64" s="149"/>
      <c r="E64" s="61" t="str">
        <f aca="false">IF(OR($C64="",名簿!$F64="転出"),"",IF($C$2="学級ごと",$A64,IF($C$2="前の単元と同じ",単元08!$E64&amp;"",$D64&amp;"")))</f>
        <v/>
      </c>
      <c r="F64" s="150"/>
      <c r="G64" s="150"/>
      <c r="H64" s="150"/>
      <c r="I64" s="151"/>
      <c r="J64" s="41" t="str">
        <f aca="false">IF($E64="","",$E64&amp;"|"&amp;COUNTIF($E$5:$E64,$E64))</f>
        <v/>
      </c>
      <c r="K64" s="40" t="str">
        <f aca="false">IF($I64="","",LEN($I64))</f>
        <v/>
      </c>
      <c r="L64" s="13"/>
      <c r="M64" s="13"/>
      <c r="N64" s="13"/>
      <c r="O64" s="13"/>
      <c r="P64" s="152"/>
      <c r="Q64" s="149"/>
      <c r="R64" s="152"/>
      <c r="S64" s="152"/>
      <c r="T64" s="62" t="str">
        <f aca="false">IF(OR($C64="",R64=""),"",IF(R64/IF($R$2="",100,$R$2)&gt;=設定!$I$28,設定!$G$8,IF(R64/IF($R$2="",100,$R$2)&lt;設定!$I$29,設定!$G$10,設定!$G$9)))</f>
        <v/>
      </c>
      <c r="U64" s="62" t="str">
        <f aca="false">IF(OR($C64="",S64=""),"",IF(S64/IF($S$2="",100,$S$2)&gt;=設定!$I$28,設定!$G$8,IF(S64/IF($S$2="",100,$S$2)&lt;設定!$I$29,設定!$G$10,設定!$G$9)))</f>
        <v/>
      </c>
    </row>
    <row r="65" customFormat="false" ht="21" hidden="false" customHeight="true" outlineLevel="0" collapsed="false">
      <c r="A65" s="91" t="str">
        <f aca="false">IF(名簿!$D65="","",名簿!$B65&amp;"")</f>
        <v/>
      </c>
      <c r="B65" s="91" t="str">
        <f aca="false">IF(名簿!$D65="","",名簿!$C65)</f>
        <v/>
      </c>
      <c r="C65" s="59" t="str">
        <f aca="false">IF(名簿!$D65="","",名簿!$D65&amp;IF(名簿!$F65="転出","（転出）",""))</f>
        <v/>
      </c>
      <c r="D65" s="149"/>
      <c r="E65" s="61" t="str">
        <f aca="false">IF(OR($C65="",名簿!$F65="転出"),"",IF($C$2="学級ごと",$A65,IF($C$2="前の単元と同じ",単元08!$E65&amp;"",$D65&amp;"")))</f>
        <v/>
      </c>
      <c r="F65" s="150"/>
      <c r="G65" s="150"/>
      <c r="H65" s="150"/>
      <c r="I65" s="151"/>
      <c r="J65" s="41" t="str">
        <f aca="false">IF($E65="","",$E65&amp;"|"&amp;COUNTIF($E$5:$E65,$E65))</f>
        <v/>
      </c>
      <c r="K65" s="40" t="str">
        <f aca="false">IF($I65="","",LEN($I65))</f>
        <v/>
      </c>
      <c r="L65" s="13"/>
      <c r="M65" s="13"/>
      <c r="N65" s="13"/>
      <c r="O65" s="13"/>
      <c r="P65" s="152"/>
      <c r="Q65" s="149"/>
      <c r="R65" s="152"/>
      <c r="S65" s="152"/>
      <c r="T65" s="62" t="str">
        <f aca="false">IF(OR($C65="",R65=""),"",IF(R65/IF($R$2="",100,$R$2)&gt;=設定!$I$28,設定!$G$8,IF(R65/IF($R$2="",100,$R$2)&lt;設定!$I$29,設定!$G$10,設定!$G$9)))</f>
        <v/>
      </c>
      <c r="U65" s="62" t="str">
        <f aca="false">IF(OR($C65="",S65=""),"",IF(S65/IF($S$2="",100,$S$2)&gt;=設定!$I$28,設定!$G$8,IF(S65/IF($S$2="",100,$S$2)&lt;設定!$I$29,設定!$G$10,設定!$G$9)))</f>
        <v/>
      </c>
    </row>
    <row r="66" customFormat="false" ht="21" hidden="false" customHeight="true" outlineLevel="0" collapsed="false">
      <c r="A66" s="91" t="str">
        <f aca="false">IF(名簿!$D66="","",名簿!$B66&amp;"")</f>
        <v/>
      </c>
      <c r="B66" s="91" t="str">
        <f aca="false">IF(名簿!$D66="","",名簿!$C66)</f>
        <v/>
      </c>
      <c r="C66" s="59" t="str">
        <f aca="false">IF(名簿!$D66="","",名簿!$D66&amp;IF(名簿!$F66="転出","（転出）",""))</f>
        <v/>
      </c>
      <c r="D66" s="149"/>
      <c r="E66" s="61" t="str">
        <f aca="false">IF(OR($C66="",名簿!$F66="転出"),"",IF($C$2="学級ごと",$A66,IF($C$2="前の単元と同じ",単元08!$E66&amp;"",$D66&amp;"")))</f>
        <v/>
      </c>
      <c r="F66" s="150"/>
      <c r="G66" s="150"/>
      <c r="H66" s="150"/>
      <c r="I66" s="151"/>
      <c r="J66" s="41" t="str">
        <f aca="false">IF($E66="","",$E66&amp;"|"&amp;COUNTIF($E$5:$E66,$E66))</f>
        <v/>
      </c>
      <c r="K66" s="40" t="str">
        <f aca="false">IF($I66="","",LEN($I66))</f>
        <v/>
      </c>
      <c r="L66" s="13"/>
      <c r="M66" s="13"/>
      <c r="N66" s="13"/>
      <c r="O66" s="13"/>
      <c r="P66" s="152"/>
      <c r="Q66" s="149"/>
      <c r="R66" s="152"/>
      <c r="S66" s="152"/>
      <c r="T66" s="62" t="str">
        <f aca="false">IF(OR($C66="",R66=""),"",IF(R66/IF($R$2="",100,$R$2)&gt;=設定!$I$28,設定!$G$8,IF(R66/IF($R$2="",100,$R$2)&lt;設定!$I$29,設定!$G$10,設定!$G$9)))</f>
        <v/>
      </c>
      <c r="U66" s="62" t="str">
        <f aca="false">IF(OR($C66="",S66=""),"",IF(S66/IF($S$2="",100,$S$2)&gt;=設定!$I$28,設定!$G$8,IF(S66/IF($S$2="",100,$S$2)&lt;設定!$I$29,設定!$G$10,設定!$G$9)))</f>
        <v/>
      </c>
    </row>
    <row r="67" customFormat="false" ht="21" hidden="false" customHeight="true" outlineLevel="0" collapsed="false">
      <c r="A67" s="91" t="str">
        <f aca="false">IF(名簿!$D67="","",名簿!$B67&amp;"")</f>
        <v/>
      </c>
      <c r="B67" s="91" t="str">
        <f aca="false">IF(名簿!$D67="","",名簿!$C67)</f>
        <v/>
      </c>
      <c r="C67" s="59" t="str">
        <f aca="false">IF(名簿!$D67="","",名簿!$D67&amp;IF(名簿!$F67="転出","（転出）",""))</f>
        <v/>
      </c>
      <c r="D67" s="149"/>
      <c r="E67" s="61" t="str">
        <f aca="false">IF(OR($C67="",名簿!$F67="転出"),"",IF($C$2="学級ごと",$A67,IF($C$2="前の単元と同じ",単元08!$E67&amp;"",$D67&amp;"")))</f>
        <v/>
      </c>
      <c r="F67" s="150"/>
      <c r="G67" s="150"/>
      <c r="H67" s="150"/>
      <c r="I67" s="151"/>
      <c r="J67" s="41" t="str">
        <f aca="false">IF($E67="","",$E67&amp;"|"&amp;COUNTIF($E$5:$E67,$E67))</f>
        <v/>
      </c>
      <c r="K67" s="40" t="str">
        <f aca="false">IF($I67="","",LEN($I67))</f>
        <v/>
      </c>
      <c r="L67" s="13"/>
      <c r="M67" s="13"/>
      <c r="N67" s="13"/>
      <c r="O67" s="13"/>
      <c r="P67" s="152"/>
      <c r="Q67" s="149"/>
      <c r="R67" s="152"/>
      <c r="S67" s="152"/>
      <c r="T67" s="62" t="str">
        <f aca="false">IF(OR($C67="",R67=""),"",IF(R67/IF($R$2="",100,$R$2)&gt;=設定!$I$28,設定!$G$8,IF(R67/IF($R$2="",100,$R$2)&lt;設定!$I$29,設定!$G$10,設定!$G$9)))</f>
        <v/>
      </c>
      <c r="U67" s="62" t="str">
        <f aca="false">IF(OR($C67="",S67=""),"",IF(S67/IF($S$2="",100,$S$2)&gt;=設定!$I$28,設定!$G$8,IF(S67/IF($S$2="",100,$S$2)&lt;設定!$I$29,設定!$G$10,設定!$G$9)))</f>
        <v/>
      </c>
    </row>
    <row r="68" customFormat="false" ht="21" hidden="false" customHeight="true" outlineLevel="0" collapsed="false">
      <c r="A68" s="91" t="str">
        <f aca="false">IF(名簿!$D68="","",名簿!$B68&amp;"")</f>
        <v/>
      </c>
      <c r="B68" s="91" t="str">
        <f aca="false">IF(名簿!$D68="","",名簿!$C68)</f>
        <v/>
      </c>
      <c r="C68" s="59" t="str">
        <f aca="false">IF(名簿!$D68="","",名簿!$D68&amp;IF(名簿!$F68="転出","（転出）",""))</f>
        <v/>
      </c>
      <c r="D68" s="149"/>
      <c r="E68" s="61" t="str">
        <f aca="false">IF(OR($C68="",名簿!$F68="転出"),"",IF($C$2="学級ごと",$A68,IF($C$2="前の単元と同じ",単元08!$E68&amp;"",$D68&amp;"")))</f>
        <v/>
      </c>
      <c r="F68" s="150"/>
      <c r="G68" s="150"/>
      <c r="H68" s="150"/>
      <c r="I68" s="151"/>
      <c r="J68" s="41" t="str">
        <f aca="false">IF($E68="","",$E68&amp;"|"&amp;COUNTIF($E$5:$E68,$E68))</f>
        <v/>
      </c>
      <c r="K68" s="40" t="str">
        <f aca="false">IF($I68="","",LEN($I68))</f>
        <v/>
      </c>
      <c r="L68" s="13"/>
      <c r="M68" s="13"/>
      <c r="N68" s="13"/>
      <c r="O68" s="13"/>
      <c r="P68" s="152"/>
      <c r="Q68" s="149"/>
      <c r="R68" s="152"/>
      <c r="S68" s="152"/>
      <c r="T68" s="62" t="str">
        <f aca="false">IF(OR($C68="",R68=""),"",IF(R68/IF($R$2="",100,$R$2)&gt;=設定!$I$28,設定!$G$8,IF(R68/IF($R$2="",100,$R$2)&lt;設定!$I$29,設定!$G$10,設定!$G$9)))</f>
        <v/>
      </c>
      <c r="U68" s="62" t="str">
        <f aca="false">IF(OR($C68="",S68=""),"",IF(S68/IF($S$2="",100,$S$2)&gt;=設定!$I$28,設定!$G$8,IF(S68/IF($S$2="",100,$S$2)&lt;設定!$I$29,設定!$G$10,設定!$G$9)))</f>
        <v/>
      </c>
    </row>
    <row r="69" customFormat="false" ht="21" hidden="false" customHeight="true" outlineLevel="0" collapsed="false">
      <c r="A69" s="91" t="str">
        <f aca="false">IF(名簿!$D69="","",名簿!$B69&amp;"")</f>
        <v/>
      </c>
      <c r="B69" s="91" t="str">
        <f aca="false">IF(名簿!$D69="","",名簿!$C69)</f>
        <v/>
      </c>
      <c r="C69" s="59" t="str">
        <f aca="false">IF(名簿!$D69="","",名簿!$D69&amp;IF(名簿!$F69="転出","（転出）",""))</f>
        <v/>
      </c>
      <c r="D69" s="149"/>
      <c r="E69" s="61" t="str">
        <f aca="false">IF(OR($C69="",名簿!$F69="転出"),"",IF($C$2="学級ごと",$A69,IF($C$2="前の単元と同じ",単元08!$E69&amp;"",$D69&amp;"")))</f>
        <v/>
      </c>
      <c r="F69" s="150"/>
      <c r="G69" s="150"/>
      <c r="H69" s="150"/>
      <c r="I69" s="151"/>
      <c r="J69" s="41" t="str">
        <f aca="false">IF($E69="","",$E69&amp;"|"&amp;COUNTIF($E$5:$E69,$E69))</f>
        <v/>
      </c>
      <c r="K69" s="40" t="str">
        <f aca="false">IF($I69="","",LEN($I69))</f>
        <v/>
      </c>
      <c r="L69" s="13"/>
      <c r="M69" s="13"/>
      <c r="N69" s="13"/>
      <c r="O69" s="13"/>
      <c r="P69" s="152"/>
      <c r="Q69" s="149"/>
      <c r="R69" s="152"/>
      <c r="S69" s="152"/>
      <c r="T69" s="62" t="str">
        <f aca="false">IF(OR($C69="",R69=""),"",IF(R69/IF($R$2="",100,$R$2)&gt;=設定!$I$28,設定!$G$8,IF(R69/IF($R$2="",100,$R$2)&lt;設定!$I$29,設定!$G$10,設定!$G$9)))</f>
        <v/>
      </c>
      <c r="U69" s="62" t="str">
        <f aca="false">IF(OR($C69="",S69=""),"",IF(S69/IF($S$2="",100,$S$2)&gt;=設定!$I$28,設定!$G$8,IF(S69/IF($S$2="",100,$S$2)&lt;設定!$I$29,設定!$G$10,設定!$G$9)))</f>
        <v/>
      </c>
    </row>
    <row r="70" customFormat="false" ht="21" hidden="false" customHeight="true" outlineLevel="0" collapsed="false">
      <c r="A70" s="91" t="str">
        <f aca="false">IF(名簿!$D70="","",名簿!$B70&amp;"")</f>
        <v/>
      </c>
      <c r="B70" s="91" t="str">
        <f aca="false">IF(名簿!$D70="","",名簿!$C70)</f>
        <v/>
      </c>
      <c r="C70" s="59" t="str">
        <f aca="false">IF(名簿!$D70="","",名簿!$D70&amp;IF(名簿!$F70="転出","（転出）",""))</f>
        <v/>
      </c>
      <c r="D70" s="149"/>
      <c r="E70" s="61" t="str">
        <f aca="false">IF(OR($C70="",名簿!$F70="転出"),"",IF($C$2="学級ごと",$A70,IF($C$2="前の単元と同じ",単元08!$E70&amp;"",$D70&amp;"")))</f>
        <v/>
      </c>
      <c r="F70" s="150"/>
      <c r="G70" s="150"/>
      <c r="H70" s="150"/>
      <c r="I70" s="151"/>
      <c r="J70" s="41" t="str">
        <f aca="false">IF($E70="","",$E70&amp;"|"&amp;COUNTIF($E$5:$E70,$E70))</f>
        <v/>
      </c>
      <c r="K70" s="40" t="str">
        <f aca="false">IF($I70="","",LEN($I70))</f>
        <v/>
      </c>
      <c r="L70" s="13"/>
      <c r="M70" s="13"/>
      <c r="N70" s="13"/>
      <c r="O70" s="13"/>
      <c r="P70" s="152"/>
      <c r="Q70" s="149"/>
      <c r="R70" s="152"/>
      <c r="S70" s="152"/>
      <c r="T70" s="62" t="str">
        <f aca="false">IF(OR($C70="",R70=""),"",IF(R70/IF($R$2="",100,$R$2)&gt;=設定!$I$28,設定!$G$8,IF(R70/IF($R$2="",100,$R$2)&lt;設定!$I$29,設定!$G$10,設定!$G$9)))</f>
        <v/>
      </c>
      <c r="U70" s="62" t="str">
        <f aca="false">IF(OR($C70="",S70=""),"",IF(S70/IF($S$2="",100,$S$2)&gt;=設定!$I$28,設定!$G$8,IF(S70/IF($S$2="",100,$S$2)&lt;設定!$I$29,設定!$G$10,設定!$G$9)))</f>
        <v/>
      </c>
    </row>
    <row r="71" customFormat="false" ht="21" hidden="false" customHeight="true" outlineLevel="0" collapsed="false">
      <c r="A71" s="91" t="str">
        <f aca="false">IF(名簿!$D71="","",名簿!$B71&amp;"")</f>
        <v/>
      </c>
      <c r="B71" s="91" t="str">
        <f aca="false">IF(名簿!$D71="","",名簿!$C71)</f>
        <v/>
      </c>
      <c r="C71" s="59" t="str">
        <f aca="false">IF(名簿!$D71="","",名簿!$D71&amp;IF(名簿!$F71="転出","（転出）",""))</f>
        <v/>
      </c>
      <c r="D71" s="149"/>
      <c r="E71" s="61" t="str">
        <f aca="false">IF(OR($C71="",名簿!$F71="転出"),"",IF($C$2="学級ごと",$A71,IF($C$2="前の単元と同じ",単元08!$E71&amp;"",$D71&amp;"")))</f>
        <v/>
      </c>
      <c r="F71" s="150"/>
      <c r="G71" s="150"/>
      <c r="H71" s="150"/>
      <c r="I71" s="151"/>
      <c r="J71" s="41" t="str">
        <f aca="false">IF($E71="","",$E71&amp;"|"&amp;COUNTIF($E$5:$E71,$E71))</f>
        <v/>
      </c>
      <c r="K71" s="40" t="str">
        <f aca="false">IF($I71="","",LEN($I71))</f>
        <v/>
      </c>
      <c r="L71" s="13"/>
      <c r="M71" s="13"/>
      <c r="N71" s="13"/>
      <c r="O71" s="13"/>
      <c r="P71" s="152"/>
      <c r="Q71" s="149"/>
      <c r="R71" s="152"/>
      <c r="S71" s="152"/>
      <c r="T71" s="62" t="str">
        <f aca="false">IF(OR($C71="",R71=""),"",IF(R71/IF($R$2="",100,$R$2)&gt;=設定!$I$28,設定!$G$8,IF(R71/IF($R$2="",100,$R$2)&lt;設定!$I$29,設定!$G$10,設定!$G$9)))</f>
        <v/>
      </c>
      <c r="U71" s="62" t="str">
        <f aca="false">IF(OR($C71="",S71=""),"",IF(S71/IF($S$2="",100,$S$2)&gt;=設定!$I$28,設定!$G$8,IF(S71/IF($S$2="",100,$S$2)&lt;設定!$I$29,設定!$G$10,設定!$G$9)))</f>
        <v/>
      </c>
    </row>
    <row r="72" customFormat="false" ht="21" hidden="false" customHeight="true" outlineLevel="0" collapsed="false">
      <c r="A72" s="91" t="str">
        <f aca="false">IF(名簿!$D72="","",名簿!$B72&amp;"")</f>
        <v/>
      </c>
      <c r="B72" s="91" t="str">
        <f aca="false">IF(名簿!$D72="","",名簿!$C72)</f>
        <v/>
      </c>
      <c r="C72" s="59" t="str">
        <f aca="false">IF(名簿!$D72="","",名簿!$D72&amp;IF(名簿!$F72="転出","（転出）",""))</f>
        <v/>
      </c>
      <c r="D72" s="149"/>
      <c r="E72" s="61" t="str">
        <f aca="false">IF(OR($C72="",名簿!$F72="転出"),"",IF($C$2="学級ごと",$A72,IF($C$2="前の単元と同じ",単元08!$E72&amp;"",$D72&amp;"")))</f>
        <v/>
      </c>
      <c r="F72" s="150"/>
      <c r="G72" s="150"/>
      <c r="H72" s="150"/>
      <c r="I72" s="151"/>
      <c r="J72" s="41" t="str">
        <f aca="false">IF($E72="","",$E72&amp;"|"&amp;COUNTIF($E$5:$E72,$E72))</f>
        <v/>
      </c>
      <c r="K72" s="40" t="str">
        <f aca="false">IF($I72="","",LEN($I72))</f>
        <v/>
      </c>
      <c r="L72" s="13"/>
      <c r="M72" s="13"/>
      <c r="N72" s="13"/>
      <c r="O72" s="13"/>
      <c r="P72" s="152"/>
      <c r="Q72" s="149"/>
      <c r="R72" s="152"/>
      <c r="S72" s="152"/>
      <c r="T72" s="62" t="str">
        <f aca="false">IF(OR($C72="",R72=""),"",IF(R72/IF($R$2="",100,$R$2)&gt;=設定!$I$28,設定!$G$8,IF(R72/IF($R$2="",100,$R$2)&lt;設定!$I$29,設定!$G$10,設定!$G$9)))</f>
        <v/>
      </c>
      <c r="U72" s="62" t="str">
        <f aca="false">IF(OR($C72="",S72=""),"",IF(S72/IF($S$2="",100,$S$2)&gt;=設定!$I$28,設定!$G$8,IF(S72/IF($S$2="",100,$S$2)&lt;設定!$I$29,設定!$G$10,設定!$G$9)))</f>
        <v/>
      </c>
    </row>
    <row r="73" customFormat="false" ht="21" hidden="false" customHeight="true" outlineLevel="0" collapsed="false">
      <c r="A73" s="91" t="str">
        <f aca="false">IF(名簿!$D73="","",名簿!$B73&amp;"")</f>
        <v/>
      </c>
      <c r="B73" s="91" t="str">
        <f aca="false">IF(名簿!$D73="","",名簿!$C73)</f>
        <v/>
      </c>
      <c r="C73" s="59" t="str">
        <f aca="false">IF(名簿!$D73="","",名簿!$D73&amp;IF(名簿!$F73="転出","（転出）",""))</f>
        <v/>
      </c>
      <c r="D73" s="149"/>
      <c r="E73" s="61" t="str">
        <f aca="false">IF(OR($C73="",名簿!$F73="転出"),"",IF($C$2="学級ごと",$A73,IF($C$2="前の単元と同じ",単元08!$E73&amp;"",$D73&amp;"")))</f>
        <v/>
      </c>
      <c r="F73" s="150"/>
      <c r="G73" s="150"/>
      <c r="H73" s="150"/>
      <c r="I73" s="151"/>
      <c r="J73" s="41" t="str">
        <f aca="false">IF($E73="","",$E73&amp;"|"&amp;COUNTIF($E$5:$E73,$E73))</f>
        <v/>
      </c>
      <c r="K73" s="40" t="str">
        <f aca="false">IF($I73="","",LEN($I73))</f>
        <v/>
      </c>
      <c r="L73" s="13"/>
      <c r="M73" s="13"/>
      <c r="N73" s="13"/>
      <c r="O73" s="13"/>
      <c r="P73" s="152"/>
      <c r="Q73" s="149"/>
      <c r="R73" s="152"/>
      <c r="S73" s="152"/>
      <c r="T73" s="62" t="str">
        <f aca="false">IF(OR($C73="",R73=""),"",IF(R73/IF($R$2="",100,$R$2)&gt;=設定!$I$28,設定!$G$8,IF(R73/IF($R$2="",100,$R$2)&lt;設定!$I$29,設定!$G$10,設定!$G$9)))</f>
        <v/>
      </c>
      <c r="U73" s="62" t="str">
        <f aca="false">IF(OR($C73="",S73=""),"",IF(S73/IF($S$2="",100,$S$2)&gt;=設定!$I$28,設定!$G$8,IF(S73/IF($S$2="",100,$S$2)&lt;設定!$I$29,設定!$G$10,設定!$G$9)))</f>
        <v/>
      </c>
    </row>
    <row r="74" customFormat="false" ht="21" hidden="false" customHeight="true" outlineLevel="0" collapsed="false">
      <c r="A74" s="91" t="str">
        <f aca="false">IF(名簿!$D74="","",名簿!$B74&amp;"")</f>
        <v/>
      </c>
      <c r="B74" s="91" t="str">
        <f aca="false">IF(名簿!$D74="","",名簿!$C74)</f>
        <v/>
      </c>
      <c r="C74" s="59" t="str">
        <f aca="false">IF(名簿!$D74="","",名簿!$D74&amp;IF(名簿!$F74="転出","（転出）",""))</f>
        <v/>
      </c>
      <c r="D74" s="149"/>
      <c r="E74" s="61" t="str">
        <f aca="false">IF(OR($C74="",名簿!$F74="転出"),"",IF($C$2="学級ごと",$A74,IF($C$2="前の単元と同じ",単元08!$E74&amp;"",$D74&amp;"")))</f>
        <v/>
      </c>
      <c r="F74" s="150"/>
      <c r="G74" s="150"/>
      <c r="H74" s="150"/>
      <c r="I74" s="151"/>
      <c r="J74" s="41" t="str">
        <f aca="false">IF($E74="","",$E74&amp;"|"&amp;COUNTIF($E$5:$E74,$E74))</f>
        <v/>
      </c>
      <c r="K74" s="40" t="str">
        <f aca="false">IF($I74="","",LEN($I74))</f>
        <v/>
      </c>
      <c r="L74" s="13"/>
      <c r="M74" s="13"/>
      <c r="N74" s="13"/>
      <c r="O74" s="13"/>
      <c r="P74" s="152"/>
      <c r="Q74" s="149"/>
      <c r="R74" s="152"/>
      <c r="S74" s="152"/>
      <c r="T74" s="62" t="str">
        <f aca="false">IF(OR($C74="",R74=""),"",IF(R74/IF($R$2="",100,$R$2)&gt;=設定!$I$28,設定!$G$8,IF(R74/IF($R$2="",100,$R$2)&lt;設定!$I$29,設定!$G$10,設定!$G$9)))</f>
        <v/>
      </c>
      <c r="U74" s="62" t="str">
        <f aca="false">IF(OR($C74="",S74=""),"",IF(S74/IF($S$2="",100,$S$2)&gt;=設定!$I$28,設定!$G$8,IF(S74/IF($S$2="",100,$S$2)&lt;設定!$I$29,設定!$G$10,設定!$G$9)))</f>
        <v/>
      </c>
    </row>
    <row r="75" customFormat="false" ht="21" hidden="false" customHeight="true" outlineLevel="0" collapsed="false">
      <c r="A75" s="91" t="str">
        <f aca="false">IF(名簿!$D75="","",名簿!$B75&amp;"")</f>
        <v/>
      </c>
      <c r="B75" s="91" t="str">
        <f aca="false">IF(名簿!$D75="","",名簿!$C75)</f>
        <v/>
      </c>
      <c r="C75" s="59" t="str">
        <f aca="false">IF(名簿!$D75="","",名簿!$D75&amp;IF(名簿!$F75="転出","（転出）",""))</f>
        <v/>
      </c>
      <c r="D75" s="149"/>
      <c r="E75" s="61" t="str">
        <f aca="false">IF(OR($C75="",名簿!$F75="転出"),"",IF($C$2="学級ごと",$A75,IF($C$2="前の単元と同じ",単元08!$E75&amp;"",$D75&amp;"")))</f>
        <v/>
      </c>
      <c r="F75" s="150"/>
      <c r="G75" s="150"/>
      <c r="H75" s="150"/>
      <c r="I75" s="151"/>
      <c r="J75" s="41" t="str">
        <f aca="false">IF($E75="","",$E75&amp;"|"&amp;COUNTIF($E$5:$E75,$E75))</f>
        <v/>
      </c>
      <c r="K75" s="40" t="str">
        <f aca="false">IF($I75="","",LEN($I75))</f>
        <v/>
      </c>
      <c r="L75" s="13"/>
      <c r="M75" s="13"/>
      <c r="N75" s="13"/>
      <c r="O75" s="13"/>
      <c r="P75" s="152"/>
      <c r="Q75" s="149"/>
      <c r="R75" s="152"/>
      <c r="S75" s="152"/>
      <c r="T75" s="62" t="str">
        <f aca="false">IF(OR($C75="",R75=""),"",IF(R75/IF($R$2="",100,$R$2)&gt;=設定!$I$28,設定!$G$8,IF(R75/IF($R$2="",100,$R$2)&lt;設定!$I$29,設定!$G$10,設定!$G$9)))</f>
        <v/>
      </c>
      <c r="U75" s="62" t="str">
        <f aca="false">IF(OR($C75="",S75=""),"",IF(S75/IF($S$2="",100,$S$2)&gt;=設定!$I$28,設定!$G$8,IF(S75/IF($S$2="",100,$S$2)&lt;設定!$I$29,設定!$G$10,設定!$G$9)))</f>
        <v/>
      </c>
    </row>
    <row r="76" customFormat="false" ht="21" hidden="false" customHeight="true" outlineLevel="0" collapsed="false">
      <c r="A76" s="91" t="str">
        <f aca="false">IF(名簿!$D76="","",名簿!$B76&amp;"")</f>
        <v/>
      </c>
      <c r="B76" s="91" t="str">
        <f aca="false">IF(名簿!$D76="","",名簿!$C76)</f>
        <v/>
      </c>
      <c r="C76" s="59" t="str">
        <f aca="false">IF(名簿!$D76="","",名簿!$D76&amp;IF(名簿!$F76="転出","（転出）",""))</f>
        <v/>
      </c>
      <c r="D76" s="149"/>
      <c r="E76" s="61" t="str">
        <f aca="false">IF(OR($C76="",名簿!$F76="転出"),"",IF($C$2="学級ごと",$A76,IF($C$2="前の単元と同じ",単元08!$E76&amp;"",$D76&amp;"")))</f>
        <v/>
      </c>
      <c r="F76" s="150"/>
      <c r="G76" s="150"/>
      <c r="H76" s="150"/>
      <c r="I76" s="151"/>
      <c r="J76" s="41" t="str">
        <f aca="false">IF($E76="","",$E76&amp;"|"&amp;COUNTIF($E$5:$E76,$E76))</f>
        <v/>
      </c>
      <c r="K76" s="40" t="str">
        <f aca="false">IF($I76="","",LEN($I76))</f>
        <v/>
      </c>
      <c r="L76" s="13"/>
      <c r="M76" s="13"/>
      <c r="N76" s="13"/>
      <c r="O76" s="13"/>
      <c r="P76" s="152"/>
      <c r="Q76" s="149"/>
      <c r="R76" s="152"/>
      <c r="S76" s="152"/>
      <c r="T76" s="62" t="str">
        <f aca="false">IF(OR($C76="",R76=""),"",IF(R76/IF($R$2="",100,$R$2)&gt;=設定!$I$28,設定!$G$8,IF(R76/IF($R$2="",100,$R$2)&lt;設定!$I$29,設定!$G$10,設定!$G$9)))</f>
        <v/>
      </c>
      <c r="U76" s="62" t="str">
        <f aca="false">IF(OR($C76="",S76=""),"",IF(S76/IF($S$2="",100,$S$2)&gt;=設定!$I$28,設定!$G$8,IF(S76/IF($S$2="",100,$S$2)&lt;設定!$I$29,設定!$G$10,設定!$G$9)))</f>
        <v/>
      </c>
    </row>
    <row r="77" customFormat="false" ht="21" hidden="false" customHeight="true" outlineLevel="0" collapsed="false">
      <c r="A77" s="91" t="str">
        <f aca="false">IF(名簿!$D77="","",名簿!$B77&amp;"")</f>
        <v/>
      </c>
      <c r="B77" s="91" t="str">
        <f aca="false">IF(名簿!$D77="","",名簿!$C77)</f>
        <v/>
      </c>
      <c r="C77" s="59" t="str">
        <f aca="false">IF(名簿!$D77="","",名簿!$D77&amp;IF(名簿!$F77="転出","（転出）",""))</f>
        <v/>
      </c>
      <c r="D77" s="149"/>
      <c r="E77" s="61" t="str">
        <f aca="false">IF(OR($C77="",名簿!$F77="転出"),"",IF($C$2="学級ごと",$A77,IF($C$2="前の単元と同じ",単元08!$E77&amp;"",$D77&amp;"")))</f>
        <v/>
      </c>
      <c r="F77" s="150"/>
      <c r="G77" s="150"/>
      <c r="H77" s="150"/>
      <c r="I77" s="151"/>
      <c r="J77" s="41" t="str">
        <f aca="false">IF($E77="","",$E77&amp;"|"&amp;COUNTIF($E$5:$E77,$E77))</f>
        <v/>
      </c>
      <c r="K77" s="40" t="str">
        <f aca="false">IF($I77="","",LEN($I77))</f>
        <v/>
      </c>
      <c r="L77" s="13"/>
      <c r="M77" s="13"/>
      <c r="N77" s="13"/>
      <c r="O77" s="13"/>
      <c r="P77" s="152"/>
      <c r="Q77" s="149"/>
      <c r="R77" s="152"/>
      <c r="S77" s="152"/>
      <c r="T77" s="62" t="str">
        <f aca="false">IF(OR($C77="",R77=""),"",IF(R77/IF($R$2="",100,$R$2)&gt;=設定!$I$28,設定!$G$8,IF(R77/IF($R$2="",100,$R$2)&lt;設定!$I$29,設定!$G$10,設定!$G$9)))</f>
        <v/>
      </c>
      <c r="U77" s="62" t="str">
        <f aca="false">IF(OR($C77="",S77=""),"",IF(S77/IF($S$2="",100,$S$2)&gt;=設定!$I$28,設定!$G$8,IF(S77/IF($S$2="",100,$S$2)&lt;設定!$I$29,設定!$G$10,設定!$G$9)))</f>
        <v/>
      </c>
    </row>
    <row r="78" customFormat="false" ht="21" hidden="false" customHeight="true" outlineLevel="0" collapsed="false">
      <c r="A78" s="91" t="str">
        <f aca="false">IF(名簿!$D78="","",名簿!$B78&amp;"")</f>
        <v/>
      </c>
      <c r="B78" s="91" t="str">
        <f aca="false">IF(名簿!$D78="","",名簿!$C78)</f>
        <v/>
      </c>
      <c r="C78" s="59" t="str">
        <f aca="false">IF(名簿!$D78="","",名簿!$D78&amp;IF(名簿!$F78="転出","（転出）",""))</f>
        <v/>
      </c>
      <c r="D78" s="149"/>
      <c r="E78" s="61" t="str">
        <f aca="false">IF(OR($C78="",名簿!$F78="転出"),"",IF($C$2="学級ごと",$A78,IF($C$2="前の単元と同じ",単元08!$E78&amp;"",$D78&amp;"")))</f>
        <v/>
      </c>
      <c r="F78" s="150"/>
      <c r="G78" s="150"/>
      <c r="H78" s="150"/>
      <c r="I78" s="151"/>
      <c r="J78" s="41" t="str">
        <f aca="false">IF($E78="","",$E78&amp;"|"&amp;COUNTIF($E$5:$E78,$E78))</f>
        <v/>
      </c>
      <c r="K78" s="40" t="str">
        <f aca="false">IF($I78="","",LEN($I78))</f>
        <v/>
      </c>
      <c r="L78" s="13"/>
      <c r="M78" s="13"/>
      <c r="N78" s="13"/>
      <c r="O78" s="13"/>
      <c r="P78" s="152"/>
      <c r="Q78" s="149"/>
      <c r="R78" s="152"/>
      <c r="S78" s="152"/>
      <c r="T78" s="62" t="str">
        <f aca="false">IF(OR($C78="",R78=""),"",IF(R78/IF($R$2="",100,$R$2)&gt;=設定!$I$28,設定!$G$8,IF(R78/IF($R$2="",100,$R$2)&lt;設定!$I$29,設定!$G$10,設定!$G$9)))</f>
        <v/>
      </c>
      <c r="U78" s="62" t="str">
        <f aca="false">IF(OR($C78="",S78=""),"",IF(S78/IF($S$2="",100,$S$2)&gt;=設定!$I$28,設定!$G$8,IF(S78/IF($S$2="",100,$S$2)&lt;設定!$I$29,設定!$G$10,設定!$G$9)))</f>
        <v/>
      </c>
    </row>
    <row r="79" customFormat="false" ht="21" hidden="false" customHeight="true" outlineLevel="0" collapsed="false">
      <c r="A79" s="91" t="str">
        <f aca="false">IF(名簿!$D79="","",名簿!$B79&amp;"")</f>
        <v/>
      </c>
      <c r="B79" s="91" t="str">
        <f aca="false">IF(名簿!$D79="","",名簿!$C79)</f>
        <v/>
      </c>
      <c r="C79" s="59" t="str">
        <f aca="false">IF(名簿!$D79="","",名簿!$D79&amp;IF(名簿!$F79="転出","（転出）",""))</f>
        <v/>
      </c>
      <c r="D79" s="149"/>
      <c r="E79" s="61" t="str">
        <f aca="false">IF(OR($C79="",名簿!$F79="転出"),"",IF($C$2="学級ごと",$A79,IF($C$2="前の単元と同じ",単元08!$E79&amp;"",$D79&amp;"")))</f>
        <v/>
      </c>
      <c r="F79" s="150"/>
      <c r="G79" s="150"/>
      <c r="H79" s="150"/>
      <c r="I79" s="151"/>
      <c r="J79" s="41" t="str">
        <f aca="false">IF($E79="","",$E79&amp;"|"&amp;COUNTIF($E$5:$E79,$E79))</f>
        <v/>
      </c>
      <c r="K79" s="40" t="str">
        <f aca="false">IF($I79="","",LEN($I79))</f>
        <v/>
      </c>
      <c r="L79" s="13"/>
      <c r="M79" s="13"/>
      <c r="N79" s="13"/>
      <c r="O79" s="13"/>
      <c r="P79" s="152"/>
      <c r="Q79" s="149"/>
      <c r="R79" s="152"/>
      <c r="S79" s="152"/>
      <c r="T79" s="62" t="str">
        <f aca="false">IF(OR($C79="",R79=""),"",IF(R79/IF($R$2="",100,$R$2)&gt;=設定!$I$28,設定!$G$8,IF(R79/IF($R$2="",100,$R$2)&lt;設定!$I$29,設定!$G$10,設定!$G$9)))</f>
        <v/>
      </c>
      <c r="U79" s="62" t="str">
        <f aca="false">IF(OR($C79="",S79=""),"",IF(S79/IF($S$2="",100,$S$2)&gt;=設定!$I$28,設定!$G$8,IF(S79/IF($S$2="",100,$S$2)&lt;設定!$I$29,設定!$G$10,設定!$G$9)))</f>
        <v/>
      </c>
    </row>
    <row r="80" customFormat="false" ht="21" hidden="false" customHeight="true" outlineLevel="0" collapsed="false">
      <c r="A80" s="91" t="str">
        <f aca="false">IF(名簿!$D80="","",名簿!$B80&amp;"")</f>
        <v/>
      </c>
      <c r="B80" s="91" t="str">
        <f aca="false">IF(名簿!$D80="","",名簿!$C80)</f>
        <v/>
      </c>
      <c r="C80" s="59" t="str">
        <f aca="false">IF(名簿!$D80="","",名簿!$D80&amp;IF(名簿!$F80="転出","（転出）",""))</f>
        <v/>
      </c>
      <c r="D80" s="149"/>
      <c r="E80" s="61" t="str">
        <f aca="false">IF(OR($C80="",名簿!$F80="転出"),"",IF($C$2="学級ごと",$A80,IF($C$2="前の単元と同じ",単元08!$E80&amp;"",$D80&amp;"")))</f>
        <v/>
      </c>
      <c r="F80" s="150"/>
      <c r="G80" s="150"/>
      <c r="H80" s="150"/>
      <c r="I80" s="151"/>
      <c r="J80" s="41" t="str">
        <f aca="false">IF($E80="","",$E80&amp;"|"&amp;COUNTIF($E$5:$E80,$E80))</f>
        <v/>
      </c>
      <c r="K80" s="40" t="str">
        <f aca="false">IF($I80="","",LEN($I80))</f>
        <v/>
      </c>
      <c r="L80" s="13"/>
      <c r="M80" s="13"/>
      <c r="N80" s="13"/>
      <c r="O80" s="13"/>
      <c r="P80" s="152"/>
      <c r="Q80" s="149"/>
      <c r="R80" s="152"/>
      <c r="S80" s="152"/>
      <c r="T80" s="62" t="str">
        <f aca="false">IF(OR($C80="",R80=""),"",IF(R80/IF($R$2="",100,$R$2)&gt;=設定!$I$28,設定!$G$8,IF(R80/IF($R$2="",100,$R$2)&lt;設定!$I$29,設定!$G$10,設定!$G$9)))</f>
        <v/>
      </c>
      <c r="U80" s="62" t="str">
        <f aca="false">IF(OR($C80="",S80=""),"",IF(S80/IF($S$2="",100,$S$2)&gt;=設定!$I$28,設定!$G$8,IF(S80/IF($S$2="",100,$S$2)&lt;設定!$I$29,設定!$G$10,設定!$G$9)))</f>
        <v/>
      </c>
    </row>
    <row r="81" customFormat="false" ht="21" hidden="false" customHeight="true" outlineLevel="0" collapsed="false">
      <c r="A81" s="91" t="str">
        <f aca="false">IF(名簿!$D81="","",名簿!$B81&amp;"")</f>
        <v/>
      </c>
      <c r="B81" s="91" t="str">
        <f aca="false">IF(名簿!$D81="","",名簿!$C81)</f>
        <v/>
      </c>
      <c r="C81" s="59" t="str">
        <f aca="false">IF(名簿!$D81="","",名簿!$D81&amp;IF(名簿!$F81="転出","（転出）",""))</f>
        <v/>
      </c>
      <c r="D81" s="149"/>
      <c r="E81" s="61" t="str">
        <f aca="false">IF(OR($C81="",名簿!$F81="転出"),"",IF($C$2="学級ごと",$A81,IF($C$2="前の単元と同じ",単元08!$E81&amp;"",$D81&amp;"")))</f>
        <v/>
      </c>
      <c r="F81" s="150"/>
      <c r="G81" s="150"/>
      <c r="H81" s="150"/>
      <c r="I81" s="151"/>
      <c r="J81" s="41" t="str">
        <f aca="false">IF($E81="","",$E81&amp;"|"&amp;COUNTIF($E$5:$E81,$E81))</f>
        <v/>
      </c>
      <c r="K81" s="40" t="str">
        <f aca="false">IF($I81="","",LEN($I81))</f>
        <v/>
      </c>
      <c r="L81" s="13"/>
      <c r="M81" s="13"/>
      <c r="N81" s="13"/>
      <c r="O81" s="13"/>
      <c r="P81" s="152"/>
      <c r="Q81" s="149"/>
      <c r="R81" s="152"/>
      <c r="S81" s="152"/>
      <c r="T81" s="62" t="str">
        <f aca="false">IF(OR($C81="",R81=""),"",IF(R81/IF($R$2="",100,$R$2)&gt;=設定!$I$28,設定!$G$8,IF(R81/IF($R$2="",100,$R$2)&lt;設定!$I$29,設定!$G$10,設定!$G$9)))</f>
        <v/>
      </c>
      <c r="U81" s="62" t="str">
        <f aca="false">IF(OR($C81="",S81=""),"",IF(S81/IF($S$2="",100,$S$2)&gt;=設定!$I$28,設定!$G$8,IF(S81/IF($S$2="",100,$S$2)&lt;設定!$I$29,設定!$G$10,設定!$G$9)))</f>
        <v/>
      </c>
    </row>
    <row r="82" customFormat="false" ht="21" hidden="false" customHeight="true" outlineLevel="0" collapsed="false">
      <c r="A82" s="91" t="str">
        <f aca="false">IF(名簿!$D82="","",名簿!$B82&amp;"")</f>
        <v/>
      </c>
      <c r="B82" s="91" t="str">
        <f aca="false">IF(名簿!$D82="","",名簿!$C82)</f>
        <v/>
      </c>
      <c r="C82" s="59" t="str">
        <f aca="false">IF(名簿!$D82="","",名簿!$D82&amp;IF(名簿!$F82="転出","（転出）",""))</f>
        <v/>
      </c>
      <c r="D82" s="149"/>
      <c r="E82" s="61" t="str">
        <f aca="false">IF(OR($C82="",名簿!$F82="転出"),"",IF($C$2="学級ごと",$A82,IF($C$2="前の単元と同じ",単元08!$E82&amp;"",$D82&amp;"")))</f>
        <v/>
      </c>
      <c r="F82" s="150"/>
      <c r="G82" s="150"/>
      <c r="H82" s="150"/>
      <c r="I82" s="151"/>
      <c r="J82" s="41" t="str">
        <f aca="false">IF($E82="","",$E82&amp;"|"&amp;COUNTIF($E$5:$E82,$E82))</f>
        <v/>
      </c>
      <c r="K82" s="40" t="str">
        <f aca="false">IF($I82="","",LEN($I82))</f>
        <v/>
      </c>
      <c r="L82" s="13"/>
      <c r="M82" s="13"/>
      <c r="N82" s="13"/>
      <c r="O82" s="13"/>
      <c r="P82" s="152"/>
      <c r="Q82" s="149"/>
      <c r="R82" s="152"/>
      <c r="S82" s="152"/>
      <c r="T82" s="62" t="str">
        <f aca="false">IF(OR($C82="",R82=""),"",IF(R82/IF($R$2="",100,$R$2)&gt;=設定!$I$28,設定!$G$8,IF(R82/IF($R$2="",100,$R$2)&lt;設定!$I$29,設定!$G$10,設定!$G$9)))</f>
        <v/>
      </c>
      <c r="U82" s="62" t="str">
        <f aca="false">IF(OR($C82="",S82=""),"",IF(S82/IF($S$2="",100,$S$2)&gt;=設定!$I$28,設定!$G$8,IF(S82/IF($S$2="",100,$S$2)&lt;設定!$I$29,設定!$G$10,設定!$G$9)))</f>
        <v/>
      </c>
    </row>
    <row r="83" customFormat="false" ht="21" hidden="false" customHeight="true" outlineLevel="0" collapsed="false">
      <c r="A83" s="91" t="str">
        <f aca="false">IF(名簿!$D83="","",名簿!$B83&amp;"")</f>
        <v/>
      </c>
      <c r="B83" s="91" t="str">
        <f aca="false">IF(名簿!$D83="","",名簿!$C83)</f>
        <v/>
      </c>
      <c r="C83" s="59" t="str">
        <f aca="false">IF(名簿!$D83="","",名簿!$D83&amp;IF(名簿!$F83="転出","（転出）",""))</f>
        <v/>
      </c>
      <c r="D83" s="149"/>
      <c r="E83" s="61" t="str">
        <f aca="false">IF(OR($C83="",名簿!$F83="転出"),"",IF($C$2="学級ごと",$A83,IF($C$2="前の単元と同じ",単元08!$E83&amp;"",$D83&amp;"")))</f>
        <v/>
      </c>
      <c r="F83" s="150"/>
      <c r="G83" s="150"/>
      <c r="H83" s="150"/>
      <c r="I83" s="151"/>
      <c r="J83" s="41" t="str">
        <f aca="false">IF($E83="","",$E83&amp;"|"&amp;COUNTIF($E$5:$E83,$E83))</f>
        <v/>
      </c>
      <c r="K83" s="40" t="str">
        <f aca="false">IF($I83="","",LEN($I83))</f>
        <v/>
      </c>
      <c r="L83" s="13"/>
      <c r="M83" s="13"/>
      <c r="N83" s="13"/>
      <c r="O83" s="13"/>
      <c r="P83" s="152"/>
      <c r="Q83" s="149"/>
      <c r="R83" s="152"/>
      <c r="S83" s="152"/>
      <c r="T83" s="62" t="str">
        <f aca="false">IF(OR($C83="",R83=""),"",IF(R83/IF($R$2="",100,$R$2)&gt;=設定!$I$28,設定!$G$8,IF(R83/IF($R$2="",100,$R$2)&lt;設定!$I$29,設定!$G$10,設定!$G$9)))</f>
        <v/>
      </c>
      <c r="U83" s="62" t="str">
        <f aca="false">IF(OR($C83="",S83=""),"",IF(S83/IF($S$2="",100,$S$2)&gt;=設定!$I$28,設定!$G$8,IF(S83/IF($S$2="",100,$S$2)&lt;設定!$I$29,設定!$G$10,設定!$G$9)))</f>
        <v/>
      </c>
    </row>
    <row r="84" customFormat="false" ht="21" hidden="false" customHeight="true" outlineLevel="0" collapsed="false">
      <c r="A84" s="91" t="str">
        <f aca="false">IF(名簿!$D84="","",名簿!$B84&amp;"")</f>
        <v/>
      </c>
      <c r="B84" s="91" t="str">
        <f aca="false">IF(名簿!$D84="","",名簿!$C84)</f>
        <v/>
      </c>
      <c r="C84" s="59" t="str">
        <f aca="false">IF(名簿!$D84="","",名簿!$D84&amp;IF(名簿!$F84="転出","（転出）",""))</f>
        <v/>
      </c>
      <c r="D84" s="149"/>
      <c r="E84" s="61" t="str">
        <f aca="false">IF(OR($C84="",名簿!$F84="転出"),"",IF($C$2="学級ごと",$A84,IF($C$2="前の単元と同じ",単元08!$E84&amp;"",$D84&amp;"")))</f>
        <v/>
      </c>
      <c r="F84" s="150"/>
      <c r="G84" s="150"/>
      <c r="H84" s="150"/>
      <c r="I84" s="151"/>
      <c r="J84" s="41" t="str">
        <f aca="false">IF($E84="","",$E84&amp;"|"&amp;COUNTIF($E$5:$E84,$E84))</f>
        <v/>
      </c>
      <c r="K84" s="40" t="str">
        <f aca="false">IF($I84="","",LEN($I84))</f>
        <v/>
      </c>
      <c r="L84" s="13"/>
      <c r="M84" s="13"/>
      <c r="N84" s="13"/>
      <c r="O84" s="13"/>
      <c r="P84" s="152"/>
      <c r="Q84" s="149"/>
      <c r="R84" s="152"/>
      <c r="S84" s="152"/>
      <c r="T84" s="62" t="str">
        <f aca="false">IF(OR($C84="",R84=""),"",IF(R84/IF($R$2="",100,$R$2)&gt;=設定!$I$28,設定!$G$8,IF(R84/IF($R$2="",100,$R$2)&lt;設定!$I$29,設定!$G$10,設定!$G$9)))</f>
        <v/>
      </c>
      <c r="U84" s="62" t="str">
        <f aca="false">IF(OR($C84="",S84=""),"",IF(S84/IF($S$2="",100,$S$2)&gt;=設定!$I$28,設定!$G$8,IF(S84/IF($S$2="",100,$S$2)&lt;設定!$I$29,設定!$G$10,設定!$G$9)))</f>
        <v/>
      </c>
    </row>
    <row r="85" customFormat="false" ht="21" hidden="false" customHeight="true" outlineLevel="0" collapsed="false">
      <c r="A85" s="91" t="str">
        <f aca="false">IF(名簿!$D85="","",名簿!$B85&amp;"")</f>
        <v/>
      </c>
      <c r="B85" s="91" t="str">
        <f aca="false">IF(名簿!$D85="","",名簿!$C85)</f>
        <v/>
      </c>
      <c r="C85" s="59" t="str">
        <f aca="false">IF(名簿!$D85="","",名簿!$D85&amp;IF(名簿!$F85="転出","（転出）",""))</f>
        <v/>
      </c>
      <c r="D85" s="149"/>
      <c r="E85" s="61" t="str">
        <f aca="false">IF(OR($C85="",名簿!$F85="転出"),"",IF($C$2="学級ごと",$A85,IF($C$2="前の単元と同じ",単元08!$E85&amp;"",$D85&amp;"")))</f>
        <v/>
      </c>
      <c r="F85" s="150"/>
      <c r="G85" s="150"/>
      <c r="H85" s="150"/>
      <c r="I85" s="151"/>
      <c r="J85" s="41" t="str">
        <f aca="false">IF($E85="","",$E85&amp;"|"&amp;COUNTIF($E$5:$E85,$E85))</f>
        <v/>
      </c>
      <c r="K85" s="40" t="str">
        <f aca="false">IF($I85="","",LEN($I85))</f>
        <v/>
      </c>
      <c r="L85" s="13"/>
      <c r="M85" s="13"/>
      <c r="N85" s="13"/>
      <c r="O85" s="13"/>
      <c r="P85" s="152"/>
      <c r="Q85" s="149"/>
      <c r="R85" s="152"/>
      <c r="S85" s="152"/>
      <c r="T85" s="62" t="str">
        <f aca="false">IF(OR($C85="",R85=""),"",IF(R85/IF($R$2="",100,$R$2)&gt;=設定!$I$28,設定!$G$8,IF(R85/IF($R$2="",100,$R$2)&lt;設定!$I$29,設定!$G$10,設定!$G$9)))</f>
        <v/>
      </c>
      <c r="U85" s="62" t="str">
        <f aca="false">IF(OR($C85="",S85=""),"",IF(S85/IF($S$2="",100,$S$2)&gt;=設定!$I$28,設定!$G$8,IF(S85/IF($S$2="",100,$S$2)&lt;設定!$I$29,設定!$G$10,設定!$G$9)))</f>
        <v/>
      </c>
    </row>
    <row r="86" customFormat="false" ht="21" hidden="false" customHeight="true" outlineLevel="0" collapsed="false">
      <c r="A86" s="91" t="str">
        <f aca="false">IF(名簿!$D86="","",名簿!$B86&amp;"")</f>
        <v/>
      </c>
      <c r="B86" s="91" t="str">
        <f aca="false">IF(名簿!$D86="","",名簿!$C86)</f>
        <v/>
      </c>
      <c r="C86" s="59" t="str">
        <f aca="false">IF(名簿!$D86="","",名簿!$D86&amp;IF(名簿!$F86="転出","（転出）",""))</f>
        <v/>
      </c>
      <c r="D86" s="149"/>
      <c r="E86" s="61" t="str">
        <f aca="false">IF(OR($C86="",名簿!$F86="転出"),"",IF($C$2="学級ごと",$A86,IF($C$2="前の単元と同じ",単元08!$E86&amp;"",$D86&amp;"")))</f>
        <v/>
      </c>
      <c r="F86" s="150"/>
      <c r="G86" s="150"/>
      <c r="H86" s="150"/>
      <c r="I86" s="151"/>
      <c r="J86" s="41" t="str">
        <f aca="false">IF($E86="","",$E86&amp;"|"&amp;COUNTIF($E$5:$E86,$E86))</f>
        <v/>
      </c>
      <c r="K86" s="40" t="str">
        <f aca="false">IF($I86="","",LEN($I86))</f>
        <v/>
      </c>
      <c r="L86" s="13"/>
      <c r="M86" s="13"/>
      <c r="N86" s="13"/>
      <c r="O86" s="13"/>
      <c r="P86" s="152"/>
      <c r="Q86" s="149"/>
      <c r="R86" s="152"/>
      <c r="S86" s="152"/>
      <c r="T86" s="62" t="str">
        <f aca="false">IF(OR($C86="",R86=""),"",IF(R86/IF($R$2="",100,$R$2)&gt;=設定!$I$28,設定!$G$8,IF(R86/IF($R$2="",100,$R$2)&lt;設定!$I$29,設定!$G$10,設定!$G$9)))</f>
        <v/>
      </c>
      <c r="U86" s="62" t="str">
        <f aca="false">IF(OR($C86="",S86=""),"",IF(S86/IF($S$2="",100,$S$2)&gt;=設定!$I$28,設定!$G$8,IF(S86/IF($S$2="",100,$S$2)&lt;設定!$I$29,設定!$G$10,設定!$G$9)))</f>
        <v/>
      </c>
    </row>
    <row r="87" customFormat="false" ht="21" hidden="false" customHeight="true" outlineLevel="0" collapsed="false">
      <c r="A87" s="91" t="str">
        <f aca="false">IF(名簿!$D87="","",名簿!$B87&amp;"")</f>
        <v/>
      </c>
      <c r="B87" s="91" t="str">
        <f aca="false">IF(名簿!$D87="","",名簿!$C87)</f>
        <v/>
      </c>
      <c r="C87" s="59" t="str">
        <f aca="false">IF(名簿!$D87="","",名簿!$D87&amp;IF(名簿!$F87="転出","（転出）",""))</f>
        <v/>
      </c>
      <c r="D87" s="149"/>
      <c r="E87" s="61" t="str">
        <f aca="false">IF(OR($C87="",名簿!$F87="転出"),"",IF($C$2="学級ごと",$A87,IF($C$2="前の単元と同じ",単元08!$E87&amp;"",$D87&amp;"")))</f>
        <v/>
      </c>
      <c r="F87" s="150"/>
      <c r="G87" s="150"/>
      <c r="H87" s="150"/>
      <c r="I87" s="151"/>
      <c r="J87" s="41" t="str">
        <f aca="false">IF($E87="","",$E87&amp;"|"&amp;COUNTIF($E$5:$E87,$E87))</f>
        <v/>
      </c>
      <c r="K87" s="40" t="str">
        <f aca="false">IF($I87="","",LEN($I87))</f>
        <v/>
      </c>
      <c r="L87" s="13"/>
      <c r="M87" s="13"/>
      <c r="N87" s="13"/>
      <c r="O87" s="13"/>
      <c r="P87" s="152"/>
      <c r="Q87" s="149"/>
      <c r="R87" s="152"/>
      <c r="S87" s="152"/>
      <c r="T87" s="62" t="str">
        <f aca="false">IF(OR($C87="",R87=""),"",IF(R87/IF($R$2="",100,$R$2)&gt;=設定!$I$28,設定!$G$8,IF(R87/IF($R$2="",100,$R$2)&lt;設定!$I$29,設定!$G$10,設定!$G$9)))</f>
        <v/>
      </c>
      <c r="U87" s="62" t="str">
        <f aca="false">IF(OR($C87="",S87=""),"",IF(S87/IF($S$2="",100,$S$2)&gt;=設定!$I$28,設定!$G$8,IF(S87/IF($S$2="",100,$S$2)&lt;設定!$I$29,設定!$G$10,設定!$G$9)))</f>
        <v/>
      </c>
    </row>
    <row r="88" customFormat="false" ht="21" hidden="false" customHeight="true" outlineLevel="0" collapsed="false">
      <c r="A88" s="91" t="str">
        <f aca="false">IF(名簿!$D88="","",名簿!$B88&amp;"")</f>
        <v/>
      </c>
      <c r="B88" s="91" t="str">
        <f aca="false">IF(名簿!$D88="","",名簿!$C88)</f>
        <v/>
      </c>
      <c r="C88" s="59" t="str">
        <f aca="false">IF(名簿!$D88="","",名簿!$D88&amp;IF(名簿!$F88="転出","（転出）",""))</f>
        <v/>
      </c>
      <c r="D88" s="149"/>
      <c r="E88" s="61" t="str">
        <f aca="false">IF(OR($C88="",名簿!$F88="転出"),"",IF($C$2="学級ごと",$A88,IF($C$2="前の単元と同じ",単元08!$E88&amp;"",$D88&amp;"")))</f>
        <v/>
      </c>
      <c r="F88" s="150"/>
      <c r="G88" s="150"/>
      <c r="H88" s="150"/>
      <c r="I88" s="151"/>
      <c r="J88" s="41" t="str">
        <f aca="false">IF($E88="","",$E88&amp;"|"&amp;COUNTIF($E$5:$E88,$E88))</f>
        <v/>
      </c>
      <c r="K88" s="40" t="str">
        <f aca="false">IF($I88="","",LEN($I88))</f>
        <v/>
      </c>
      <c r="L88" s="13"/>
      <c r="M88" s="13"/>
      <c r="N88" s="13"/>
      <c r="O88" s="13"/>
      <c r="P88" s="152"/>
      <c r="Q88" s="149"/>
      <c r="R88" s="152"/>
      <c r="S88" s="152"/>
      <c r="T88" s="62" t="str">
        <f aca="false">IF(OR($C88="",R88=""),"",IF(R88/IF($R$2="",100,$R$2)&gt;=設定!$I$28,設定!$G$8,IF(R88/IF($R$2="",100,$R$2)&lt;設定!$I$29,設定!$G$10,設定!$G$9)))</f>
        <v/>
      </c>
      <c r="U88" s="62" t="str">
        <f aca="false">IF(OR($C88="",S88=""),"",IF(S88/IF($S$2="",100,$S$2)&gt;=設定!$I$28,設定!$G$8,IF(S88/IF($S$2="",100,$S$2)&lt;設定!$I$29,設定!$G$10,設定!$G$9)))</f>
        <v/>
      </c>
    </row>
    <row r="89" customFormat="false" ht="21" hidden="false" customHeight="true" outlineLevel="0" collapsed="false">
      <c r="A89" s="91" t="str">
        <f aca="false">IF(名簿!$D89="","",名簿!$B89&amp;"")</f>
        <v/>
      </c>
      <c r="B89" s="91" t="str">
        <f aca="false">IF(名簿!$D89="","",名簿!$C89)</f>
        <v/>
      </c>
      <c r="C89" s="59" t="str">
        <f aca="false">IF(名簿!$D89="","",名簿!$D89&amp;IF(名簿!$F89="転出","（転出）",""))</f>
        <v/>
      </c>
      <c r="D89" s="149"/>
      <c r="E89" s="61" t="str">
        <f aca="false">IF(OR($C89="",名簿!$F89="転出"),"",IF($C$2="学級ごと",$A89,IF($C$2="前の単元と同じ",単元08!$E89&amp;"",$D89&amp;"")))</f>
        <v/>
      </c>
      <c r="F89" s="150"/>
      <c r="G89" s="150"/>
      <c r="H89" s="150"/>
      <c r="I89" s="151"/>
      <c r="J89" s="41" t="str">
        <f aca="false">IF($E89="","",$E89&amp;"|"&amp;COUNTIF($E$5:$E89,$E89))</f>
        <v/>
      </c>
      <c r="K89" s="40" t="str">
        <f aca="false">IF($I89="","",LEN($I89))</f>
        <v/>
      </c>
      <c r="L89" s="13"/>
      <c r="M89" s="13"/>
      <c r="N89" s="13"/>
      <c r="O89" s="13"/>
      <c r="P89" s="152"/>
      <c r="Q89" s="149"/>
      <c r="R89" s="152"/>
      <c r="S89" s="152"/>
      <c r="T89" s="62" t="str">
        <f aca="false">IF(OR($C89="",R89=""),"",IF(R89/IF($R$2="",100,$R$2)&gt;=設定!$I$28,設定!$G$8,IF(R89/IF($R$2="",100,$R$2)&lt;設定!$I$29,設定!$G$10,設定!$G$9)))</f>
        <v/>
      </c>
      <c r="U89" s="62" t="str">
        <f aca="false">IF(OR($C89="",S89=""),"",IF(S89/IF($S$2="",100,$S$2)&gt;=設定!$I$28,設定!$G$8,IF(S89/IF($S$2="",100,$S$2)&lt;設定!$I$29,設定!$G$10,設定!$G$9)))</f>
        <v/>
      </c>
    </row>
    <row r="90" customFormat="false" ht="21" hidden="false" customHeight="true" outlineLevel="0" collapsed="false">
      <c r="A90" s="91" t="str">
        <f aca="false">IF(名簿!$D90="","",名簿!$B90&amp;"")</f>
        <v/>
      </c>
      <c r="B90" s="91" t="str">
        <f aca="false">IF(名簿!$D90="","",名簿!$C90)</f>
        <v/>
      </c>
      <c r="C90" s="59" t="str">
        <f aca="false">IF(名簿!$D90="","",名簿!$D90&amp;IF(名簿!$F90="転出","（転出）",""))</f>
        <v/>
      </c>
      <c r="D90" s="149"/>
      <c r="E90" s="61" t="str">
        <f aca="false">IF(OR($C90="",名簿!$F90="転出"),"",IF($C$2="学級ごと",$A90,IF($C$2="前の単元と同じ",単元08!$E90&amp;"",$D90&amp;"")))</f>
        <v/>
      </c>
      <c r="F90" s="150"/>
      <c r="G90" s="150"/>
      <c r="H90" s="150"/>
      <c r="I90" s="151"/>
      <c r="J90" s="41" t="str">
        <f aca="false">IF($E90="","",$E90&amp;"|"&amp;COUNTIF($E$5:$E90,$E90))</f>
        <v/>
      </c>
      <c r="K90" s="40" t="str">
        <f aca="false">IF($I90="","",LEN($I90))</f>
        <v/>
      </c>
      <c r="L90" s="13"/>
      <c r="M90" s="13"/>
      <c r="N90" s="13"/>
      <c r="O90" s="13"/>
      <c r="P90" s="152"/>
      <c r="Q90" s="149"/>
      <c r="R90" s="152"/>
      <c r="S90" s="152"/>
      <c r="T90" s="62" t="str">
        <f aca="false">IF(OR($C90="",R90=""),"",IF(R90/IF($R$2="",100,$R$2)&gt;=設定!$I$28,設定!$G$8,IF(R90/IF($R$2="",100,$R$2)&lt;設定!$I$29,設定!$G$10,設定!$G$9)))</f>
        <v/>
      </c>
      <c r="U90" s="62" t="str">
        <f aca="false">IF(OR($C90="",S90=""),"",IF(S90/IF($S$2="",100,$S$2)&gt;=設定!$I$28,設定!$G$8,IF(S90/IF($S$2="",100,$S$2)&lt;設定!$I$29,設定!$G$10,設定!$G$9)))</f>
        <v/>
      </c>
    </row>
    <row r="91" customFormat="false" ht="21" hidden="false" customHeight="true" outlineLevel="0" collapsed="false">
      <c r="A91" s="91" t="str">
        <f aca="false">IF(名簿!$D91="","",名簿!$B91&amp;"")</f>
        <v/>
      </c>
      <c r="B91" s="91" t="str">
        <f aca="false">IF(名簿!$D91="","",名簿!$C91)</f>
        <v/>
      </c>
      <c r="C91" s="59" t="str">
        <f aca="false">IF(名簿!$D91="","",名簿!$D91&amp;IF(名簿!$F91="転出","（転出）",""))</f>
        <v/>
      </c>
      <c r="D91" s="149"/>
      <c r="E91" s="61" t="str">
        <f aca="false">IF(OR($C91="",名簿!$F91="転出"),"",IF($C$2="学級ごと",$A91,IF($C$2="前の単元と同じ",単元08!$E91&amp;"",$D91&amp;"")))</f>
        <v/>
      </c>
      <c r="F91" s="150"/>
      <c r="G91" s="150"/>
      <c r="H91" s="150"/>
      <c r="I91" s="151"/>
      <c r="J91" s="41" t="str">
        <f aca="false">IF($E91="","",$E91&amp;"|"&amp;COUNTIF($E$5:$E91,$E91))</f>
        <v/>
      </c>
      <c r="K91" s="40" t="str">
        <f aca="false">IF($I91="","",LEN($I91))</f>
        <v/>
      </c>
      <c r="L91" s="13"/>
      <c r="M91" s="13"/>
      <c r="N91" s="13"/>
      <c r="O91" s="13"/>
      <c r="P91" s="152"/>
      <c r="Q91" s="149"/>
      <c r="R91" s="152"/>
      <c r="S91" s="152"/>
      <c r="T91" s="62" t="str">
        <f aca="false">IF(OR($C91="",R91=""),"",IF(R91/IF($R$2="",100,$R$2)&gt;=設定!$I$28,設定!$G$8,IF(R91/IF($R$2="",100,$R$2)&lt;設定!$I$29,設定!$G$10,設定!$G$9)))</f>
        <v/>
      </c>
      <c r="U91" s="62" t="str">
        <f aca="false">IF(OR($C91="",S91=""),"",IF(S91/IF($S$2="",100,$S$2)&gt;=設定!$I$28,設定!$G$8,IF(S91/IF($S$2="",100,$S$2)&lt;設定!$I$29,設定!$G$10,設定!$G$9)))</f>
        <v/>
      </c>
    </row>
    <row r="92" customFormat="false" ht="21" hidden="false" customHeight="true" outlineLevel="0" collapsed="false">
      <c r="A92" s="91" t="str">
        <f aca="false">IF(名簿!$D92="","",名簿!$B92&amp;"")</f>
        <v/>
      </c>
      <c r="B92" s="91" t="str">
        <f aca="false">IF(名簿!$D92="","",名簿!$C92)</f>
        <v/>
      </c>
      <c r="C92" s="59" t="str">
        <f aca="false">IF(名簿!$D92="","",名簿!$D92&amp;IF(名簿!$F92="転出","（転出）",""))</f>
        <v/>
      </c>
      <c r="D92" s="149"/>
      <c r="E92" s="61" t="str">
        <f aca="false">IF(OR($C92="",名簿!$F92="転出"),"",IF($C$2="学級ごと",$A92,IF($C$2="前の単元と同じ",単元08!$E92&amp;"",$D92&amp;"")))</f>
        <v/>
      </c>
      <c r="F92" s="150"/>
      <c r="G92" s="150"/>
      <c r="H92" s="150"/>
      <c r="I92" s="151"/>
      <c r="J92" s="41" t="str">
        <f aca="false">IF($E92="","",$E92&amp;"|"&amp;COUNTIF($E$5:$E92,$E92))</f>
        <v/>
      </c>
      <c r="K92" s="40" t="str">
        <f aca="false">IF($I92="","",LEN($I92))</f>
        <v/>
      </c>
      <c r="L92" s="13"/>
      <c r="M92" s="13"/>
      <c r="N92" s="13"/>
      <c r="O92" s="13"/>
      <c r="P92" s="152"/>
      <c r="Q92" s="149"/>
      <c r="R92" s="152"/>
      <c r="S92" s="152"/>
      <c r="T92" s="62" t="str">
        <f aca="false">IF(OR($C92="",R92=""),"",IF(R92/IF($R$2="",100,$R$2)&gt;=設定!$I$28,設定!$G$8,IF(R92/IF($R$2="",100,$R$2)&lt;設定!$I$29,設定!$G$10,設定!$G$9)))</f>
        <v/>
      </c>
      <c r="U92" s="62" t="str">
        <f aca="false">IF(OR($C92="",S92=""),"",IF(S92/IF($S$2="",100,$S$2)&gt;=設定!$I$28,設定!$G$8,IF(S92/IF($S$2="",100,$S$2)&lt;設定!$I$29,設定!$G$10,設定!$G$9)))</f>
        <v/>
      </c>
    </row>
    <row r="93" customFormat="false" ht="21" hidden="false" customHeight="true" outlineLevel="0" collapsed="false">
      <c r="A93" s="91" t="str">
        <f aca="false">IF(名簿!$D93="","",名簿!$B93&amp;"")</f>
        <v/>
      </c>
      <c r="B93" s="91" t="str">
        <f aca="false">IF(名簿!$D93="","",名簿!$C93)</f>
        <v/>
      </c>
      <c r="C93" s="59" t="str">
        <f aca="false">IF(名簿!$D93="","",名簿!$D93&amp;IF(名簿!$F93="転出","（転出）",""))</f>
        <v/>
      </c>
      <c r="D93" s="149"/>
      <c r="E93" s="61" t="str">
        <f aca="false">IF(OR($C93="",名簿!$F93="転出"),"",IF($C$2="学級ごと",$A93,IF($C$2="前の単元と同じ",単元08!$E93&amp;"",$D93&amp;"")))</f>
        <v/>
      </c>
      <c r="F93" s="150"/>
      <c r="G93" s="150"/>
      <c r="H93" s="150"/>
      <c r="I93" s="151"/>
      <c r="J93" s="41" t="str">
        <f aca="false">IF($E93="","",$E93&amp;"|"&amp;COUNTIF($E$5:$E93,$E93))</f>
        <v/>
      </c>
      <c r="K93" s="40" t="str">
        <f aca="false">IF($I93="","",LEN($I93))</f>
        <v/>
      </c>
      <c r="L93" s="13"/>
      <c r="M93" s="13"/>
      <c r="N93" s="13"/>
      <c r="O93" s="13"/>
      <c r="P93" s="152"/>
      <c r="Q93" s="149"/>
      <c r="R93" s="152"/>
      <c r="S93" s="152"/>
      <c r="T93" s="62" t="str">
        <f aca="false">IF(OR($C93="",R93=""),"",IF(R93/IF($R$2="",100,$R$2)&gt;=設定!$I$28,設定!$G$8,IF(R93/IF($R$2="",100,$R$2)&lt;設定!$I$29,設定!$G$10,設定!$G$9)))</f>
        <v/>
      </c>
      <c r="U93" s="62" t="str">
        <f aca="false">IF(OR($C93="",S93=""),"",IF(S93/IF($S$2="",100,$S$2)&gt;=設定!$I$28,設定!$G$8,IF(S93/IF($S$2="",100,$S$2)&lt;設定!$I$29,設定!$G$10,設定!$G$9)))</f>
        <v/>
      </c>
    </row>
    <row r="94" customFormat="false" ht="21" hidden="false" customHeight="true" outlineLevel="0" collapsed="false">
      <c r="A94" s="91" t="str">
        <f aca="false">IF(名簿!$D94="","",名簿!$B94&amp;"")</f>
        <v/>
      </c>
      <c r="B94" s="91" t="str">
        <f aca="false">IF(名簿!$D94="","",名簿!$C94)</f>
        <v/>
      </c>
      <c r="C94" s="59" t="str">
        <f aca="false">IF(名簿!$D94="","",名簿!$D94&amp;IF(名簿!$F94="転出","（転出）",""))</f>
        <v/>
      </c>
      <c r="D94" s="149"/>
      <c r="E94" s="61" t="str">
        <f aca="false">IF(OR($C94="",名簿!$F94="転出"),"",IF($C$2="学級ごと",$A94,IF($C$2="前の単元と同じ",単元08!$E94&amp;"",$D94&amp;"")))</f>
        <v/>
      </c>
      <c r="F94" s="150"/>
      <c r="G94" s="150"/>
      <c r="H94" s="150"/>
      <c r="I94" s="151"/>
      <c r="J94" s="41" t="str">
        <f aca="false">IF($E94="","",$E94&amp;"|"&amp;COUNTIF($E$5:$E94,$E94))</f>
        <v/>
      </c>
      <c r="K94" s="40" t="str">
        <f aca="false">IF($I94="","",LEN($I94))</f>
        <v/>
      </c>
      <c r="L94" s="13"/>
      <c r="M94" s="13"/>
      <c r="N94" s="13"/>
      <c r="O94" s="13"/>
      <c r="P94" s="152"/>
      <c r="Q94" s="149"/>
      <c r="R94" s="152"/>
      <c r="S94" s="152"/>
      <c r="T94" s="62" t="str">
        <f aca="false">IF(OR($C94="",R94=""),"",IF(R94/IF($R$2="",100,$R$2)&gt;=設定!$I$28,設定!$G$8,IF(R94/IF($R$2="",100,$R$2)&lt;設定!$I$29,設定!$G$10,設定!$G$9)))</f>
        <v/>
      </c>
      <c r="U94" s="62" t="str">
        <f aca="false">IF(OR($C94="",S94=""),"",IF(S94/IF($S$2="",100,$S$2)&gt;=設定!$I$28,設定!$G$8,IF(S94/IF($S$2="",100,$S$2)&lt;設定!$I$29,設定!$G$10,設定!$G$9)))</f>
        <v/>
      </c>
    </row>
    <row r="95" customFormat="false" ht="21" hidden="false" customHeight="true" outlineLevel="0" collapsed="false">
      <c r="A95" s="91" t="str">
        <f aca="false">IF(名簿!$D95="","",名簿!$B95&amp;"")</f>
        <v/>
      </c>
      <c r="B95" s="91" t="str">
        <f aca="false">IF(名簿!$D95="","",名簿!$C95)</f>
        <v/>
      </c>
      <c r="C95" s="59" t="str">
        <f aca="false">IF(名簿!$D95="","",名簿!$D95&amp;IF(名簿!$F95="転出","（転出）",""))</f>
        <v/>
      </c>
      <c r="D95" s="149"/>
      <c r="E95" s="61" t="str">
        <f aca="false">IF(OR($C95="",名簿!$F95="転出"),"",IF($C$2="学級ごと",$A95,IF($C$2="前の単元と同じ",単元08!$E95&amp;"",$D95&amp;"")))</f>
        <v/>
      </c>
      <c r="F95" s="150"/>
      <c r="G95" s="150"/>
      <c r="H95" s="150"/>
      <c r="I95" s="151"/>
      <c r="J95" s="41" t="str">
        <f aca="false">IF($E95="","",$E95&amp;"|"&amp;COUNTIF($E$5:$E95,$E95))</f>
        <v/>
      </c>
      <c r="K95" s="40" t="str">
        <f aca="false">IF($I95="","",LEN($I95))</f>
        <v/>
      </c>
      <c r="L95" s="13"/>
      <c r="M95" s="13"/>
      <c r="N95" s="13"/>
      <c r="O95" s="13"/>
      <c r="P95" s="152"/>
      <c r="Q95" s="149"/>
      <c r="R95" s="152"/>
      <c r="S95" s="152"/>
      <c r="T95" s="62" t="str">
        <f aca="false">IF(OR($C95="",R95=""),"",IF(R95/IF($R$2="",100,$R$2)&gt;=設定!$I$28,設定!$G$8,IF(R95/IF($R$2="",100,$R$2)&lt;設定!$I$29,設定!$G$10,設定!$G$9)))</f>
        <v/>
      </c>
      <c r="U95" s="62" t="str">
        <f aca="false">IF(OR($C95="",S95=""),"",IF(S95/IF($S$2="",100,$S$2)&gt;=設定!$I$28,設定!$G$8,IF(S95/IF($S$2="",100,$S$2)&lt;設定!$I$29,設定!$G$10,設定!$G$9)))</f>
        <v/>
      </c>
    </row>
    <row r="96" customFormat="false" ht="21" hidden="false" customHeight="true" outlineLevel="0" collapsed="false">
      <c r="A96" s="91" t="str">
        <f aca="false">IF(名簿!$D96="","",名簿!$B96&amp;"")</f>
        <v/>
      </c>
      <c r="B96" s="91" t="str">
        <f aca="false">IF(名簿!$D96="","",名簿!$C96)</f>
        <v/>
      </c>
      <c r="C96" s="59" t="str">
        <f aca="false">IF(名簿!$D96="","",名簿!$D96&amp;IF(名簿!$F96="転出","（転出）",""))</f>
        <v/>
      </c>
      <c r="D96" s="149"/>
      <c r="E96" s="61" t="str">
        <f aca="false">IF(OR($C96="",名簿!$F96="転出"),"",IF($C$2="学級ごと",$A96,IF($C$2="前の単元と同じ",単元08!$E96&amp;"",$D96&amp;"")))</f>
        <v/>
      </c>
      <c r="F96" s="150"/>
      <c r="G96" s="150"/>
      <c r="H96" s="150"/>
      <c r="I96" s="151"/>
      <c r="J96" s="41" t="str">
        <f aca="false">IF($E96="","",$E96&amp;"|"&amp;COUNTIF($E$5:$E96,$E96))</f>
        <v/>
      </c>
      <c r="K96" s="40" t="str">
        <f aca="false">IF($I96="","",LEN($I96))</f>
        <v/>
      </c>
      <c r="L96" s="13"/>
      <c r="M96" s="13"/>
      <c r="N96" s="13"/>
      <c r="O96" s="13"/>
      <c r="P96" s="152"/>
      <c r="Q96" s="149"/>
      <c r="R96" s="152"/>
      <c r="S96" s="152"/>
      <c r="T96" s="62" t="str">
        <f aca="false">IF(OR($C96="",R96=""),"",IF(R96/IF($R$2="",100,$R$2)&gt;=設定!$I$28,設定!$G$8,IF(R96/IF($R$2="",100,$R$2)&lt;設定!$I$29,設定!$G$10,設定!$G$9)))</f>
        <v/>
      </c>
      <c r="U96" s="62" t="str">
        <f aca="false">IF(OR($C96="",S96=""),"",IF(S96/IF($S$2="",100,$S$2)&gt;=設定!$I$28,設定!$G$8,IF(S96/IF($S$2="",100,$S$2)&lt;設定!$I$29,設定!$G$10,設定!$G$9)))</f>
        <v/>
      </c>
    </row>
    <row r="97" customFormat="false" ht="21" hidden="false" customHeight="true" outlineLevel="0" collapsed="false">
      <c r="A97" s="91" t="str">
        <f aca="false">IF(名簿!$D97="","",名簿!$B97&amp;"")</f>
        <v/>
      </c>
      <c r="B97" s="91" t="str">
        <f aca="false">IF(名簿!$D97="","",名簿!$C97)</f>
        <v/>
      </c>
      <c r="C97" s="59" t="str">
        <f aca="false">IF(名簿!$D97="","",名簿!$D97&amp;IF(名簿!$F97="転出","（転出）",""))</f>
        <v/>
      </c>
      <c r="D97" s="149"/>
      <c r="E97" s="61" t="str">
        <f aca="false">IF(OR($C97="",名簿!$F97="転出"),"",IF($C$2="学級ごと",$A97,IF($C$2="前の単元と同じ",単元08!$E97&amp;"",$D97&amp;"")))</f>
        <v/>
      </c>
      <c r="F97" s="150"/>
      <c r="G97" s="150"/>
      <c r="H97" s="150"/>
      <c r="I97" s="151"/>
      <c r="J97" s="41" t="str">
        <f aca="false">IF($E97="","",$E97&amp;"|"&amp;COUNTIF($E$5:$E97,$E97))</f>
        <v/>
      </c>
      <c r="K97" s="40" t="str">
        <f aca="false">IF($I97="","",LEN($I97))</f>
        <v/>
      </c>
      <c r="L97" s="13"/>
      <c r="M97" s="13"/>
      <c r="N97" s="13"/>
      <c r="O97" s="13"/>
      <c r="P97" s="152"/>
      <c r="Q97" s="149"/>
      <c r="R97" s="152"/>
      <c r="S97" s="152"/>
      <c r="T97" s="62" t="str">
        <f aca="false">IF(OR($C97="",R97=""),"",IF(R97/IF($R$2="",100,$R$2)&gt;=設定!$I$28,設定!$G$8,IF(R97/IF($R$2="",100,$R$2)&lt;設定!$I$29,設定!$G$10,設定!$G$9)))</f>
        <v/>
      </c>
      <c r="U97" s="62" t="str">
        <f aca="false">IF(OR($C97="",S97=""),"",IF(S97/IF($S$2="",100,$S$2)&gt;=設定!$I$28,設定!$G$8,IF(S97/IF($S$2="",100,$S$2)&lt;設定!$I$29,設定!$G$10,設定!$G$9)))</f>
        <v/>
      </c>
    </row>
    <row r="98" customFormat="false" ht="21" hidden="false" customHeight="true" outlineLevel="0" collapsed="false">
      <c r="A98" s="91" t="str">
        <f aca="false">IF(名簿!$D98="","",名簿!$B98&amp;"")</f>
        <v/>
      </c>
      <c r="B98" s="91" t="str">
        <f aca="false">IF(名簿!$D98="","",名簿!$C98)</f>
        <v/>
      </c>
      <c r="C98" s="59" t="str">
        <f aca="false">IF(名簿!$D98="","",名簿!$D98&amp;IF(名簿!$F98="転出","（転出）",""))</f>
        <v/>
      </c>
      <c r="D98" s="149"/>
      <c r="E98" s="61" t="str">
        <f aca="false">IF(OR($C98="",名簿!$F98="転出"),"",IF($C$2="学級ごと",$A98,IF($C$2="前の単元と同じ",単元08!$E98&amp;"",$D98&amp;"")))</f>
        <v/>
      </c>
      <c r="F98" s="150"/>
      <c r="G98" s="150"/>
      <c r="H98" s="150"/>
      <c r="I98" s="151"/>
      <c r="J98" s="41" t="str">
        <f aca="false">IF($E98="","",$E98&amp;"|"&amp;COUNTIF($E$5:$E98,$E98))</f>
        <v/>
      </c>
      <c r="K98" s="40" t="str">
        <f aca="false">IF($I98="","",LEN($I98))</f>
        <v/>
      </c>
      <c r="L98" s="13"/>
      <c r="M98" s="13"/>
      <c r="N98" s="13"/>
      <c r="O98" s="13"/>
      <c r="P98" s="152"/>
      <c r="Q98" s="149"/>
      <c r="R98" s="152"/>
      <c r="S98" s="152"/>
      <c r="T98" s="62" t="str">
        <f aca="false">IF(OR($C98="",R98=""),"",IF(R98/IF($R$2="",100,$R$2)&gt;=設定!$I$28,設定!$G$8,IF(R98/IF($R$2="",100,$R$2)&lt;設定!$I$29,設定!$G$10,設定!$G$9)))</f>
        <v/>
      </c>
      <c r="U98" s="62" t="str">
        <f aca="false">IF(OR($C98="",S98=""),"",IF(S98/IF($S$2="",100,$S$2)&gt;=設定!$I$28,設定!$G$8,IF(S98/IF($S$2="",100,$S$2)&lt;設定!$I$29,設定!$G$10,設定!$G$9)))</f>
        <v/>
      </c>
    </row>
    <row r="99" customFormat="false" ht="21" hidden="false" customHeight="true" outlineLevel="0" collapsed="false">
      <c r="A99" s="91" t="str">
        <f aca="false">IF(名簿!$D99="","",名簿!$B99&amp;"")</f>
        <v/>
      </c>
      <c r="B99" s="91" t="str">
        <f aca="false">IF(名簿!$D99="","",名簿!$C99)</f>
        <v/>
      </c>
      <c r="C99" s="59" t="str">
        <f aca="false">IF(名簿!$D99="","",名簿!$D99&amp;IF(名簿!$F99="転出","（転出）",""))</f>
        <v/>
      </c>
      <c r="D99" s="149"/>
      <c r="E99" s="61" t="str">
        <f aca="false">IF(OR($C99="",名簿!$F99="転出"),"",IF($C$2="学級ごと",$A99,IF($C$2="前の単元と同じ",単元08!$E99&amp;"",$D99&amp;"")))</f>
        <v/>
      </c>
      <c r="F99" s="150"/>
      <c r="G99" s="150"/>
      <c r="H99" s="150"/>
      <c r="I99" s="151"/>
      <c r="J99" s="41" t="str">
        <f aca="false">IF($E99="","",$E99&amp;"|"&amp;COUNTIF($E$5:$E99,$E99))</f>
        <v/>
      </c>
      <c r="K99" s="40" t="str">
        <f aca="false">IF($I99="","",LEN($I99))</f>
        <v/>
      </c>
      <c r="L99" s="13"/>
      <c r="M99" s="13"/>
      <c r="N99" s="13"/>
      <c r="O99" s="13"/>
      <c r="P99" s="152"/>
      <c r="Q99" s="149"/>
      <c r="R99" s="152"/>
      <c r="S99" s="152"/>
      <c r="T99" s="62" t="str">
        <f aca="false">IF(OR($C99="",R99=""),"",IF(R99/IF($R$2="",100,$R$2)&gt;=設定!$I$28,設定!$G$8,IF(R99/IF($R$2="",100,$R$2)&lt;設定!$I$29,設定!$G$10,設定!$G$9)))</f>
        <v/>
      </c>
      <c r="U99" s="62" t="str">
        <f aca="false">IF(OR($C99="",S99=""),"",IF(S99/IF($S$2="",100,$S$2)&gt;=設定!$I$28,設定!$G$8,IF(S99/IF($S$2="",100,$S$2)&lt;設定!$I$29,設定!$G$10,設定!$G$9)))</f>
        <v/>
      </c>
    </row>
    <row r="100" customFormat="false" ht="21" hidden="false" customHeight="true" outlineLevel="0" collapsed="false">
      <c r="A100" s="91" t="str">
        <f aca="false">IF(名簿!$D100="","",名簿!$B100&amp;"")</f>
        <v/>
      </c>
      <c r="B100" s="91" t="str">
        <f aca="false">IF(名簿!$D100="","",名簿!$C100)</f>
        <v/>
      </c>
      <c r="C100" s="59" t="str">
        <f aca="false">IF(名簿!$D100="","",名簿!$D100&amp;IF(名簿!$F100="転出","（転出）",""))</f>
        <v/>
      </c>
      <c r="D100" s="149"/>
      <c r="E100" s="61" t="str">
        <f aca="false">IF(OR($C100="",名簿!$F100="転出"),"",IF($C$2="学級ごと",$A100,IF($C$2="前の単元と同じ",単元08!$E100&amp;"",$D100&amp;"")))</f>
        <v/>
      </c>
      <c r="F100" s="150"/>
      <c r="G100" s="150"/>
      <c r="H100" s="150"/>
      <c r="I100" s="151"/>
      <c r="J100" s="41" t="str">
        <f aca="false">IF($E100="","",$E100&amp;"|"&amp;COUNTIF($E$5:$E100,$E100))</f>
        <v/>
      </c>
      <c r="K100" s="40" t="str">
        <f aca="false">IF($I100="","",LEN($I100))</f>
        <v/>
      </c>
      <c r="L100" s="13"/>
      <c r="M100" s="13"/>
      <c r="N100" s="13"/>
      <c r="O100" s="13"/>
      <c r="P100" s="152"/>
      <c r="Q100" s="149"/>
      <c r="R100" s="152"/>
      <c r="S100" s="152"/>
      <c r="T100" s="62" t="str">
        <f aca="false">IF(OR($C100="",R100=""),"",IF(R100/IF($R$2="",100,$R$2)&gt;=設定!$I$28,設定!$G$8,IF(R100/IF($R$2="",100,$R$2)&lt;設定!$I$29,設定!$G$10,設定!$G$9)))</f>
        <v/>
      </c>
      <c r="U100" s="62" t="str">
        <f aca="false">IF(OR($C100="",S100=""),"",IF(S100/IF($S$2="",100,$S$2)&gt;=設定!$I$28,設定!$G$8,IF(S100/IF($S$2="",100,$S$2)&lt;設定!$I$29,設定!$G$10,設定!$G$9)))</f>
        <v/>
      </c>
    </row>
    <row r="101" customFormat="false" ht="21" hidden="false" customHeight="true" outlineLevel="0" collapsed="false">
      <c r="A101" s="91" t="str">
        <f aca="false">IF(名簿!$D101="","",名簿!$B101&amp;"")</f>
        <v/>
      </c>
      <c r="B101" s="91" t="str">
        <f aca="false">IF(名簿!$D101="","",名簿!$C101)</f>
        <v/>
      </c>
      <c r="C101" s="59" t="str">
        <f aca="false">IF(名簿!$D101="","",名簿!$D101&amp;IF(名簿!$F101="転出","（転出）",""))</f>
        <v/>
      </c>
      <c r="D101" s="149"/>
      <c r="E101" s="61" t="str">
        <f aca="false">IF(OR($C101="",名簿!$F101="転出"),"",IF($C$2="学級ごと",$A101,IF($C$2="前の単元と同じ",単元08!$E101&amp;"",$D101&amp;"")))</f>
        <v/>
      </c>
      <c r="F101" s="150"/>
      <c r="G101" s="150"/>
      <c r="H101" s="150"/>
      <c r="I101" s="151"/>
      <c r="J101" s="41" t="str">
        <f aca="false">IF($E101="","",$E101&amp;"|"&amp;COUNTIF($E$5:$E101,$E101))</f>
        <v/>
      </c>
      <c r="K101" s="40" t="str">
        <f aca="false">IF($I101="","",LEN($I101))</f>
        <v/>
      </c>
      <c r="L101" s="13"/>
      <c r="M101" s="13"/>
      <c r="N101" s="13"/>
      <c r="O101" s="13"/>
      <c r="P101" s="152"/>
      <c r="Q101" s="149"/>
      <c r="R101" s="152"/>
      <c r="S101" s="152"/>
      <c r="T101" s="62" t="str">
        <f aca="false">IF(OR($C101="",R101=""),"",IF(R101/IF($R$2="",100,$R$2)&gt;=設定!$I$28,設定!$G$8,IF(R101/IF($R$2="",100,$R$2)&lt;設定!$I$29,設定!$G$10,設定!$G$9)))</f>
        <v/>
      </c>
      <c r="U101" s="62" t="str">
        <f aca="false">IF(OR($C101="",S101=""),"",IF(S101/IF($S$2="",100,$S$2)&gt;=設定!$I$28,設定!$G$8,IF(S101/IF($S$2="",100,$S$2)&lt;設定!$I$29,設定!$G$10,設定!$G$9)))</f>
        <v/>
      </c>
    </row>
    <row r="102" customFormat="false" ht="21" hidden="false" customHeight="true" outlineLevel="0" collapsed="false">
      <c r="A102" s="91" t="str">
        <f aca="false">IF(名簿!$D102="","",名簿!$B102&amp;"")</f>
        <v/>
      </c>
      <c r="B102" s="91" t="str">
        <f aca="false">IF(名簿!$D102="","",名簿!$C102)</f>
        <v/>
      </c>
      <c r="C102" s="59" t="str">
        <f aca="false">IF(名簿!$D102="","",名簿!$D102&amp;IF(名簿!$F102="転出","（転出）",""))</f>
        <v/>
      </c>
      <c r="D102" s="149"/>
      <c r="E102" s="61" t="str">
        <f aca="false">IF(OR($C102="",名簿!$F102="転出"),"",IF($C$2="学級ごと",$A102,IF($C$2="前の単元と同じ",単元08!$E102&amp;"",$D102&amp;"")))</f>
        <v/>
      </c>
      <c r="F102" s="150"/>
      <c r="G102" s="150"/>
      <c r="H102" s="150"/>
      <c r="I102" s="151"/>
      <c r="J102" s="41" t="str">
        <f aca="false">IF($E102="","",$E102&amp;"|"&amp;COUNTIF($E$5:$E102,$E102))</f>
        <v/>
      </c>
      <c r="K102" s="40" t="str">
        <f aca="false">IF($I102="","",LEN($I102))</f>
        <v/>
      </c>
      <c r="L102" s="13"/>
      <c r="M102" s="13"/>
      <c r="N102" s="13"/>
      <c r="O102" s="13"/>
      <c r="P102" s="152"/>
      <c r="Q102" s="149"/>
      <c r="R102" s="152"/>
      <c r="S102" s="152"/>
      <c r="T102" s="62" t="str">
        <f aca="false">IF(OR($C102="",R102=""),"",IF(R102/IF($R$2="",100,$R$2)&gt;=設定!$I$28,設定!$G$8,IF(R102/IF($R$2="",100,$R$2)&lt;設定!$I$29,設定!$G$10,設定!$G$9)))</f>
        <v/>
      </c>
      <c r="U102" s="62" t="str">
        <f aca="false">IF(OR($C102="",S102=""),"",IF(S102/IF($S$2="",100,$S$2)&gt;=設定!$I$28,設定!$G$8,IF(S102/IF($S$2="",100,$S$2)&lt;設定!$I$29,設定!$G$10,設定!$G$9)))</f>
        <v/>
      </c>
    </row>
    <row r="103" customFormat="false" ht="21" hidden="false" customHeight="true" outlineLevel="0" collapsed="false">
      <c r="A103" s="91" t="str">
        <f aca="false">IF(名簿!$D103="","",名簿!$B103&amp;"")</f>
        <v/>
      </c>
      <c r="B103" s="91" t="str">
        <f aca="false">IF(名簿!$D103="","",名簿!$C103)</f>
        <v/>
      </c>
      <c r="C103" s="59" t="str">
        <f aca="false">IF(名簿!$D103="","",名簿!$D103&amp;IF(名簿!$F103="転出","（転出）",""))</f>
        <v/>
      </c>
      <c r="D103" s="149"/>
      <c r="E103" s="61" t="str">
        <f aca="false">IF(OR($C103="",名簿!$F103="転出"),"",IF($C$2="学級ごと",$A103,IF($C$2="前の単元と同じ",単元08!$E103&amp;"",$D103&amp;"")))</f>
        <v/>
      </c>
      <c r="F103" s="150"/>
      <c r="G103" s="150"/>
      <c r="H103" s="150"/>
      <c r="I103" s="151"/>
      <c r="J103" s="41" t="str">
        <f aca="false">IF($E103="","",$E103&amp;"|"&amp;COUNTIF($E$5:$E103,$E103))</f>
        <v/>
      </c>
      <c r="K103" s="40" t="str">
        <f aca="false">IF($I103="","",LEN($I103))</f>
        <v/>
      </c>
      <c r="L103" s="13"/>
      <c r="M103" s="13"/>
      <c r="N103" s="13"/>
      <c r="O103" s="13"/>
      <c r="P103" s="152"/>
      <c r="Q103" s="149"/>
      <c r="R103" s="152"/>
      <c r="S103" s="152"/>
      <c r="T103" s="62" t="str">
        <f aca="false">IF(OR($C103="",R103=""),"",IF(R103/IF($R$2="",100,$R$2)&gt;=設定!$I$28,設定!$G$8,IF(R103/IF($R$2="",100,$R$2)&lt;設定!$I$29,設定!$G$10,設定!$G$9)))</f>
        <v/>
      </c>
      <c r="U103" s="62" t="str">
        <f aca="false">IF(OR($C103="",S103=""),"",IF(S103/IF($S$2="",100,$S$2)&gt;=設定!$I$28,設定!$G$8,IF(S103/IF($S$2="",100,$S$2)&lt;設定!$I$29,設定!$G$10,設定!$G$9)))</f>
        <v/>
      </c>
    </row>
    <row r="104" customFormat="false" ht="21" hidden="false" customHeight="true" outlineLevel="0" collapsed="false">
      <c r="A104" s="91" t="str">
        <f aca="false">IF(名簿!$D104="","",名簿!$B104&amp;"")</f>
        <v/>
      </c>
      <c r="B104" s="91" t="str">
        <f aca="false">IF(名簿!$D104="","",名簿!$C104)</f>
        <v/>
      </c>
      <c r="C104" s="59" t="str">
        <f aca="false">IF(名簿!$D104="","",名簿!$D104&amp;IF(名簿!$F104="転出","（転出）",""))</f>
        <v/>
      </c>
      <c r="D104" s="149"/>
      <c r="E104" s="61" t="str">
        <f aca="false">IF(OR($C104="",名簿!$F104="転出"),"",IF($C$2="学級ごと",$A104,IF($C$2="前の単元と同じ",単元08!$E104&amp;"",$D104&amp;"")))</f>
        <v/>
      </c>
      <c r="F104" s="150"/>
      <c r="G104" s="150"/>
      <c r="H104" s="150"/>
      <c r="I104" s="151"/>
      <c r="J104" s="41" t="str">
        <f aca="false">IF($E104="","",$E104&amp;"|"&amp;COUNTIF($E$5:$E104,$E104))</f>
        <v/>
      </c>
      <c r="K104" s="40" t="str">
        <f aca="false">IF($I104="","",LEN($I104))</f>
        <v/>
      </c>
      <c r="L104" s="13"/>
      <c r="M104" s="13"/>
      <c r="N104" s="13"/>
      <c r="O104" s="13"/>
      <c r="P104" s="152"/>
      <c r="Q104" s="149"/>
      <c r="R104" s="152"/>
      <c r="S104" s="152"/>
      <c r="T104" s="62" t="str">
        <f aca="false">IF(OR($C104="",R104=""),"",IF(R104/IF($R$2="",100,$R$2)&gt;=設定!$I$28,設定!$G$8,IF(R104/IF($R$2="",100,$R$2)&lt;設定!$I$29,設定!$G$10,設定!$G$9)))</f>
        <v/>
      </c>
      <c r="U104" s="62" t="str">
        <f aca="false">IF(OR($C104="",S104=""),"",IF(S104/IF($S$2="",100,$S$2)&gt;=設定!$I$28,設定!$G$8,IF(S104/IF($S$2="",100,$S$2)&lt;設定!$I$29,設定!$G$10,設定!$G$9)))</f>
        <v/>
      </c>
    </row>
    <row r="105" customFormat="false" ht="21" hidden="false" customHeight="true" outlineLevel="0" collapsed="false">
      <c r="A105" s="91" t="str">
        <f aca="false">IF(名簿!$D105="","",名簿!$B105&amp;"")</f>
        <v/>
      </c>
      <c r="B105" s="91" t="str">
        <f aca="false">IF(名簿!$D105="","",名簿!$C105)</f>
        <v/>
      </c>
      <c r="C105" s="59" t="str">
        <f aca="false">IF(名簿!$D105="","",名簿!$D105&amp;IF(名簿!$F105="転出","（転出）",""))</f>
        <v/>
      </c>
      <c r="D105" s="149"/>
      <c r="E105" s="61" t="str">
        <f aca="false">IF(OR($C105="",名簿!$F105="転出"),"",IF($C$2="学級ごと",$A105,IF($C$2="前の単元と同じ",単元08!$E105&amp;"",$D105&amp;"")))</f>
        <v/>
      </c>
      <c r="F105" s="150"/>
      <c r="G105" s="150"/>
      <c r="H105" s="150"/>
      <c r="I105" s="151"/>
      <c r="J105" s="41" t="str">
        <f aca="false">IF($E105="","",$E105&amp;"|"&amp;COUNTIF($E$5:$E105,$E105))</f>
        <v/>
      </c>
      <c r="K105" s="40" t="str">
        <f aca="false">IF($I105="","",LEN($I105))</f>
        <v/>
      </c>
      <c r="L105" s="13"/>
      <c r="M105" s="13"/>
      <c r="N105" s="13"/>
      <c r="O105" s="13"/>
      <c r="P105" s="152"/>
      <c r="Q105" s="149"/>
      <c r="R105" s="152"/>
      <c r="S105" s="152"/>
      <c r="T105" s="62" t="str">
        <f aca="false">IF(OR($C105="",R105=""),"",IF(R105/IF($R$2="",100,$R$2)&gt;=設定!$I$28,設定!$G$8,IF(R105/IF($R$2="",100,$R$2)&lt;設定!$I$29,設定!$G$10,設定!$G$9)))</f>
        <v/>
      </c>
      <c r="U105" s="62" t="str">
        <f aca="false">IF(OR($C105="",S105=""),"",IF(S105/IF($S$2="",100,$S$2)&gt;=設定!$I$28,設定!$G$8,IF(S105/IF($S$2="",100,$S$2)&lt;設定!$I$29,設定!$G$10,設定!$G$9)))</f>
        <v/>
      </c>
    </row>
    <row r="106" customFormat="false" ht="21" hidden="false" customHeight="true" outlineLevel="0" collapsed="false">
      <c r="A106" s="91" t="str">
        <f aca="false">IF(名簿!$D106="","",名簿!$B106&amp;"")</f>
        <v/>
      </c>
      <c r="B106" s="91" t="str">
        <f aca="false">IF(名簿!$D106="","",名簿!$C106)</f>
        <v/>
      </c>
      <c r="C106" s="59" t="str">
        <f aca="false">IF(名簿!$D106="","",名簿!$D106&amp;IF(名簿!$F106="転出","（転出）",""))</f>
        <v/>
      </c>
      <c r="D106" s="149"/>
      <c r="E106" s="61" t="str">
        <f aca="false">IF(OR($C106="",名簿!$F106="転出"),"",IF($C$2="学級ごと",$A106,IF($C$2="前の単元と同じ",単元08!$E106&amp;"",$D106&amp;"")))</f>
        <v/>
      </c>
      <c r="F106" s="150"/>
      <c r="G106" s="150"/>
      <c r="H106" s="150"/>
      <c r="I106" s="151"/>
      <c r="J106" s="41" t="str">
        <f aca="false">IF($E106="","",$E106&amp;"|"&amp;COUNTIF($E$5:$E106,$E106))</f>
        <v/>
      </c>
      <c r="K106" s="40" t="str">
        <f aca="false">IF($I106="","",LEN($I106))</f>
        <v/>
      </c>
      <c r="L106" s="13"/>
      <c r="M106" s="13"/>
      <c r="N106" s="13"/>
      <c r="O106" s="13"/>
      <c r="P106" s="152"/>
      <c r="Q106" s="149"/>
      <c r="R106" s="152"/>
      <c r="S106" s="152"/>
      <c r="T106" s="62" t="str">
        <f aca="false">IF(OR($C106="",R106=""),"",IF(R106/IF($R$2="",100,$R$2)&gt;=設定!$I$28,設定!$G$8,IF(R106/IF($R$2="",100,$R$2)&lt;設定!$I$29,設定!$G$10,設定!$G$9)))</f>
        <v/>
      </c>
      <c r="U106" s="62" t="str">
        <f aca="false">IF(OR($C106="",S106=""),"",IF(S106/IF($S$2="",100,$S$2)&gt;=設定!$I$28,設定!$G$8,IF(S106/IF($S$2="",100,$S$2)&lt;設定!$I$29,設定!$G$10,設定!$G$9)))</f>
        <v/>
      </c>
    </row>
    <row r="107" customFormat="false" ht="21" hidden="false" customHeight="true" outlineLevel="0" collapsed="false">
      <c r="A107" s="91" t="str">
        <f aca="false">IF(名簿!$D107="","",名簿!$B107&amp;"")</f>
        <v/>
      </c>
      <c r="B107" s="91" t="str">
        <f aca="false">IF(名簿!$D107="","",名簿!$C107)</f>
        <v/>
      </c>
      <c r="C107" s="59" t="str">
        <f aca="false">IF(名簿!$D107="","",名簿!$D107&amp;IF(名簿!$F107="転出","（転出）",""))</f>
        <v/>
      </c>
      <c r="D107" s="149"/>
      <c r="E107" s="61" t="str">
        <f aca="false">IF(OR($C107="",名簿!$F107="転出"),"",IF($C$2="学級ごと",$A107,IF($C$2="前の単元と同じ",単元08!$E107&amp;"",$D107&amp;"")))</f>
        <v/>
      </c>
      <c r="F107" s="150"/>
      <c r="G107" s="150"/>
      <c r="H107" s="150"/>
      <c r="I107" s="151"/>
      <c r="J107" s="41" t="str">
        <f aca="false">IF($E107="","",$E107&amp;"|"&amp;COUNTIF($E$5:$E107,$E107))</f>
        <v/>
      </c>
      <c r="K107" s="40" t="str">
        <f aca="false">IF($I107="","",LEN($I107))</f>
        <v/>
      </c>
      <c r="L107" s="13"/>
      <c r="M107" s="13"/>
      <c r="N107" s="13"/>
      <c r="O107" s="13"/>
      <c r="P107" s="152"/>
      <c r="Q107" s="149"/>
      <c r="R107" s="152"/>
      <c r="S107" s="152"/>
      <c r="T107" s="62" t="str">
        <f aca="false">IF(OR($C107="",R107=""),"",IF(R107/IF($R$2="",100,$R$2)&gt;=設定!$I$28,設定!$G$8,IF(R107/IF($R$2="",100,$R$2)&lt;設定!$I$29,設定!$G$10,設定!$G$9)))</f>
        <v/>
      </c>
      <c r="U107" s="62" t="str">
        <f aca="false">IF(OR($C107="",S107=""),"",IF(S107/IF($S$2="",100,$S$2)&gt;=設定!$I$28,設定!$G$8,IF(S107/IF($S$2="",100,$S$2)&lt;設定!$I$29,設定!$G$10,設定!$G$9)))</f>
        <v/>
      </c>
    </row>
    <row r="108" customFormat="false" ht="21" hidden="false" customHeight="true" outlineLevel="0" collapsed="false">
      <c r="A108" s="91" t="str">
        <f aca="false">IF(名簿!$D108="","",名簿!$B108&amp;"")</f>
        <v/>
      </c>
      <c r="B108" s="91" t="str">
        <f aca="false">IF(名簿!$D108="","",名簿!$C108)</f>
        <v/>
      </c>
      <c r="C108" s="59" t="str">
        <f aca="false">IF(名簿!$D108="","",名簿!$D108&amp;IF(名簿!$F108="転出","（転出）",""))</f>
        <v/>
      </c>
      <c r="D108" s="149"/>
      <c r="E108" s="61" t="str">
        <f aca="false">IF(OR($C108="",名簿!$F108="転出"),"",IF($C$2="学級ごと",$A108,IF($C$2="前の単元と同じ",単元08!$E108&amp;"",$D108&amp;"")))</f>
        <v/>
      </c>
      <c r="F108" s="150"/>
      <c r="G108" s="150"/>
      <c r="H108" s="150"/>
      <c r="I108" s="151"/>
      <c r="J108" s="41" t="str">
        <f aca="false">IF($E108="","",$E108&amp;"|"&amp;COUNTIF($E$5:$E108,$E108))</f>
        <v/>
      </c>
      <c r="K108" s="40" t="str">
        <f aca="false">IF($I108="","",LEN($I108))</f>
        <v/>
      </c>
      <c r="L108" s="13"/>
      <c r="M108" s="13"/>
      <c r="N108" s="13"/>
      <c r="O108" s="13"/>
      <c r="P108" s="152"/>
      <c r="Q108" s="149"/>
      <c r="R108" s="152"/>
      <c r="S108" s="152"/>
      <c r="T108" s="62" t="str">
        <f aca="false">IF(OR($C108="",R108=""),"",IF(R108/IF($R$2="",100,$R$2)&gt;=設定!$I$28,設定!$G$8,IF(R108/IF($R$2="",100,$R$2)&lt;設定!$I$29,設定!$G$10,設定!$G$9)))</f>
        <v/>
      </c>
      <c r="U108" s="62" t="str">
        <f aca="false">IF(OR($C108="",S108=""),"",IF(S108/IF($S$2="",100,$S$2)&gt;=設定!$I$28,設定!$G$8,IF(S108/IF($S$2="",100,$S$2)&lt;設定!$I$29,設定!$G$10,設定!$G$9)))</f>
        <v/>
      </c>
    </row>
    <row r="109" customFormat="false" ht="21" hidden="false" customHeight="true" outlineLevel="0" collapsed="false">
      <c r="A109" s="91" t="str">
        <f aca="false">IF(名簿!$D109="","",名簿!$B109&amp;"")</f>
        <v/>
      </c>
      <c r="B109" s="91" t="str">
        <f aca="false">IF(名簿!$D109="","",名簿!$C109)</f>
        <v/>
      </c>
      <c r="C109" s="59" t="str">
        <f aca="false">IF(名簿!$D109="","",名簿!$D109&amp;IF(名簿!$F109="転出","（転出）",""))</f>
        <v/>
      </c>
      <c r="D109" s="149"/>
      <c r="E109" s="61" t="str">
        <f aca="false">IF(OR($C109="",名簿!$F109="転出"),"",IF($C$2="学級ごと",$A109,IF($C$2="前の単元と同じ",単元08!$E109&amp;"",$D109&amp;"")))</f>
        <v/>
      </c>
      <c r="F109" s="150"/>
      <c r="G109" s="150"/>
      <c r="H109" s="150"/>
      <c r="I109" s="151"/>
      <c r="J109" s="41" t="str">
        <f aca="false">IF($E109="","",$E109&amp;"|"&amp;COUNTIF($E$5:$E109,$E109))</f>
        <v/>
      </c>
      <c r="K109" s="40" t="str">
        <f aca="false">IF($I109="","",LEN($I109))</f>
        <v/>
      </c>
      <c r="L109" s="13"/>
      <c r="M109" s="13"/>
      <c r="N109" s="13"/>
      <c r="O109" s="13"/>
      <c r="P109" s="152"/>
      <c r="Q109" s="149"/>
      <c r="R109" s="152"/>
      <c r="S109" s="152"/>
      <c r="T109" s="62" t="str">
        <f aca="false">IF(OR($C109="",R109=""),"",IF(R109/IF($R$2="",100,$R$2)&gt;=設定!$I$28,設定!$G$8,IF(R109/IF($R$2="",100,$R$2)&lt;設定!$I$29,設定!$G$10,設定!$G$9)))</f>
        <v/>
      </c>
      <c r="U109" s="62" t="str">
        <f aca="false">IF(OR($C109="",S109=""),"",IF(S109/IF($S$2="",100,$S$2)&gt;=設定!$I$28,設定!$G$8,IF(S109/IF($S$2="",100,$S$2)&lt;設定!$I$29,設定!$G$10,設定!$G$9)))</f>
        <v/>
      </c>
    </row>
    <row r="110" customFormat="false" ht="21" hidden="false" customHeight="true" outlineLevel="0" collapsed="false">
      <c r="A110" s="91" t="str">
        <f aca="false">IF(名簿!$D110="","",名簿!$B110&amp;"")</f>
        <v/>
      </c>
      <c r="B110" s="91" t="str">
        <f aca="false">IF(名簿!$D110="","",名簿!$C110)</f>
        <v/>
      </c>
      <c r="C110" s="59" t="str">
        <f aca="false">IF(名簿!$D110="","",名簿!$D110&amp;IF(名簿!$F110="転出","（転出）",""))</f>
        <v/>
      </c>
      <c r="D110" s="149"/>
      <c r="E110" s="61" t="str">
        <f aca="false">IF(OR($C110="",名簿!$F110="転出"),"",IF($C$2="学級ごと",$A110,IF($C$2="前の単元と同じ",単元08!$E110&amp;"",$D110&amp;"")))</f>
        <v/>
      </c>
      <c r="F110" s="150"/>
      <c r="G110" s="150"/>
      <c r="H110" s="150"/>
      <c r="I110" s="151"/>
      <c r="J110" s="41" t="str">
        <f aca="false">IF($E110="","",$E110&amp;"|"&amp;COUNTIF($E$5:$E110,$E110))</f>
        <v/>
      </c>
      <c r="K110" s="40" t="str">
        <f aca="false">IF($I110="","",LEN($I110))</f>
        <v/>
      </c>
      <c r="L110" s="13"/>
      <c r="M110" s="13"/>
      <c r="N110" s="13"/>
      <c r="O110" s="13"/>
      <c r="P110" s="152"/>
      <c r="Q110" s="149"/>
      <c r="R110" s="152"/>
      <c r="S110" s="152"/>
      <c r="T110" s="62" t="str">
        <f aca="false">IF(OR($C110="",R110=""),"",IF(R110/IF($R$2="",100,$R$2)&gt;=設定!$I$28,設定!$G$8,IF(R110/IF($R$2="",100,$R$2)&lt;設定!$I$29,設定!$G$10,設定!$G$9)))</f>
        <v/>
      </c>
      <c r="U110" s="62" t="str">
        <f aca="false">IF(OR($C110="",S110=""),"",IF(S110/IF($S$2="",100,$S$2)&gt;=設定!$I$28,設定!$G$8,IF(S110/IF($S$2="",100,$S$2)&lt;設定!$I$29,設定!$G$10,設定!$G$9)))</f>
        <v/>
      </c>
    </row>
    <row r="111" customFormat="false" ht="21" hidden="false" customHeight="true" outlineLevel="0" collapsed="false">
      <c r="A111" s="91" t="str">
        <f aca="false">IF(名簿!$D111="","",名簿!$B111&amp;"")</f>
        <v/>
      </c>
      <c r="B111" s="91" t="str">
        <f aca="false">IF(名簿!$D111="","",名簿!$C111)</f>
        <v/>
      </c>
      <c r="C111" s="59" t="str">
        <f aca="false">IF(名簿!$D111="","",名簿!$D111&amp;IF(名簿!$F111="転出","（転出）",""))</f>
        <v/>
      </c>
      <c r="D111" s="149"/>
      <c r="E111" s="61" t="str">
        <f aca="false">IF(OR($C111="",名簿!$F111="転出"),"",IF($C$2="学級ごと",$A111,IF($C$2="前の単元と同じ",単元08!$E111&amp;"",$D111&amp;"")))</f>
        <v/>
      </c>
      <c r="F111" s="150"/>
      <c r="G111" s="150"/>
      <c r="H111" s="150"/>
      <c r="I111" s="151"/>
      <c r="J111" s="41" t="str">
        <f aca="false">IF($E111="","",$E111&amp;"|"&amp;COUNTIF($E$5:$E111,$E111))</f>
        <v/>
      </c>
      <c r="K111" s="40" t="str">
        <f aca="false">IF($I111="","",LEN($I111))</f>
        <v/>
      </c>
      <c r="L111" s="13"/>
      <c r="M111" s="13"/>
      <c r="N111" s="13"/>
      <c r="O111" s="13"/>
      <c r="P111" s="152"/>
      <c r="Q111" s="149"/>
      <c r="R111" s="152"/>
      <c r="S111" s="152"/>
      <c r="T111" s="62" t="str">
        <f aca="false">IF(OR($C111="",R111=""),"",IF(R111/IF($R$2="",100,$R$2)&gt;=設定!$I$28,設定!$G$8,IF(R111/IF($R$2="",100,$R$2)&lt;設定!$I$29,設定!$G$10,設定!$G$9)))</f>
        <v/>
      </c>
      <c r="U111" s="62" t="str">
        <f aca="false">IF(OR($C111="",S111=""),"",IF(S111/IF($S$2="",100,$S$2)&gt;=設定!$I$28,設定!$G$8,IF(S111/IF($S$2="",100,$S$2)&lt;設定!$I$29,設定!$G$10,設定!$G$9)))</f>
        <v/>
      </c>
    </row>
    <row r="112" customFormat="false" ht="21" hidden="false" customHeight="true" outlineLevel="0" collapsed="false">
      <c r="A112" s="91" t="str">
        <f aca="false">IF(名簿!$D112="","",名簿!$B112&amp;"")</f>
        <v/>
      </c>
      <c r="B112" s="91" t="str">
        <f aca="false">IF(名簿!$D112="","",名簿!$C112)</f>
        <v/>
      </c>
      <c r="C112" s="59" t="str">
        <f aca="false">IF(名簿!$D112="","",名簿!$D112&amp;IF(名簿!$F112="転出","（転出）",""))</f>
        <v/>
      </c>
      <c r="D112" s="149"/>
      <c r="E112" s="61" t="str">
        <f aca="false">IF(OR($C112="",名簿!$F112="転出"),"",IF($C$2="学級ごと",$A112,IF($C$2="前の単元と同じ",単元08!$E112&amp;"",$D112&amp;"")))</f>
        <v/>
      </c>
      <c r="F112" s="150"/>
      <c r="G112" s="150"/>
      <c r="H112" s="150"/>
      <c r="I112" s="151"/>
      <c r="J112" s="41" t="str">
        <f aca="false">IF($E112="","",$E112&amp;"|"&amp;COUNTIF($E$5:$E112,$E112))</f>
        <v/>
      </c>
      <c r="K112" s="40" t="str">
        <f aca="false">IF($I112="","",LEN($I112))</f>
        <v/>
      </c>
      <c r="L112" s="13"/>
      <c r="M112" s="13"/>
      <c r="N112" s="13"/>
      <c r="O112" s="13"/>
      <c r="P112" s="152"/>
      <c r="Q112" s="149"/>
      <c r="R112" s="152"/>
      <c r="S112" s="152"/>
      <c r="T112" s="62" t="str">
        <f aca="false">IF(OR($C112="",R112=""),"",IF(R112/IF($R$2="",100,$R$2)&gt;=設定!$I$28,設定!$G$8,IF(R112/IF($R$2="",100,$R$2)&lt;設定!$I$29,設定!$G$10,設定!$G$9)))</f>
        <v/>
      </c>
      <c r="U112" s="62" t="str">
        <f aca="false">IF(OR($C112="",S112=""),"",IF(S112/IF($S$2="",100,$S$2)&gt;=設定!$I$28,設定!$G$8,IF(S112/IF($S$2="",100,$S$2)&lt;設定!$I$29,設定!$G$10,設定!$G$9)))</f>
        <v/>
      </c>
    </row>
    <row r="113" customFormat="false" ht="21" hidden="false" customHeight="true" outlineLevel="0" collapsed="false">
      <c r="A113" s="91" t="str">
        <f aca="false">IF(名簿!$D113="","",名簿!$B113&amp;"")</f>
        <v/>
      </c>
      <c r="B113" s="91" t="str">
        <f aca="false">IF(名簿!$D113="","",名簿!$C113)</f>
        <v/>
      </c>
      <c r="C113" s="59" t="str">
        <f aca="false">IF(名簿!$D113="","",名簿!$D113&amp;IF(名簿!$F113="転出","（転出）",""))</f>
        <v/>
      </c>
      <c r="D113" s="149"/>
      <c r="E113" s="61" t="str">
        <f aca="false">IF(OR($C113="",名簿!$F113="転出"),"",IF($C$2="学級ごと",$A113,IF($C$2="前の単元と同じ",単元08!$E113&amp;"",$D113&amp;"")))</f>
        <v/>
      </c>
      <c r="F113" s="150"/>
      <c r="G113" s="150"/>
      <c r="H113" s="150"/>
      <c r="I113" s="151"/>
      <c r="J113" s="41" t="str">
        <f aca="false">IF($E113="","",$E113&amp;"|"&amp;COUNTIF($E$5:$E113,$E113))</f>
        <v/>
      </c>
      <c r="K113" s="40" t="str">
        <f aca="false">IF($I113="","",LEN($I113))</f>
        <v/>
      </c>
      <c r="L113" s="13"/>
      <c r="M113" s="13"/>
      <c r="N113" s="13"/>
      <c r="O113" s="13"/>
      <c r="P113" s="152"/>
      <c r="Q113" s="149"/>
      <c r="R113" s="152"/>
      <c r="S113" s="152"/>
      <c r="T113" s="62" t="str">
        <f aca="false">IF(OR($C113="",R113=""),"",IF(R113/IF($R$2="",100,$R$2)&gt;=設定!$I$28,設定!$G$8,IF(R113/IF($R$2="",100,$R$2)&lt;設定!$I$29,設定!$G$10,設定!$G$9)))</f>
        <v/>
      </c>
      <c r="U113" s="62" t="str">
        <f aca="false">IF(OR($C113="",S113=""),"",IF(S113/IF($S$2="",100,$S$2)&gt;=設定!$I$28,設定!$G$8,IF(S113/IF($S$2="",100,$S$2)&lt;設定!$I$29,設定!$G$10,設定!$G$9)))</f>
        <v/>
      </c>
    </row>
    <row r="114" customFormat="false" ht="21" hidden="false" customHeight="true" outlineLevel="0" collapsed="false">
      <c r="A114" s="91" t="str">
        <f aca="false">IF(名簿!$D114="","",名簿!$B114&amp;"")</f>
        <v/>
      </c>
      <c r="B114" s="91" t="str">
        <f aca="false">IF(名簿!$D114="","",名簿!$C114)</f>
        <v/>
      </c>
      <c r="C114" s="59" t="str">
        <f aca="false">IF(名簿!$D114="","",名簿!$D114&amp;IF(名簿!$F114="転出","（転出）",""))</f>
        <v/>
      </c>
      <c r="D114" s="149"/>
      <c r="E114" s="61" t="str">
        <f aca="false">IF(OR($C114="",名簿!$F114="転出"),"",IF($C$2="学級ごと",$A114,IF($C$2="前の単元と同じ",単元08!$E114&amp;"",$D114&amp;"")))</f>
        <v/>
      </c>
      <c r="F114" s="150"/>
      <c r="G114" s="150"/>
      <c r="H114" s="150"/>
      <c r="I114" s="151"/>
      <c r="J114" s="41" t="str">
        <f aca="false">IF($E114="","",$E114&amp;"|"&amp;COUNTIF($E$5:$E114,$E114))</f>
        <v/>
      </c>
      <c r="K114" s="40" t="str">
        <f aca="false">IF($I114="","",LEN($I114))</f>
        <v/>
      </c>
      <c r="L114" s="13"/>
      <c r="M114" s="13"/>
      <c r="N114" s="13"/>
      <c r="O114" s="13"/>
      <c r="P114" s="152"/>
      <c r="Q114" s="149"/>
      <c r="R114" s="152"/>
      <c r="S114" s="152"/>
      <c r="T114" s="62" t="str">
        <f aca="false">IF(OR($C114="",R114=""),"",IF(R114/IF($R$2="",100,$R$2)&gt;=設定!$I$28,設定!$G$8,IF(R114/IF($R$2="",100,$R$2)&lt;設定!$I$29,設定!$G$10,設定!$G$9)))</f>
        <v/>
      </c>
      <c r="U114" s="62" t="str">
        <f aca="false">IF(OR($C114="",S114=""),"",IF(S114/IF($S$2="",100,$S$2)&gt;=設定!$I$28,設定!$G$8,IF(S114/IF($S$2="",100,$S$2)&lt;設定!$I$29,設定!$G$10,設定!$G$9)))</f>
        <v/>
      </c>
    </row>
    <row r="115" customFormat="false" ht="21" hidden="false" customHeight="true" outlineLevel="0" collapsed="false">
      <c r="A115" s="91" t="str">
        <f aca="false">IF(名簿!$D115="","",名簿!$B115&amp;"")</f>
        <v/>
      </c>
      <c r="B115" s="91" t="str">
        <f aca="false">IF(名簿!$D115="","",名簿!$C115)</f>
        <v/>
      </c>
      <c r="C115" s="59" t="str">
        <f aca="false">IF(名簿!$D115="","",名簿!$D115&amp;IF(名簿!$F115="転出","（転出）",""))</f>
        <v/>
      </c>
      <c r="D115" s="149"/>
      <c r="E115" s="61" t="str">
        <f aca="false">IF(OR($C115="",名簿!$F115="転出"),"",IF($C$2="学級ごと",$A115,IF($C$2="前の単元と同じ",単元08!$E115&amp;"",$D115&amp;"")))</f>
        <v/>
      </c>
      <c r="F115" s="150"/>
      <c r="G115" s="150"/>
      <c r="H115" s="150"/>
      <c r="I115" s="151"/>
      <c r="J115" s="41" t="str">
        <f aca="false">IF($E115="","",$E115&amp;"|"&amp;COUNTIF($E$5:$E115,$E115))</f>
        <v/>
      </c>
      <c r="K115" s="40" t="str">
        <f aca="false">IF($I115="","",LEN($I115))</f>
        <v/>
      </c>
      <c r="L115" s="13"/>
      <c r="M115" s="13"/>
      <c r="N115" s="13"/>
      <c r="O115" s="13"/>
      <c r="P115" s="152"/>
      <c r="Q115" s="149"/>
      <c r="R115" s="152"/>
      <c r="S115" s="152"/>
      <c r="T115" s="62" t="str">
        <f aca="false">IF(OR($C115="",R115=""),"",IF(R115/IF($R$2="",100,$R$2)&gt;=設定!$I$28,設定!$G$8,IF(R115/IF($R$2="",100,$R$2)&lt;設定!$I$29,設定!$G$10,設定!$G$9)))</f>
        <v/>
      </c>
      <c r="U115" s="62" t="str">
        <f aca="false">IF(OR($C115="",S115=""),"",IF(S115/IF($S$2="",100,$S$2)&gt;=設定!$I$28,設定!$G$8,IF(S115/IF($S$2="",100,$S$2)&lt;設定!$I$29,設定!$G$10,設定!$G$9)))</f>
        <v/>
      </c>
    </row>
    <row r="116" customFormat="false" ht="21" hidden="false" customHeight="true" outlineLevel="0" collapsed="false">
      <c r="A116" s="91" t="str">
        <f aca="false">IF(名簿!$D116="","",名簿!$B116&amp;"")</f>
        <v/>
      </c>
      <c r="B116" s="91" t="str">
        <f aca="false">IF(名簿!$D116="","",名簿!$C116)</f>
        <v/>
      </c>
      <c r="C116" s="59" t="str">
        <f aca="false">IF(名簿!$D116="","",名簿!$D116&amp;IF(名簿!$F116="転出","（転出）",""))</f>
        <v/>
      </c>
      <c r="D116" s="149"/>
      <c r="E116" s="61" t="str">
        <f aca="false">IF(OR($C116="",名簿!$F116="転出"),"",IF($C$2="学級ごと",$A116,IF($C$2="前の単元と同じ",単元08!$E116&amp;"",$D116&amp;"")))</f>
        <v/>
      </c>
      <c r="F116" s="150"/>
      <c r="G116" s="150"/>
      <c r="H116" s="150"/>
      <c r="I116" s="151"/>
      <c r="J116" s="41" t="str">
        <f aca="false">IF($E116="","",$E116&amp;"|"&amp;COUNTIF($E$5:$E116,$E116))</f>
        <v/>
      </c>
      <c r="K116" s="40" t="str">
        <f aca="false">IF($I116="","",LEN($I116))</f>
        <v/>
      </c>
      <c r="L116" s="13"/>
      <c r="M116" s="13"/>
      <c r="N116" s="13"/>
      <c r="O116" s="13"/>
      <c r="P116" s="152"/>
      <c r="Q116" s="149"/>
      <c r="R116" s="152"/>
      <c r="S116" s="152"/>
      <c r="T116" s="62" t="str">
        <f aca="false">IF(OR($C116="",R116=""),"",IF(R116/IF($R$2="",100,$R$2)&gt;=設定!$I$28,設定!$G$8,IF(R116/IF($R$2="",100,$R$2)&lt;設定!$I$29,設定!$G$10,設定!$G$9)))</f>
        <v/>
      </c>
      <c r="U116" s="62" t="str">
        <f aca="false">IF(OR($C116="",S116=""),"",IF(S116/IF($S$2="",100,$S$2)&gt;=設定!$I$28,設定!$G$8,IF(S116/IF($S$2="",100,$S$2)&lt;設定!$I$29,設定!$G$10,設定!$G$9)))</f>
        <v/>
      </c>
    </row>
    <row r="117" customFormat="false" ht="21" hidden="false" customHeight="true" outlineLevel="0" collapsed="false">
      <c r="A117" s="91" t="str">
        <f aca="false">IF(名簿!$D117="","",名簿!$B117&amp;"")</f>
        <v/>
      </c>
      <c r="B117" s="91" t="str">
        <f aca="false">IF(名簿!$D117="","",名簿!$C117)</f>
        <v/>
      </c>
      <c r="C117" s="59" t="str">
        <f aca="false">IF(名簿!$D117="","",名簿!$D117&amp;IF(名簿!$F117="転出","（転出）",""))</f>
        <v/>
      </c>
      <c r="D117" s="149"/>
      <c r="E117" s="61" t="str">
        <f aca="false">IF(OR($C117="",名簿!$F117="転出"),"",IF($C$2="学級ごと",$A117,IF($C$2="前の単元と同じ",単元08!$E117&amp;"",$D117&amp;"")))</f>
        <v/>
      </c>
      <c r="F117" s="150"/>
      <c r="G117" s="150"/>
      <c r="H117" s="150"/>
      <c r="I117" s="151"/>
      <c r="J117" s="41" t="str">
        <f aca="false">IF($E117="","",$E117&amp;"|"&amp;COUNTIF($E$5:$E117,$E117))</f>
        <v/>
      </c>
      <c r="K117" s="40" t="str">
        <f aca="false">IF($I117="","",LEN($I117))</f>
        <v/>
      </c>
      <c r="L117" s="13"/>
      <c r="M117" s="13"/>
      <c r="N117" s="13"/>
      <c r="O117" s="13"/>
      <c r="P117" s="152"/>
      <c r="Q117" s="149"/>
      <c r="R117" s="152"/>
      <c r="S117" s="152"/>
      <c r="T117" s="62" t="str">
        <f aca="false">IF(OR($C117="",R117=""),"",IF(R117/IF($R$2="",100,$R$2)&gt;=設定!$I$28,設定!$G$8,IF(R117/IF($R$2="",100,$R$2)&lt;設定!$I$29,設定!$G$10,設定!$G$9)))</f>
        <v/>
      </c>
      <c r="U117" s="62" t="str">
        <f aca="false">IF(OR($C117="",S117=""),"",IF(S117/IF($S$2="",100,$S$2)&gt;=設定!$I$28,設定!$G$8,IF(S117/IF($S$2="",100,$S$2)&lt;設定!$I$29,設定!$G$10,設定!$G$9)))</f>
        <v/>
      </c>
    </row>
    <row r="118" customFormat="false" ht="21" hidden="false" customHeight="true" outlineLevel="0" collapsed="false">
      <c r="A118" s="91" t="str">
        <f aca="false">IF(名簿!$D118="","",名簿!$B118&amp;"")</f>
        <v/>
      </c>
      <c r="B118" s="91" t="str">
        <f aca="false">IF(名簿!$D118="","",名簿!$C118)</f>
        <v/>
      </c>
      <c r="C118" s="59" t="str">
        <f aca="false">IF(名簿!$D118="","",名簿!$D118&amp;IF(名簿!$F118="転出","（転出）",""))</f>
        <v/>
      </c>
      <c r="D118" s="149"/>
      <c r="E118" s="61" t="str">
        <f aca="false">IF(OR($C118="",名簿!$F118="転出"),"",IF($C$2="学級ごと",$A118,IF($C$2="前の単元と同じ",単元08!$E118&amp;"",$D118&amp;"")))</f>
        <v/>
      </c>
      <c r="F118" s="150"/>
      <c r="G118" s="150"/>
      <c r="H118" s="150"/>
      <c r="I118" s="151"/>
      <c r="J118" s="41" t="str">
        <f aca="false">IF($E118="","",$E118&amp;"|"&amp;COUNTIF($E$5:$E118,$E118))</f>
        <v/>
      </c>
      <c r="K118" s="40" t="str">
        <f aca="false">IF($I118="","",LEN($I118))</f>
        <v/>
      </c>
      <c r="L118" s="13"/>
      <c r="M118" s="13"/>
      <c r="N118" s="13"/>
      <c r="O118" s="13"/>
      <c r="P118" s="152"/>
      <c r="Q118" s="149"/>
      <c r="R118" s="152"/>
      <c r="S118" s="152"/>
      <c r="T118" s="62" t="str">
        <f aca="false">IF(OR($C118="",R118=""),"",IF(R118/IF($R$2="",100,$R$2)&gt;=設定!$I$28,設定!$G$8,IF(R118/IF($R$2="",100,$R$2)&lt;設定!$I$29,設定!$G$10,設定!$G$9)))</f>
        <v/>
      </c>
      <c r="U118" s="62" t="str">
        <f aca="false">IF(OR($C118="",S118=""),"",IF(S118/IF($S$2="",100,$S$2)&gt;=設定!$I$28,設定!$G$8,IF(S118/IF($S$2="",100,$S$2)&lt;設定!$I$29,設定!$G$10,設定!$G$9)))</f>
        <v/>
      </c>
    </row>
    <row r="119" customFormat="false" ht="21" hidden="false" customHeight="true" outlineLevel="0" collapsed="false">
      <c r="A119" s="91" t="str">
        <f aca="false">IF(名簿!$D119="","",名簿!$B119&amp;"")</f>
        <v/>
      </c>
      <c r="B119" s="91" t="str">
        <f aca="false">IF(名簿!$D119="","",名簿!$C119)</f>
        <v/>
      </c>
      <c r="C119" s="59" t="str">
        <f aca="false">IF(名簿!$D119="","",名簿!$D119&amp;IF(名簿!$F119="転出","（転出）",""))</f>
        <v/>
      </c>
      <c r="D119" s="149"/>
      <c r="E119" s="61" t="str">
        <f aca="false">IF(OR($C119="",名簿!$F119="転出"),"",IF($C$2="学級ごと",$A119,IF($C$2="前の単元と同じ",単元08!$E119&amp;"",$D119&amp;"")))</f>
        <v/>
      </c>
      <c r="F119" s="150"/>
      <c r="G119" s="150"/>
      <c r="H119" s="150"/>
      <c r="I119" s="151"/>
      <c r="J119" s="41" t="str">
        <f aca="false">IF($E119="","",$E119&amp;"|"&amp;COUNTIF($E$5:$E119,$E119))</f>
        <v/>
      </c>
      <c r="K119" s="40" t="str">
        <f aca="false">IF($I119="","",LEN($I119))</f>
        <v/>
      </c>
      <c r="L119" s="13"/>
      <c r="M119" s="13"/>
      <c r="N119" s="13"/>
      <c r="O119" s="13"/>
      <c r="P119" s="152"/>
      <c r="Q119" s="149"/>
      <c r="R119" s="152"/>
      <c r="S119" s="152"/>
      <c r="T119" s="62" t="str">
        <f aca="false">IF(OR($C119="",R119=""),"",IF(R119/IF($R$2="",100,$R$2)&gt;=設定!$I$28,設定!$G$8,IF(R119/IF($R$2="",100,$R$2)&lt;設定!$I$29,設定!$G$10,設定!$G$9)))</f>
        <v/>
      </c>
      <c r="U119" s="62" t="str">
        <f aca="false">IF(OR($C119="",S119=""),"",IF(S119/IF($S$2="",100,$S$2)&gt;=設定!$I$28,設定!$G$8,IF(S119/IF($S$2="",100,$S$2)&lt;設定!$I$29,設定!$G$10,設定!$G$9)))</f>
        <v/>
      </c>
    </row>
    <row r="120" customFormat="false" ht="21" hidden="false" customHeight="true" outlineLevel="0" collapsed="false">
      <c r="A120" s="91" t="str">
        <f aca="false">IF(名簿!$D120="","",名簿!$B120&amp;"")</f>
        <v/>
      </c>
      <c r="B120" s="91" t="str">
        <f aca="false">IF(名簿!$D120="","",名簿!$C120)</f>
        <v/>
      </c>
      <c r="C120" s="59" t="str">
        <f aca="false">IF(名簿!$D120="","",名簿!$D120&amp;IF(名簿!$F120="転出","（転出）",""))</f>
        <v/>
      </c>
      <c r="D120" s="149"/>
      <c r="E120" s="61" t="str">
        <f aca="false">IF(OR($C120="",名簿!$F120="転出"),"",IF($C$2="学級ごと",$A120,IF($C$2="前の単元と同じ",単元08!$E120&amp;"",$D120&amp;"")))</f>
        <v/>
      </c>
      <c r="F120" s="150"/>
      <c r="G120" s="150"/>
      <c r="H120" s="150"/>
      <c r="I120" s="151"/>
      <c r="J120" s="41" t="str">
        <f aca="false">IF($E120="","",$E120&amp;"|"&amp;COUNTIF($E$5:$E120,$E120))</f>
        <v/>
      </c>
      <c r="K120" s="40" t="str">
        <f aca="false">IF($I120="","",LEN($I120))</f>
        <v/>
      </c>
      <c r="L120" s="13"/>
      <c r="M120" s="13"/>
      <c r="N120" s="13"/>
      <c r="O120" s="13"/>
      <c r="P120" s="152"/>
      <c r="Q120" s="149"/>
      <c r="R120" s="152"/>
      <c r="S120" s="152"/>
      <c r="T120" s="62" t="str">
        <f aca="false">IF(OR($C120="",R120=""),"",IF(R120/IF($R$2="",100,$R$2)&gt;=設定!$I$28,設定!$G$8,IF(R120/IF($R$2="",100,$R$2)&lt;設定!$I$29,設定!$G$10,設定!$G$9)))</f>
        <v/>
      </c>
      <c r="U120" s="62" t="str">
        <f aca="false">IF(OR($C120="",S120=""),"",IF(S120/IF($S$2="",100,$S$2)&gt;=設定!$I$28,設定!$G$8,IF(S120/IF($S$2="",100,$S$2)&lt;設定!$I$29,設定!$G$10,設定!$G$9)))</f>
        <v/>
      </c>
    </row>
    <row r="121" customFormat="false" ht="21" hidden="false" customHeight="true" outlineLevel="0" collapsed="false">
      <c r="A121" s="91" t="str">
        <f aca="false">IF(名簿!$D121="","",名簿!$B121&amp;"")</f>
        <v/>
      </c>
      <c r="B121" s="91" t="str">
        <f aca="false">IF(名簿!$D121="","",名簿!$C121)</f>
        <v/>
      </c>
      <c r="C121" s="59" t="str">
        <f aca="false">IF(名簿!$D121="","",名簿!$D121&amp;IF(名簿!$F121="転出","（転出）",""))</f>
        <v/>
      </c>
      <c r="D121" s="149"/>
      <c r="E121" s="61" t="str">
        <f aca="false">IF(OR($C121="",名簿!$F121="転出"),"",IF($C$2="学級ごと",$A121,IF($C$2="前の単元と同じ",単元08!$E121&amp;"",$D121&amp;"")))</f>
        <v/>
      </c>
      <c r="F121" s="150"/>
      <c r="G121" s="150"/>
      <c r="H121" s="150"/>
      <c r="I121" s="151"/>
      <c r="J121" s="41" t="str">
        <f aca="false">IF($E121="","",$E121&amp;"|"&amp;COUNTIF($E$5:$E121,$E121))</f>
        <v/>
      </c>
      <c r="K121" s="40" t="str">
        <f aca="false">IF($I121="","",LEN($I121))</f>
        <v/>
      </c>
      <c r="L121" s="13"/>
      <c r="M121" s="13"/>
      <c r="N121" s="13"/>
      <c r="O121" s="13"/>
      <c r="P121" s="152"/>
      <c r="Q121" s="149"/>
      <c r="R121" s="152"/>
      <c r="S121" s="152"/>
      <c r="T121" s="62" t="str">
        <f aca="false">IF(OR($C121="",R121=""),"",IF(R121/IF($R$2="",100,$R$2)&gt;=設定!$I$28,設定!$G$8,IF(R121/IF($R$2="",100,$R$2)&lt;設定!$I$29,設定!$G$10,設定!$G$9)))</f>
        <v/>
      </c>
      <c r="U121" s="62" t="str">
        <f aca="false">IF(OR($C121="",S121=""),"",IF(S121/IF($S$2="",100,$S$2)&gt;=設定!$I$28,設定!$G$8,IF(S121/IF($S$2="",100,$S$2)&lt;設定!$I$29,設定!$G$10,設定!$G$9)))</f>
        <v/>
      </c>
    </row>
    <row r="122" customFormat="false" ht="21" hidden="false" customHeight="true" outlineLevel="0" collapsed="false">
      <c r="A122" s="91" t="str">
        <f aca="false">IF(名簿!$D122="","",名簿!$B122&amp;"")</f>
        <v/>
      </c>
      <c r="B122" s="91" t="str">
        <f aca="false">IF(名簿!$D122="","",名簿!$C122)</f>
        <v/>
      </c>
      <c r="C122" s="59" t="str">
        <f aca="false">IF(名簿!$D122="","",名簿!$D122&amp;IF(名簿!$F122="転出","（転出）",""))</f>
        <v/>
      </c>
      <c r="D122" s="149"/>
      <c r="E122" s="61" t="str">
        <f aca="false">IF(OR($C122="",名簿!$F122="転出"),"",IF($C$2="学級ごと",$A122,IF($C$2="前の単元と同じ",単元08!$E122&amp;"",$D122&amp;"")))</f>
        <v/>
      </c>
      <c r="F122" s="150"/>
      <c r="G122" s="150"/>
      <c r="H122" s="150"/>
      <c r="I122" s="151"/>
      <c r="J122" s="41" t="str">
        <f aca="false">IF($E122="","",$E122&amp;"|"&amp;COUNTIF($E$5:$E122,$E122))</f>
        <v/>
      </c>
      <c r="K122" s="40" t="str">
        <f aca="false">IF($I122="","",LEN($I122))</f>
        <v/>
      </c>
      <c r="L122" s="13"/>
      <c r="M122" s="13"/>
      <c r="N122" s="13"/>
      <c r="O122" s="13"/>
      <c r="P122" s="152"/>
      <c r="Q122" s="149"/>
      <c r="R122" s="152"/>
      <c r="S122" s="152"/>
      <c r="T122" s="62" t="str">
        <f aca="false">IF(OR($C122="",R122=""),"",IF(R122/IF($R$2="",100,$R$2)&gt;=設定!$I$28,設定!$G$8,IF(R122/IF($R$2="",100,$R$2)&lt;設定!$I$29,設定!$G$10,設定!$G$9)))</f>
        <v/>
      </c>
      <c r="U122" s="62" t="str">
        <f aca="false">IF(OR($C122="",S122=""),"",IF(S122/IF($S$2="",100,$S$2)&gt;=設定!$I$28,設定!$G$8,IF(S122/IF($S$2="",100,$S$2)&lt;設定!$I$29,設定!$G$10,設定!$G$9)))</f>
        <v/>
      </c>
    </row>
    <row r="123" customFormat="false" ht="21" hidden="false" customHeight="true" outlineLevel="0" collapsed="false">
      <c r="A123" s="91" t="str">
        <f aca="false">IF(名簿!$D123="","",名簿!$B123&amp;"")</f>
        <v/>
      </c>
      <c r="B123" s="91" t="str">
        <f aca="false">IF(名簿!$D123="","",名簿!$C123)</f>
        <v/>
      </c>
      <c r="C123" s="59" t="str">
        <f aca="false">IF(名簿!$D123="","",名簿!$D123&amp;IF(名簿!$F123="転出","（転出）",""))</f>
        <v/>
      </c>
      <c r="D123" s="149"/>
      <c r="E123" s="61" t="str">
        <f aca="false">IF(OR($C123="",名簿!$F123="転出"),"",IF($C$2="学級ごと",$A123,IF($C$2="前の単元と同じ",単元08!$E123&amp;"",$D123&amp;"")))</f>
        <v/>
      </c>
      <c r="F123" s="150"/>
      <c r="G123" s="150"/>
      <c r="H123" s="150"/>
      <c r="I123" s="151"/>
      <c r="J123" s="41" t="str">
        <f aca="false">IF($E123="","",$E123&amp;"|"&amp;COUNTIF($E$5:$E123,$E123))</f>
        <v/>
      </c>
      <c r="K123" s="40" t="str">
        <f aca="false">IF($I123="","",LEN($I123))</f>
        <v/>
      </c>
      <c r="L123" s="13"/>
      <c r="M123" s="13"/>
      <c r="N123" s="13"/>
      <c r="O123" s="13"/>
      <c r="P123" s="152"/>
      <c r="Q123" s="149"/>
      <c r="R123" s="152"/>
      <c r="S123" s="152"/>
      <c r="T123" s="62" t="str">
        <f aca="false">IF(OR($C123="",R123=""),"",IF(R123/IF($R$2="",100,$R$2)&gt;=設定!$I$28,設定!$G$8,IF(R123/IF($R$2="",100,$R$2)&lt;設定!$I$29,設定!$G$10,設定!$G$9)))</f>
        <v/>
      </c>
      <c r="U123" s="62" t="str">
        <f aca="false">IF(OR($C123="",S123=""),"",IF(S123/IF($S$2="",100,$S$2)&gt;=設定!$I$28,設定!$G$8,IF(S123/IF($S$2="",100,$S$2)&lt;設定!$I$29,設定!$G$10,設定!$G$9)))</f>
        <v/>
      </c>
    </row>
    <row r="124" customFormat="false" ht="21" hidden="false" customHeight="true" outlineLevel="0" collapsed="false">
      <c r="A124" s="91" t="str">
        <f aca="false">IF(名簿!$D124="","",名簿!$B124&amp;"")</f>
        <v/>
      </c>
      <c r="B124" s="91" t="str">
        <f aca="false">IF(名簿!$D124="","",名簿!$C124)</f>
        <v/>
      </c>
      <c r="C124" s="59" t="str">
        <f aca="false">IF(名簿!$D124="","",名簿!$D124&amp;IF(名簿!$F124="転出","（転出）",""))</f>
        <v/>
      </c>
      <c r="D124" s="149"/>
      <c r="E124" s="61" t="str">
        <f aca="false">IF(OR($C124="",名簿!$F124="転出"),"",IF($C$2="学級ごと",$A124,IF($C$2="前の単元と同じ",単元08!$E124&amp;"",$D124&amp;"")))</f>
        <v/>
      </c>
      <c r="F124" s="150"/>
      <c r="G124" s="150"/>
      <c r="H124" s="150"/>
      <c r="I124" s="151"/>
      <c r="J124" s="41" t="str">
        <f aca="false">IF($E124="","",$E124&amp;"|"&amp;COUNTIF($E$5:$E124,$E124))</f>
        <v/>
      </c>
      <c r="K124" s="40" t="str">
        <f aca="false">IF($I124="","",LEN($I124))</f>
        <v/>
      </c>
      <c r="L124" s="13"/>
      <c r="M124" s="13"/>
      <c r="N124" s="13"/>
      <c r="O124" s="13"/>
      <c r="P124" s="152"/>
      <c r="Q124" s="149"/>
      <c r="R124" s="152"/>
      <c r="S124" s="152"/>
      <c r="T124" s="62" t="str">
        <f aca="false">IF(OR($C124="",R124=""),"",IF(R124/IF($R$2="",100,$R$2)&gt;=設定!$I$28,設定!$G$8,IF(R124/IF($R$2="",100,$R$2)&lt;設定!$I$29,設定!$G$10,設定!$G$9)))</f>
        <v/>
      </c>
      <c r="U124" s="62" t="str">
        <f aca="false">IF(OR($C124="",S124=""),"",IF(S124/IF($S$2="",100,$S$2)&gt;=設定!$I$28,設定!$G$8,IF(S124/IF($S$2="",100,$S$2)&lt;設定!$I$29,設定!$G$10,設定!$G$9)))</f>
        <v/>
      </c>
    </row>
    <row r="125" customFormat="false" ht="21" hidden="false" customHeight="true" outlineLevel="0" collapsed="false">
      <c r="A125" s="91" t="str">
        <f aca="false">IF(名簿!$D125="","",名簿!$B125&amp;"")</f>
        <v/>
      </c>
      <c r="B125" s="91" t="str">
        <f aca="false">IF(名簿!$D125="","",名簿!$C125)</f>
        <v/>
      </c>
      <c r="C125" s="59" t="str">
        <f aca="false">IF(名簿!$D125="","",名簿!$D125&amp;IF(名簿!$F125="転出","（転出）",""))</f>
        <v/>
      </c>
      <c r="D125" s="149"/>
      <c r="E125" s="61" t="str">
        <f aca="false">IF(OR($C125="",名簿!$F125="転出"),"",IF($C$2="学級ごと",$A125,IF($C$2="前の単元と同じ",単元08!$E125&amp;"",$D125&amp;"")))</f>
        <v/>
      </c>
      <c r="F125" s="150"/>
      <c r="G125" s="150"/>
      <c r="H125" s="150"/>
      <c r="I125" s="151"/>
      <c r="J125" s="41" t="str">
        <f aca="false">IF($E125="","",$E125&amp;"|"&amp;COUNTIF($E$5:$E125,$E125))</f>
        <v/>
      </c>
      <c r="K125" s="40" t="str">
        <f aca="false">IF($I125="","",LEN($I125))</f>
        <v/>
      </c>
      <c r="L125" s="13"/>
      <c r="M125" s="13"/>
      <c r="N125" s="13"/>
      <c r="O125" s="13"/>
      <c r="P125" s="152"/>
      <c r="Q125" s="149"/>
      <c r="R125" s="152"/>
      <c r="S125" s="152"/>
      <c r="T125" s="62" t="str">
        <f aca="false">IF(OR($C125="",R125=""),"",IF(R125/IF($R$2="",100,$R$2)&gt;=設定!$I$28,設定!$G$8,IF(R125/IF($R$2="",100,$R$2)&lt;設定!$I$29,設定!$G$10,設定!$G$9)))</f>
        <v/>
      </c>
      <c r="U125" s="62" t="str">
        <f aca="false">IF(OR($C125="",S125=""),"",IF(S125/IF($S$2="",100,$S$2)&gt;=設定!$I$28,設定!$G$8,IF(S125/IF($S$2="",100,$S$2)&lt;設定!$I$29,設定!$G$10,設定!$G$9)))</f>
        <v/>
      </c>
    </row>
    <row r="126" customFormat="false" ht="21" hidden="false" customHeight="true" outlineLevel="0" collapsed="false">
      <c r="A126" s="91" t="str">
        <f aca="false">IF(名簿!$D126="","",名簿!$B126&amp;"")</f>
        <v/>
      </c>
      <c r="B126" s="91" t="str">
        <f aca="false">IF(名簿!$D126="","",名簿!$C126)</f>
        <v/>
      </c>
      <c r="C126" s="59" t="str">
        <f aca="false">IF(名簿!$D126="","",名簿!$D126&amp;IF(名簿!$F126="転出","（転出）",""))</f>
        <v/>
      </c>
      <c r="D126" s="149"/>
      <c r="E126" s="61" t="str">
        <f aca="false">IF(OR($C126="",名簿!$F126="転出"),"",IF($C$2="学級ごと",$A126,IF($C$2="前の単元と同じ",単元08!$E126&amp;"",$D126&amp;"")))</f>
        <v/>
      </c>
      <c r="F126" s="150"/>
      <c r="G126" s="150"/>
      <c r="H126" s="150"/>
      <c r="I126" s="151"/>
      <c r="J126" s="41" t="str">
        <f aca="false">IF($E126="","",$E126&amp;"|"&amp;COUNTIF($E$5:$E126,$E126))</f>
        <v/>
      </c>
      <c r="K126" s="40" t="str">
        <f aca="false">IF($I126="","",LEN($I126))</f>
        <v/>
      </c>
      <c r="L126" s="13"/>
      <c r="M126" s="13"/>
      <c r="N126" s="13"/>
      <c r="O126" s="13"/>
      <c r="P126" s="152"/>
      <c r="Q126" s="149"/>
      <c r="R126" s="152"/>
      <c r="S126" s="152"/>
      <c r="T126" s="62" t="str">
        <f aca="false">IF(OR($C126="",R126=""),"",IF(R126/IF($R$2="",100,$R$2)&gt;=設定!$I$28,設定!$G$8,IF(R126/IF($R$2="",100,$R$2)&lt;設定!$I$29,設定!$G$10,設定!$G$9)))</f>
        <v/>
      </c>
      <c r="U126" s="62" t="str">
        <f aca="false">IF(OR($C126="",S126=""),"",IF(S126/IF($S$2="",100,$S$2)&gt;=設定!$I$28,設定!$G$8,IF(S126/IF($S$2="",100,$S$2)&lt;設定!$I$29,設定!$G$10,設定!$G$9)))</f>
        <v/>
      </c>
    </row>
    <row r="127" customFormat="false" ht="21" hidden="false" customHeight="true" outlineLevel="0" collapsed="false">
      <c r="A127" s="91" t="str">
        <f aca="false">IF(名簿!$D127="","",名簿!$B127&amp;"")</f>
        <v/>
      </c>
      <c r="B127" s="91" t="str">
        <f aca="false">IF(名簿!$D127="","",名簿!$C127)</f>
        <v/>
      </c>
      <c r="C127" s="59" t="str">
        <f aca="false">IF(名簿!$D127="","",名簿!$D127&amp;IF(名簿!$F127="転出","（転出）",""))</f>
        <v/>
      </c>
      <c r="D127" s="149"/>
      <c r="E127" s="61" t="str">
        <f aca="false">IF(OR($C127="",名簿!$F127="転出"),"",IF($C$2="学級ごと",$A127,IF($C$2="前の単元と同じ",単元08!$E127&amp;"",$D127&amp;"")))</f>
        <v/>
      </c>
      <c r="F127" s="150"/>
      <c r="G127" s="150"/>
      <c r="H127" s="150"/>
      <c r="I127" s="151"/>
      <c r="J127" s="41" t="str">
        <f aca="false">IF($E127="","",$E127&amp;"|"&amp;COUNTIF($E$5:$E127,$E127))</f>
        <v/>
      </c>
      <c r="K127" s="40" t="str">
        <f aca="false">IF($I127="","",LEN($I127))</f>
        <v/>
      </c>
      <c r="L127" s="13"/>
      <c r="M127" s="13"/>
      <c r="N127" s="13"/>
      <c r="O127" s="13"/>
      <c r="P127" s="152"/>
      <c r="Q127" s="149"/>
      <c r="R127" s="152"/>
      <c r="S127" s="152"/>
      <c r="T127" s="62" t="str">
        <f aca="false">IF(OR($C127="",R127=""),"",IF(R127/IF($R$2="",100,$R$2)&gt;=設定!$I$28,設定!$G$8,IF(R127/IF($R$2="",100,$R$2)&lt;設定!$I$29,設定!$G$10,設定!$G$9)))</f>
        <v/>
      </c>
      <c r="U127" s="62" t="str">
        <f aca="false">IF(OR($C127="",S127=""),"",IF(S127/IF($S$2="",100,$S$2)&gt;=設定!$I$28,設定!$G$8,IF(S127/IF($S$2="",100,$S$2)&lt;設定!$I$29,設定!$G$10,設定!$G$9)))</f>
        <v/>
      </c>
    </row>
    <row r="128" customFormat="false" ht="21" hidden="false" customHeight="true" outlineLevel="0" collapsed="false">
      <c r="A128" s="91" t="str">
        <f aca="false">IF(名簿!$D128="","",名簿!$B128&amp;"")</f>
        <v/>
      </c>
      <c r="B128" s="91" t="str">
        <f aca="false">IF(名簿!$D128="","",名簿!$C128)</f>
        <v/>
      </c>
      <c r="C128" s="59" t="str">
        <f aca="false">IF(名簿!$D128="","",名簿!$D128&amp;IF(名簿!$F128="転出","（転出）",""))</f>
        <v/>
      </c>
      <c r="D128" s="149"/>
      <c r="E128" s="61" t="str">
        <f aca="false">IF(OR($C128="",名簿!$F128="転出"),"",IF($C$2="学級ごと",$A128,IF($C$2="前の単元と同じ",単元08!$E128&amp;"",$D128&amp;"")))</f>
        <v/>
      </c>
      <c r="F128" s="150"/>
      <c r="G128" s="150"/>
      <c r="H128" s="150"/>
      <c r="I128" s="151"/>
      <c r="J128" s="41" t="str">
        <f aca="false">IF($E128="","",$E128&amp;"|"&amp;COUNTIF($E$5:$E128,$E128))</f>
        <v/>
      </c>
      <c r="K128" s="40" t="str">
        <f aca="false">IF($I128="","",LEN($I128))</f>
        <v/>
      </c>
      <c r="L128" s="13"/>
      <c r="M128" s="13"/>
      <c r="N128" s="13"/>
      <c r="O128" s="13"/>
      <c r="P128" s="152"/>
      <c r="Q128" s="149"/>
      <c r="R128" s="152"/>
      <c r="S128" s="152"/>
      <c r="T128" s="62" t="str">
        <f aca="false">IF(OR($C128="",R128=""),"",IF(R128/IF($R$2="",100,$R$2)&gt;=設定!$I$28,設定!$G$8,IF(R128/IF($R$2="",100,$R$2)&lt;設定!$I$29,設定!$G$10,設定!$G$9)))</f>
        <v/>
      </c>
      <c r="U128" s="62" t="str">
        <f aca="false">IF(OR($C128="",S128=""),"",IF(S128/IF($S$2="",100,$S$2)&gt;=設定!$I$28,設定!$G$8,IF(S128/IF($S$2="",100,$S$2)&lt;設定!$I$29,設定!$G$10,設定!$G$9)))</f>
        <v/>
      </c>
    </row>
    <row r="129" customFormat="false" ht="21" hidden="false" customHeight="true" outlineLevel="0" collapsed="false">
      <c r="A129" s="91" t="str">
        <f aca="false">IF(名簿!$D129="","",名簿!$B129&amp;"")</f>
        <v/>
      </c>
      <c r="B129" s="91" t="str">
        <f aca="false">IF(名簿!$D129="","",名簿!$C129)</f>
        <v/>
      </c>
      <c r="C129" s="59" t="str">
        <f aca="false">IF(名簿!$D129="","",名簿!$D129&amp;IF(名簿!$F129="転出","（転出）",""))</f>
        <v/>
      </c>
      <c r="D129" s="149"/>
      <c r="E129" s="61" t="str">
        <f aca="false">IF(OR($C129="",名簿!$F129="転出"),"",IF($C$2="学級ごと",$A129,IF($C$2="前の単元と同じ",単元08!$E129&amp;"",$D129&amp;"")))</f>
        <v/>
      </c>
      <c r="F129" s="150"/>
      <c r="G129" s="150"/>
      <c r="H129" s="150"/>
      <c r="I129" s="151"/>
      <c r="J129" s="41" t="str">
        <f aca="false">IF($E129="","",$E129&amp;"|"&amp;COUNTIF($E$5:$E129,$E129))</f>
        <v/>
      </c>
      <c r="K129" s="40" t="str">
        <f aca="false">IF($I129="","",LEN($I129))</f>
        <v/>
      </c>
      <c r="L129" s="13"/>
      <c r="M129" s="13"/>
      <c r="N129" s="13"/>
      <c r="O129" s="13"/>
      <c r="P129" s="152"/>
      <c r="Q129" s="149"/>
      <c r="R129" s="152"/>
      <c r="S129" s="152"/>
      <c r="T129" s="62" t="str">
        <f aca="false">IF(OR($C129="",R129=""),"",IF(R129/IF($R$2="",100,$R$2)&gt;=設定!$I$28,設定!$G$8,IF(R129/IF($R$2="",100,$R$2)&lt;設定!$I$29,設定!$G$10,設定!$G$9)))</f>
        <v/>
      </c>
      <c r="U129" s="62" t="str">
        <f aca="false">IF(OR($C129="",S129=""),"",IF(S129/IF($S$2="",100,$S$2)&gt;=設定!$I$28,設定!$G$8,IF(S129/IF($S$2="",100,$S$2)&lt;設定!$I$29,設定!$G$10,設定!$G$9)))</f>
        <v/>
      </c>
    </row>
    <row r="130" customFormat="false" ht="21" hidden="false" customHeight="true" outlineLevel="0" collapsed="false">
      <c r="A130" s="91" t="str">
        <f aca="false">IF(名簿!$D130="","",名簿!$B130&amp;"")</f>
        <v/>
      </c>
      <c r="B130" s="91" t="str">
        <f aca="false">IF(名簿!$D130="","",名簿!$C130)</f>
        <v/>
      </c>
      <c r="C130" s="59" t="str">
        <f aca="false">IF(名簿!$D130="","",名簿!$D130&amp;IF(名簿!$F130="転出","（転出）",""))</f>
        <v/>
      </c>
      <c r="D130" s="149"/>
      <c r="E130" s="61" t="str">
        <f aca="false">IF(OR($C130="",名簿!$F130="転出"),"",IF($C$2="学級ごと",$A130,IF($C$2="前の単元と同じ",単元08!$E130&amp;"",$D130&amp;"")))</f>
        <v/>
      </c>
      <c r="F130" s="150"/>
      <c r="G130" s="150"/>
      <c r="H130" s="150"/>
      <c r="I130" s="151"/>
      <c r="J130" s="41" t="str">
        <f aca="false">IF($E130="","",$E130&amp;"|"&amp;COUNTIF($E$5:$E130,$E130))</f>
        <v/>
      </c>
      <c r="K130" s="40" t="str">
        <f aca="false">IF($I130="","",LEN($I130))</f>
        <v/>
      </c>
      <c r="L130" s="13"/>
      <c r="M130" s="13"/>
      <c r="N130" s="13"/>
      <c r="O130" s="13"/>
      <c r="P130" s="152"/>
      <c r="Q130" s="149"/>
      <c r="R130" s="152"/>
      <c r="S130" s="152"/>
      <c r="T130" s="62" t="str">
        <f aca="false">IF(OR($C130="",R130=""),"",IF(R130/IF($R$2="",100,$R$2)&gt;=設定!$I$28,設定!$G$8,IF(R130/IF($R$2="",100,$R$2)&lt;設定!$I$29,設定!$G$10,設定!$G$9)))</f>
        <v/>
      </c>
      <c r="U130" s="62" t="str">
        <f aca="false">IF(OR($C130="",S130=""),"",IF(S130/IF($S$2="",100,$S$2)&gt;=設定!$I$28,設定!$G$8,IF(S130/IF($S$2="",100,$S$2)&lt;設定!$I$29,設定!$G$10,設定!$G$9)))</f>
        <v/>
      </c>
    </row>
    <row r="131" customFormat="false" ht="21" hidden="false" customHeight="true" outlineLevel="0" collapsed="false">
      <c r="A131" s="91" t="str">
        <f aca="false">IF(名簿!$D131="","",名簿!$B131&amp;"")</f>
        <v/>
      </c>
      <c r="B131" s="91" t="str">
        <f aca="false">IF(名簿!$D131="","",名簿!$C131)</f>
        <v/>
      </c>
      <c r="C131" s="59" t="str">
        <f aca="false">IF(名簿!$D131="","",名簿!$D131&amp;IF(名簿!$F131="転出","（転出）",""))</f>
        <v/>
      </c>
      <c r="D131" s="149"/>
      <c r="E131" s="61" t="str">
        <f aca="false">IF(OR($C131="",名簿!$F131="転出"),"",IF($C$2="学級ごと",$A131,IF($C$2="前の単元と同じ",単元08!$E131&amp;"",$D131&amp;"")))</f>
        <v/>
      </c>
      <c r="F131" s="150"/>
      <c r="G131" s="150"/>
      <c r="H131" s="150"/>
      <c r="I131" s="151"/>
      <c r="J131" s="41" t="str">
        <f aca="false">IF($E131="","",$E131&amp;"|"&amp;COUNTIF($E$5:$E131,$E131))</f>
        <v/>
      </c>
      <c r="K131" s="40" t="str">
        <f aca="false">IF($I131="","",LEN($I131))</f>
        <v/>
      </c>
      <c r="L131" s="13"/>
      <c r="M131" s="13"/>
      <c r="N131" s="13"/>
      <c r="O131" s="13"/>
      <c r="P131" s="152"/>
      <c r="Q131" s="149"/>
      <c r="R131" s="152"/>
      <c r="S131" s="152"/>
      <c r="T131" s="62" t="str">
        <f aca="false">IF(OR($C131="",R131=""),"",IF(R131/IF($R$2="",100,$R$2)&gt;=設定!$I$28,設定!$G$8,IF(R131/IF($R$2="",100,$R$2)&lt;設定!$I$29,設定!$G$10,設定!$G$9)))</f>
        <v/>
      </c>
      <c r="U131" s="62" t="str">
        <f aca="false">IF(OR($C131="",S131=""),"",IF(S131/IF($S$2="",100,$S$2)&gt;=設定!$I$28,設定!$G$8,IF(S131/IF($S$2="",100,$S$2)&lt;設定!$I$29,設定!$G$10,設定!$G$9)))</f>
        <v/>
      </c>
    </row>
    <row r="132" customFormat="false" ht="21" hidden="false" customHeight="true" outlineLevel="0" collapsed="false">
      <c r="A132" s="91" t="str">
        <f aca="false">IF(名簿!$D132="","",名簿!$B132&amp;"")</f>
        <v/>
      </c>
      <c r="B132" s="91" t="str">
        <f aca="false">IF(名簿!$D132="","",名簿!$C132)</f>
        <v/>
      </c>
      <c r="C132" s="59" t="str">
        <f aca="false">IF(名簿!$D132="","",名簿!$D132&amp;IF(名簿!$F132="転出","（転出）",""))</f>
        <v/>
      </c>
      <c r="D132" s="149"/>
      <c r="E132" s="61" t="str">
        <f aca="false">IF(OR($C132="",名簿!$F132="転出"),"",IF($C$2="学級ごと",$A132,IF($C$2="前の単元と同じ",単元08!$E132&amp;"",$D132&amp;"")))</f>
        <v/>
      </c>
      <c r="F132" s="150"/>
      <c r="G132" s="150"/>
      <c r="H132" s="150"/>
      <c r="I132" s="151"/>
      <c r="J132" s="41" t="str">
        <f aca="false">IF($E132="","",$E132&amp;"|"&amp;COUNTIF($E$5:$E132,$E132))</f>
        <v/>
      </c>
      <c r="K132" s="40" t="str">
        <f aca="false">IF($I132="","",LEN($I132))</f>
        <v/>
      </c>
      <c r="L132" s="13"/>
      <c r="M132" s="13"/>
      <c r="N132" s="13"/>
      <c r="O132" s="13"/>
      <c r="P132" s="152"/>
      <c r="Q132" s="149"/>
      <c r="R132" s="152"/>
      <c r="S132" s="152"/>
      <c r="T132" s="62" t="str">
        <f aca="false">IF(OR($C132="",R132=""),"",IF(R132/IF($R$2="",100,$R$2)&gt;=設定!$I$28,設定!$G$8,IF(R132/IF($R$2="",100,$R$2)&lt;設定!$I$29,設定!$G$10,設定!$G$9)))</f>
        <v/>
      </c>
      <c r="U132" s="62" t="str">
        <f aca="false">IF(OR($C132="",S132=""),"",IF(S132/IF($S$2="",100,$S$2)&gt;=設定!$I$28,設定!$G$8,IF(S132/IF($S$2="",100,$S$2)&lt;設定!$I$29,設定!$G$10,設定!$G$9)))</f>
        <v/>
      </c>
    </row>
    <row r="133" customFormat="false" ht="21" hidden="false" customHeight="true" outlineLevel="0" collapsed="false">
      <c r="A133" s="91" t="str">
        <f aca="false">IF(名簿!$D133="","",名簿!$B133&amp;"")</f>
        <v/>
      </c>
      <c r="B133" s="91" t="str">
        <f aca="false">IF(名簿!$D133="","",名簿!$C133)</f>
        <v/>
      </c>
      <c r="C133" s="59" t="str">
        <f aca="false">IF(名簿!$D133="","",名簿!$D133&amp;IF(名簿!$F133="転出","（転出）",""))</f>
        <v/>
      </c>
      <c r="D133" s="149"/>
      <c r="E133" s="61" t="str">
        <f aca="false">IF(OR($C133="",名簿!$F133="転出"),"",IF($C$2="学級ごと",$A133,IF($C$2="前の単元と同じ",単元08!$E133&amp;"",$D133&amp;"")))</f>
        <v/>
      </c>
      <c r="F133" s="150"/>
      <c r="G133" s="150"/>
      <c r="H133" s="150"/>
      <c r="I133" s="151"/>
      <c r="J133" s="41" t="str">
        <f aca="false">IF($E133="","",$E133&amp;"|"&amp;COUNTIF($E$5:$E133,$E133))</f>
        <v/>
      </c>
      <c r="K133" s="40" t="str">
        <f aca="false">IF($I133="","",LEN($I133))</f>
        <v/>
      </c>
      <c r="L133" s="13"/>
      <c r="M133" s="13"/>
      <c r="N133" s="13"/>
      <c r="O133" s="13"/>
      <c r="P133" s="152"/>
      <c r="Q133" s="149"/>
      <c r="R133" s="152"/>
      <c r="S133" s="152"/>
      <c r="T133" s="62" t="str">
        <f aca="false">IF(OR($C133="",R133=""),"",IF(R133/IF($R$2="",100,$R$2)&gt;=設定!$I$28,設定!$G$8,IF(R133/IF($R$2="",100,$R$2)&lt;設定!$I$29,設定!$G$10,設定!$G$9)))</f>
        <v/>
      </c>
      <c r="U133" s="62" t="str">
        <f aca="false">IF(OR($C133="",S133=""),"",IF(S133/IF($S$2="",100,$S$2)&gt;=設定!$I$28,設定!$G$8,IF(S133/IF($S$2="",100,$S$2)&lt;設定!$I$29,設定!$G$10,設定!$G$9)))</f>
        <v/>
      </c>
    </row>
    <row r="134" customFormat="false" ht="21" hidden="false" customHeight="true" outlineLevel="0" collapsed="false">
      <c r="A134" s="91" t="str">
        <f aca="false">IF(名簿!$D134="","",名簿!$B134&amp;"")</f>
        <v/>
      </c>
      <c r="B134" s="91" t="str">
        <f aca="false">IF(名簿!$D134="","",名簿!$C134)</f>
        <v/>
      </c>
      <c r="C134" s="59" t="str">
        <f aca="false">IF(名簿!$D134="","",名簿!$D134&amp;IF(名簿!$F134="転出","（転出）",""))</f>
        <v/>
      </c>
      <c r="D134" s="149"/>
      <c r="E134" s="61" t="str">
        <f aca="false">IF(OR($C134="",名簿!$F134="転出"),"",IF($C$2="学級ごと",$A134,IF($C$2="前の単元と同じ",単元08!$E134&amp;"",$D134&amp;"")))</f>
        <v/>
      </c>
      <c r="F134" s="150"/>
      <c r="G134" s="150"/>
      <c r="H134" s="150"/>
      <c r="I134" s="151"/>
      <c r="J134" s="41" t="str">
        <f aca="false">IF($E134="","",$E134&amp;"|"&amp;COUNTIF($E$5:$E134,$E134))</f>
        <v/>
      </c>
      <c r="K134" s="40" t="str">
        <f aca="false">IF($I134="","",LEN($I134))</f>
        <v/>
      </c>
      <c r="L134" s="13"/>
      <c r="M134" s="13"/>
      <c r="N134" s="13"/>
      <c r="O134" s="13"/>
      <c r="P134" s="152"/>
      <c r="Q134" s="149"/>
      <c r="R134" s="152"/>
      <c r="S134" s="152"/>
      <c r="T134" s="62" t="str">
        <f aca="false">IF(OR($C134="",R134=""),"",IF(R134/IF($R$2="",100,$R$2)&gt;=設定!$I$28,設定!$G$8,IF(R134/IF($R$2="",100,$R$2)&lt;設定!$I$29,設定!$G$10,設定!$G$9)))</f>
        <v/>
      </c>
      <c r="U134" s="62" t="str">
        <f aca="false">IF(OR($C134="",S134=""),"",IF(S134/IF($S$2="",100,$S$2)&gt;=設定!$I$28,設定!$G$8,IF(S134/IF($S$2="",100,$S$2)&lt;設定!$I$29,設定!$G$10,設定!$G$9)))</f>
        <v/>
      </c>
    </row>
    <row r="135" customFormat="false" ht="21" hidden="false" customHeight="true" outlineLevel="0" collapsed="false">
      <c r="A135" s="91" t="str">
        <f aca="false">IF(名簿!$D135="","",名簿!$B135&amp;"")</f>
        <v/>
      </c>
      <c r="B135" s="91" t="str">
        <f aca="false">IF(名簿!$D135="","",名簿!$C135)</f>
        <v/>
      </c>
      <c r="C135" s="59" t="str">
        <f aca="false">IF(名簿!$D135="","",名簿!$D135&amp;IF(名簿!$F135="転出","（転出）",""))</f>
        <v/>
      </c>
      <c r="D135" s="149"/>
      <c r="E135" s="61" t="str">
        <f aca="false">IF(OR($C135="",名簿!$F135="転出"),"",IF($C$2="学級ごと",$A135,IF($C$2="前の単元と同じ",単元08!$E135&amp;"",$D135&amp;"")))</f>
        <v/>
      </c>
      <c r="F135" s="150"/>
      <c r="G135" s="150"/>
      <c r="H135" s="150"/>
      <c r="I135" s="151"/>
      <c r="J135" s="41" t="str">
        <f aca="false">IF($E135="","",$E135&amp;"|"&amp;COUNTIF($E$5:$E135,$E135))</f>
        <v/>
      </c>
      <c r="K135" s="40" t="str">
        <f aca="false">IF($I135="","",LEN($I135))</f>
        <v/>
      </c>
      <c r="L135" s="13"/>
      <c r="M135" s="13"/>
      <c r="N135" s="13"/>
      <c r="O135" s="13"/>
      <c r="P135" s="152"/>
      <c r="Q135" s="149"/>
      <c r="R135" s="152"/>
      <c r="S135" s="152"/>
      <c r="T135" s="62" t="str">
        <f aca="false">IF(OR($C135="",R135=""),"",IF(R135/IF($R$2="",100,$R$2)&gt;=設定!$I$28,設定!$G$8,IF(R135/IF($R$2="",100,$R$2)&lt;設定!$I$29,設定!$G$10,設定!$G$9)))</f>
        <v/>
      </c>
      <c r="U135" s="62" t="str">
        <f aca="false">IF(OR($C135="",S135=""),"",IF(S135/IF($S$2="",100,$S$2)&gt;=設定!$I$28,設定!$G$8,IF(S135/IF($S$2="",100,$S$2)&lt;設定!$I$29,設定!$G$10,設定!$G$9)))</f>
        <v/>
      </c>
    </row>
    <row r="136" customFormat="false" ht="21" hidden="false" customHeight="true" outlineLevel="0" collapsed="false">
      <c r="A136" s="91" t="str">
        <f aca="false">IF(名簿!$D136="","",名簿!$B136&amp;"")</f>
        <v/>
      </c>
      <c r="B136" s="91" t="str">
        <f aca="false">IF(名簿!$D136="","",名簿!$C136)</f>
        <v/>
      </c>
      <c r="C136" s="59" t="str">
        <f aca="false">IF(名簿!$D136="","",名簿!$D136&amp;IF(名簿!$F136="転出","（転出）",""))</f>
        <v/>
      </c>
      <c r="D136" s="149"/>
      <c r="E136" s="61" t="str">
        <f aca="false">IF(OR($C136="",名簿!$F136="転出"),"",IF($C$2="学級ごと",$A136,IF($C$2="前の単元と同じ",単元08!$E136&amp;"",$D136&amp;"")))</f>
        <v/>
      </c>
      <c r="F136" s="150"/>
      <c r="G136" s="150"/>
      <c r="H136" s="150"/>
      <c r="I136" s="151"/>
      <c r="J136" s="41" t="str">
        <f aca="false">IF($E136="","",$E136&amp;"|"&amp;COUNTIF($E$5:$E136,$E136))</f>
        <v/>
      </c>
      <c r="K136" s="40" t="str">
        <f aca="false">IF($I136="","",LEN($I136))</f>
        <v/>
      </c>
      <c r="L136" s="13"/>
      <c r="M136" s="13"/>
      <c r="N136" s="13"/>
      <c r="O136" s="13"/>
      <c r="P136" s="152"/>
      <c r="Q136" s="149"/>
      <c r="R136" s="152"/>
      <c r="S136" s="152"/>
      <c r="T136" s="62" t="str">
        <f aca="false">IF(OR($C136="",R136=""),"",IF(R136/IF($R$2="",100,$R$2)&gt;=設定!$I$28,設定!$G$8,IF(R136/IF($R$2="",100,$R$2)&lt;設定!$I$29,設定!$G$10,設定!$G$9)))</f>
        <v/>
      </c>
      <c r="U136" s="62" t="str">
        <f aca="false">IF(OR($C136="",S136=""),"",IF(S136/IF($S$2="",100,$S$2)&gt;=設定!$I$28,設定!$G$8,IF(S136/IF($S$2="",100,$S$2)&lt;設定!$I$29,設定!$G$10,設定!$G$9)))</f>
        <v/>
      </c>
    </row>
    <row r="137" customFormat="false" ht="21" hidden="false" customHeight="true" outlineLevel="0" collapsed="false">
      <c r="A137" s="91" t="str">
        <f aca="false">IF(名簿!$D137="","",名簿!$B137&amp;"")</f>
        <v/>
      </c>
      <c r="B137" s="91" t="str">
        <f aca="false">IF(名簿!$D137="","",名簿!$C137)</f>
        <v/>
      </c>
      <c r="C137" s="59" t="str">
        <f aca="false">IF(名簿!$D137="","",名簿!$D137&amp;IF(名簿!$F137="転出","（転出）",""))</f>
        <v/>
      </c>
      <c r="D137" s="149"/>
      <c r="E137" s="61" t="str">
        <f aca="false">IF(OR($C137="",名簿!$F137="転出"),"",IF($C$2="学級ごと",$A137,IF($C$2="前の単元と同じ",単元08!$E137&amp;"",$D137&amp;"")))</f>
        <v/>
      </c>
      <c r="F137" s="150"/>
      <c r="G137" s="150"/>
      <c r="H137" s="150"/>
      <c r="I137" s="151"/>
      <c r="J137" s="41" t="str">
        <f aca="false">IF($E137="","",$E137&amp;"|"&amp;COUNTIF($E$5:$E137,$E137))</f>
        <v/>
      </c>
      <c r="K137" s="40" t="str">
        <f aca="false">IF($I137="","",LEN($I137))</f>
        <v/>
      </c>
      <c r="L137" s="13"/>
      <c r="M137" s="13"/>
      <c r="N137" s="13"/>
      <c r="O137" s="13"/>
      <c r="P137" s="152"/>
      <c r="Q137" s="149"/>
      <c r="R137" s="152"/>
      <c r="S137" s="152"/>
      <c r="T137" s="62" t="str">
        <f aca="false">IF(OR($C137="",R137=""),"",IF(R137/IF($R$2="",100,$R$2)&gt;=設定!$I$28,設定!$G$8,IF(R137/IF($R$2="",100,$R$2)&lt;設定!$I$29,設定!$G$10,設定!$G$9)))</f>
        <v/>
      </c>
      <c r="U137" s="62" t="str">
        <f aca="false">IF(OR($C137="",S137=""),"",IF(S137/IF($S$2="",100,$S$2)&gt;=設定!$I$28,設定!$G$8,IF(S137/IF($S$2="",100,$S$2)&lt;設定!$I$29,設定!$G$10,設定!$G$9)))</f>
        <v/>
      </c>
    </row>
    <row r="138" customFormat="false" ht="21" hidden="false" customHeight="true" outlineLevel="0" collapsed="false">
      <c r="A138" s="91" t="str">
        <f aca="false">IF(名簿!$D138="","",名簿!$B138&amp;"")</f>
        <v/>
      </c>
      <c r="B138" s="91" t="str">
        <f aca="false">IF(名簿!$D138="","",名簿!$C138)</f>
        <v/>
      </c>
      <c r="C138" s="59" t="str">
        <f aca="false">IF(名簿!$D138="","",名簿!$D138&amp;IF(名簿!$F138="転出","（転出）",""))</f>
        <v/>
      </c>
      <c r="D138" s="149"/>
      <c r="E138" s="61" t="str">
        <f aca="false">IF(OR($C138="",名簿!$F138="転出"),"",IF($C$2="学級ごと",$A138,IF($C$2="前の単元と同じ",単元08!$E138&amp;"",$D138&amp;"")))</f>
        <v/>
      </c>
      <c r="F138" s="150"/>
      <c r="G138" s="150"/>
      <c r="H138" s="150"/>
      <c r="I138" s="151"/>
      <c r="J138" s="41" t="str">
        <f aca="false">IF($E138="","",$E138&amp;"|"&amp;COUNTIF($E$5:$E138,$E138))</f>
        <v/>
      </c>
      <c r="K138" s="40" t="str">
        <f aca="false">IF($I138="","",LEN($I138))</f>
        <v/>
      </c>
      <c r="L138" s="13"/>
      <c r="M138" s="13"/>
      <c r="N138" s="13"/>
      <c r="O138" s="13"/>
      <c r="P138" s="152"/>
      <c r="Q138" s="149"/>
      <c r="R138" s="152"/>
      <c r="S138" s="152"/>
      <c r="T138" s="62" t="str">
        <f aca="false">IF(OR($C138="",R138=""),"",IF(R138/IF($R$2="",100,$R$2)&gt;=設定!$I$28,設定!$G$8,IF(R138/IF($R$2="",100,$R$2)&lt;設定!$I$29,設定!$G$10,設定!$G$9)))</f>
        <v/>
      </c>
      <c r="U138" s="62" t="str">
        <f aca="false">IF(OR($C138="",S138=""),"",IF(S138/IF($S$2="",100,$S$2)&gt;=設定!$I$28,設定!$G$8,IF(S138/IF($S$2="",100,$S$2)&lt;設定!$I$29,設定!$G$10,設定!$G$9)))</f>
        <v/>
      </c>
    </row>
    <row r="139" customFormat="false" ht="21" hidden="false" customHeight="true" outlineLevel="0" collapsed="false">
      <c r="A139" s="91" t="str">
        <f aca="false">IF(名簿!$D139="","",名簿!$B139&amp;"")</f>
        <v/>
      </c>
      <c r="B139" s="91" t="str">
        <f aca="false">IF(名簿!$D139="","",名簿!$C139)</f>
        <v/>
      </c>
      <c r="C139" s="59" t="str">
        <f aca="false">IF(名簿!$D139="","",名簿!$D139&amp;IF(名簿!$F139="転出","（転出）",""))</f>
        <v/>
      </c>
      <c r="D139" s="149"/>
      <c r="E139" s="61" t="str">
        <f aca="false">IF(OR($C139="",名簿!$F139="転出"),"",IF($C$2="学級ごと",$A139,IF($C$2="前の単元と同じ",単元08!$E139&amp;"",$D139&amp;"")))</f>
        <v/>
      </c>
      <c r="F139" s="150"/>
      <c r="G139" s="150"/>
      <c r="H139" s="150"/>
      <c r="I139" s="151"/>
      <c r="J139" s="41" t="str">
        <f aca="false">IF($E139="","",$E139&amp;"|"&amp;COUNTIF($E$5:$E139,$E139))</f>
        <v/>
      </c>
      <c r="K139" s="40" t="str">
        <f aca="false">IF($I139="","",LEN($I139))</f>
        <v/>
      </c>
      <c r="L139" s="13"/>
      <c r="M139" s="13"/>
      <c r="N139" s="13"/>
      <c r="O139" s="13"/>
      <c r="P139" s="152"/>
      <c r="Q139" s="149"/>
      <c r="R139" s="152"/>
      <c r="S139" s="152"/>
      <c r="T139" s="62" t="str">
        <f aca="false">IF(OR($C139="",R139=""),"",IF(R139/IF($R$2="",100,$R$2)&gt;=設定!$I$28,設定!$G$8,IF(R139/IF($R$2="",100,$R$2)&lt;設定!$I$29,設定!$G$10,設定!$G$9)))</f>
        <v/>
      </c>
      <c r="U139" s="62" t="str">
        <f aca="false">IF(OR($C139="",S139=""),"",IF(S139/IF($S$2="",100,$S$2)&gt;=設定!$I$28,設定!$G$8,IF(S139/IF($S$2="",100,$S$2)&lt;設定!$I$29,設定!$G$10,設定!$G$9)))</f>
        <v/>
      </c>
    </row>
    <row r="140" customFormat="false" ht="21" hidden="false" customHeight="true" outlineLevel="0" collapsed="false">
      <c r="A140" s="91" t="str">
        <f aca="false">IF(名簿!$D140="","",名簿!$B140&amp;"")</f>
        <v/>
      </c>
      <c r="B140" s="91" t="str">
        <f aca="false">IF(名簿!$D140="","",名簿!$C140)</f>
        <v/>
      </c>
      <c r="C140" s="59" t="str">
        <f aca="false">IF(名簿!$D140="","",名簿!$D140&amp;IF(名簿!$F140="転出","（転出）",""))</f>
        <v/>
      </c>
      <c r="D140" s="149"/>
      <c r="E140" s="61" t="str">
        <f aca="false">IF(OR($C140="",名簿!$F140="転出"),"",IF($C$2="学級ごと",$A140,IF($C$2="前の単元と同じ",単元08!$E140&amp;"",$D140&amp;"")))</f>
        <v/>
      </c>
      <c r="F140" s="150"/>
      <c r="G140" s="150"/>
      <c r="H140" s="150"/>
      <c r="I140" s="151"/>
      <c r="J140" s="41" t="str">
        <f aca="false">IF($E140="","",$E140&amp;"|"&amp;COUNTIF($E$5:$E140,$E140))</f>
        <v/>
      </c>
      <c r="K140" s="40" t="str">
        <f aca="false">IF($I140="","",LEN($I140))</f>
        <v/>
      </c>
      <c r="L140" s="13"/>
      <c r="M140" s="13"/>
      <c r="N140" s="13"/>
      <c r="O140" s="13"/>
      <c r="P140" s="152"/>
      <c r="Q140" s="149"/>
      <c r="R140" s="152"/>
      <c r="S140" s="152"/>
      <c r="T140" s="62" t="str">
        <f aca="false">IF(OR($C140="",R140=""),"",IF(R140/IF($R$2="",100,$R$2)&gt;=設定!$I$28,設定!$G$8,IF(R140/IF($R$2="",100,$R$2)&lt;設定!$I$29,設定!$G$10,設定!$G$9)))</f>
        <v/>
      </c>
      <c r="U140" s="62" t="str">
        <f aca="false">IF(OR($C140="",S140=""),"",IF(S140/IF($S$2="",100,$S$2)&gt;=設定!$I$28,設定!$G$8,IF(S140/IF($S$2="",100,$S$2)&lt;設定!$I$29,設定!$G$10,設定!$G$9)))</f>
        <v/>
      </c>
    </row>
    <row r="141" customFormat="false" ht="21" hidden="false" customHeight="true" outlineLevel="0" collapsed="false">
      <c r="A141" s="91" t="str">
        <f aca="false">IF(名簿!$D141="","",名簿!$B141&amp;"")</f>
        <v/>
      </c>
      <c r="B141" s="91" t="str">
        <f aca="false">IF(名簿!$D141="","",名簿!$C141)</f>
        <v/>
      </c>
      <c r="C141" s="59" t="str">
        <f aca="false">IF(名簿!$D141="","",名簿!$D141&amp;IF(名簿!$F141="転出","（転出）",""))</f>
        <v/>
      </c>
      <c r="D141" s="149"/>
      <c r="E141" s="61" t="str">
        <f aca="false">IF(OR($C141="",名簿!$F141="転出"),"",IF($C$2="学級ごと",$A141,IF($C$2="前の単元と同じ",単元08!$E141&amp;"",$D141&amp;"")))</f>
        <v/>
      </c>
      <c r="F141" s="150"/>
      <c r="G141" s="150"/>
      <c r="H141" s="150"/>
      <c r="I141" s="151"/>
      <c r="J141" s="41" t="str">
        <f aca="false">IF($E141="","",$E141&amp;"|"&amp;COUNTIF($E$5:$E141,$E141))</f>
        <v/>
      </c>
      <c r="K141" s="40" t="str">
        <f aca="false">IF($I141="","",LEN($I141))</f>
        <v/>
      </c>
      <c r="L141" s="13"/>
      <c r="M141" s="13"/>
      <c r="N141" s="13"/>
      <c r="O141" s="13"/>
      <c r="P141" s="152"/>
      <c r="Q141" s="149"/>
      <c r="R141" s="152"/>
      <c r="S141" s="152"/>
      <c r="T141" s="62" t="str">
        <f aca="false">IF(OR($C141="",R141=""),"",IF(R141/IF($R$2="",100,$R$2)&gt;=設定!$I$28,設定!$G$8,IF(R141/IF($R$2="",100,$R$2)&lt;設定!$I$29,設定!$G$10,設定!$G$9)))</f>
        <v/>
      </c>
      <c r="U141" s="62" t="str">
        <f aca="false">IF(OR($C141="",S141=""),"",IF(S141/IF($S$2="",100,$S$2)&gt;=設定!$I$28,設定!$G$8,IF(S141/IF($S$2="",100,$S$2)&lt;設定!$I$29,設定!$G$10,設定!$G$9)))</f>
        <v/>
      </c>
    </row>
    <row r="142" customFormat="false" ht="21" hidden="false" customHeight="true" outlineLevel="0" collapsed="false">
      <c r="A142" s="91" t="str">
        <f aca="false">IF(名簿!$D142="","",名簿!$B142&amp;"")</f>
        <v/>
      </c>
      <c r="B142" s="91" t="str">
        <f aca="false">IF(名簿!$D142="","",名簿!$C142)</f>
        <v/>
      </c>
      <c r="C142" s="59" t="str">
        <f aca="false">IF(名簿!$D142="","",名簿!$D142&amp;IF(名簿!$F142="転出","（転出）",""))</f>
        <v/>
      </c>
      <c r="D142" s="149"/>
      <c r="E142" s="61" t="str">
        <f aca="false">IF(OR($C142="",名簿!$F142="転出"),"",IF($C$2="学級ごと",$A142,IF($C$2="前の単元と同じ",単元08!$E142&amp;"",$D142&amp;"")))</f>
        <v/>
      </c>
      <c r="F142" s="150"/>
      <c r="G142" s="150"/>
      <c r="H142" s="150"/>
      <c r="I142" s="151"/>
      <c r="J142" s="41" t="str">
        <f aca="false">IF($E142="","",$E142&amp;"|"&amp;COUNTIF($E$5:$E142,$E142))</f>
        <v/>
      </c>
      <c r="K142" s="40" t="str">
        <f aca="false">IF($I142="","",LEN($I142))</f>
        <v/>
      </c>
      <c r="L142" s="13"/>
      <c r="M142" s="13"/>
      <c r="N142" s="13"/>
      <c r="O142" s="13"/>
      <c r="P142" s="152"/>
      <c r="Q142" s="149"/>
      <c r="R142" s="152"/>
      <c r="S142" s="152"/>
      <c r="T142" s="62" t="str">
        <f aca="false">IF(OR($C142="",R142=""),"",IF(R142/IF($R$2="",100,$R$2)&gt;=設定!$I$28,設定!$G$8,IF(R142/IF($R$2="",100,$R$2)&lt;設定!$I$29,設定!$G$10,設定!$G$9)))</f>
        <v/>
      </c>
      <c r="U142" s="62" t="str">
        <f aca="false">IF(OR($C142="",S142=""),"",IF(S142/IF($S$2="",100,$S$2)&gt;=設定!$I$28,設定!$G$8,IF(S142/IF($S$2="",100,$S$2)&lt;設定!$I$29,設定!$G$10,設定!$G$9)))</f>
        <v/>
      </c>
    </row>
    <row r="143" customFormat="false" ht="21" hidden="false" customHeight="true" outlineLevel="0" collapsed="false">
      <c r="A143" s="91" t="str">
        <f aca="false">IF(名簿!$D143="","",名簿!$B143&amp;"")</f>
        <v/>
      </c>
      <c r="B143" s="91" t="str">
        <f aca="false">IF(名簿!$D143="","",名簿!$C143)</f>
        <v/>
      </c>
      <c r="C143" s="59" t="str">
        <f aca="false">IF(名簿!$D143="","",名簿!$D143&amp;IF(名簿!$F143="転出","（転出）",""))</f>
        <v/>
      </c>
      <c r="D143" s="149"/>
      <c r="E143" s="61" t="str">
        <f aca="false">IF(OR($C143="",名簿!$F143="転出"),"",IF($C$2="学級ごと",$A143,IF($C$2="前の単元と同じ",単元08!$E143&amp;"",$D143&amp;"")))</f>
        <v/>
      </c>
      <c r="F143" s="150"/>
      <c r="G143" s="150"/>
      <c r="H143" s="150"/>
      <c r="I143" s="151"/>
      <c r="J143" s="41" t="str">
        <f aca="false">IF($E143="","",$E143&amp;"|"&amp;COUNTIF($E$5:$E143,$E143))</f>
        <v/>
      </c>
      <c r="K143" s="40" t="str">
        <f aca="false">IF($I143="","",LEN($I143))</f>
        <v/>
      </c>
      <c r="L143" s="13"/>
      <c r="M143" s="13"/>
      <c r="N143" s="13"/>
      <c r="O143" s="13"/>
      <c r="P143" s="152"/>
      <c r="Q143" s="149"/>
      <c r="R143" s="152"/>
      <c r="S143" s="152"/>
      <c r="T143" s="62" t="str">
        <f aca="false">IF(OR($C143="",R143=""),"",IF(R143/IF($R$2="",100,$R$2)&gt;=設定!$I$28,設定!$G$8,IF(R143/IF($R$2="",100,$R$2)&lt;設定!$I$29,設定!$G$10,設定!$G$9)))</f>
        <v/>
      </c>
      <c r="U143" s="62" t="str">
        <f aca="false">IF(OR($C143="",S143=""),"",IF(S143/IF($S$2="",100,$S$2)&gt;=設定!$I$28,設定!$G$8,IF(S143/IF($S$2="",100,$S$2)&lt;設定!$I$29,設定!$G$10,設定!$G$9)))</f>
        <v/>
      </c>
    </row>
    <row r="144" customFormat="false" ht="21" hidden="false" customHeight="true" outlineLevel="0" collapsed="false">
      <c r="A144" s="91" t="str">
        <f aca="false">IF(名簿!$D144="","",名簿!$B144&amp;"")</f>
        <v/>
      </c>
      <c r="B144" s="91" t="str">
        <f aca="false">IF(名簿!$D144="","",名簿!$C144)</f>
        <v/>
      </c>
      <c r="C144" s="59" t="str">
        <f aca="false">IF(名簿!$D144="","",名簿!$D144&amp;IF(名簿!$F144="転出","（転出）",""))</f>
        <v/>
      </c>
      <c r="D144" s="149"/>
      <c r="E144" s="61" t="str">
        <f aca="false">IF(OR($C144="",名簿!$F144="転出"),"",IF($C$2="学級ごと",$A144,IF($C$2="前の単元と同じ",単元08!$E144&amp;"",$D144&amp;"")))</f>
        <v/>
      </c>
      <c r="F144" s="150"/>
      <c r="G144" s="150"/>
      <c r="H144" s="150"/>
      <c r="I144" s="151"/>
      <c r="J144" s="41" t="str">
        <f aca="false">IF($E144="","",$E144&amp;"|"&amp;COUNTIF($E$5:$E144,$E144))</f>
        <v/>
      </c>
      <c r="K144" s="40" t="str">
        <f aca="false">IF($I144="","",LEN($I144))</f>
        <v/>
      </c>
      <c r="L144" s="13"/>
      <c r="M144" s="13"/>
      <c r="N144" s="13"/>
      <c r="O144" s="13"/>
      <c r="P144" s="152"/>
      <c r="Q144" s="149"/>
      <c r="R144" s="152"/>
      <c r="S144" s="152"/>
      <c r="T144" s="62" t="str">
        <f aca="false">IF(OR($C144="",R144=""),"",IF(R144/IF($R$2="",100,$R$2)&gt;=設定!$I$28,設定!$G$8,IF(R144/IF($R$2="",100,$R$2)&lt;設定!$I$29,設定!$G$10,設定!$G$9)))</f>
        <v/>
      </c>
      <c r="U144" s="62" t="str">
        <f aca="false">IF(OR($C144="",S144=""),"",IF(S144/IF($S$2="",100,$S$2)&gt;=設定!$I$28,設定!$G$8,IF(S144/IF($S$2="",100,$S$2)&lt;設定!$I$29,設定!$G$10,設定!$G$9)))</f>
        <v/>
      </c>
    </row>
    <row r="145" customFormat="false" ht="21" hidden="false" customHeight="true" outlineLevel="0" collapsed="false">
      <c r="A145" s="91" t="str">
        <f aca="false">IF(名簿!$D145="","",名簿!$B145&amp;"")</f>
        <v/>
      </c>
      <c r="B145" s="91" t="str">
        <f aca="false">IF(名簿!$D145="","",名簿!$C145)</f>
        <v/>
      </c>
      <c r="C145" s="59" t="str">
        <f aca="false">IF(名簿!$D145="","",名簿!$D145&amp;IF(名簿!$F145="転出","（転出）",""))</f>
        <v/>
      </c>
      <c r="D145" s="149"/>
      <c r="E145" s="61" t="str">
        <f aca="false">IF(OR($C145="",名簿!$F145="転出"),"",IF($C$2="学級ごと",$A145,IF($C$2="前の単元と同じ",単元08!$E145&amp;"",$D145&amp;"")))</f>
        <v/>
      </c>
      <c r="F145" s="150"/>
      <c r="G145" s="150"/>
      <c r="H145" s="150"/>
      <c r="I145" s="151"/>
      <c r="J145" s="41" t="str">
        <f aca="false">IF($E145="","",$E145&amp;"|"&amp;COUNTIF($E$5:$E145,$E145))</f>
        <v/>
      </c>
      <c r="K145" s="40" t="str">
        <f aca="false">IF($I145="","",LEN($I145))</f>
        <v/>
      </c>
      <c r="L145" s="13"/>
      <c r="M145" s="13"/>
      <c r="N145" s="13"/>
      <c r="O145" s="13"/>
      <c r="P145" s="152"/>
      <c r="Q145" s="149"/>
      <c r="R145" s="152"/>
      <c r="S145" s="152"/>
      <c r="T145" s="62" t="str">
        <f aca="false">IF(OR($C145="",R145=""),"",IF(R145/IF($R$2="",100,$R$2)&gt;=設定!$I$28,設定!$G$8,IF(R145/IF($R$2="",100,$R$2)&lt;設定!$I$29,設定!$G$10,設定!$G$9)))</f>
        <v/>
      </c>
      <c r="U145" s="62" t="str">
        <f aca="false">IF(OR($C145="",S145=""),"",IF(S145/IF($S$2="",100,$S$2)&gt;=設定!$I$28,設定!$G$8,IF(S145/IF($S$2="",100,$S$2)&lt;設定!$I$29,設定!$G$10,設定!$G$9)))</f>
        <v/>
      </c>
    </row>
    <row r="146" customFormat="false" ht="21" hidden="false" customHeight="true" outlineLevel="0" collapsed="false">
      <c r="A146" s="91" t="str">
        <f aca="false">IF(名簿!$D146="","",名簿!$B146&amp;"")</f>
        <v/>
      </c>
      <c r="B146" s="91" t="str">
        <f aca="false">IF(名簿!$D146="","",名簿!$C146)</f>
        <v/>
      </c>
      <c r="C146" s="59" t="str">
        <f aca="false">IF(名簿!$D146="","",名簿!$D146&amp;IF(名簿!$F146="転出","（転出）",""))</f>
        <v/>
      </c>
      <c r="D146" s="149"/>
      <c r="E146" s="61" t="str">
        <f aca="false">IF(OR($C146="",名簿!$F146="転出"),"",IF($C$2="学級ごと",$A146,IF($C$2="前の単元と同じ",単元08!$E146&amp;"",$D146&amp;"")))</f>
        <v/>
      </c>
      <c r="F146" s="150"/>
      <c r="G146" s="150"/>
      <c r="H146" s="150"/>
      <c r="I146" s="151"/>
      <c r="J146" s="41" t="str">
        <f aca="false">IF($E146="","",$E146&amp;"|"&amp;COUNTIF($E$5:$E146,$E146))</f>
        <v/>
      </c>
      <c r="K146" s="40" t="str">
        <f aca="false">IF($I146="","",LEN($I146))</f>
        <v/>
      </c>
      <c r="L146" s="13"/>
      <c r="M146" s="13"/>
      <c r="N146" s="13"/>
      <c r="O146" s="13"/>
      <c r="P146" s="152"/>
      <c r="Q146" s="149"/>
      <c r="R146" s="152"/>
      <c r="S146" s="152"/>
      <c r="T146" s="62" t="str">
        <f aca="false">IF(OR($C146="",R146=""),"",IF(R146/IF($R$2="",100,$R$2)&gt;=設定!$I$28,設定!$G$8,IF(R146/IF($R$2="",100,$R$2)&lt;設定!$I$29,設定!$G$10,設定!$G$9)))</f>
        <v/>
      </c>
      <c r="U146" s="62" t="str">
        <f aca="false">IF(OR($C146="",S146=""),"",IF(S146/IF($S$2="",100,$S$2)&gt;=設定!$I$28,設定!$G$8,IF(S146/IF($S$2="",100,$S$2)&lt;設定!$I$29,設定!$G$10,設定!$G$9)))</f>
        <v/>
      </c>
    </row>
    <row r="147" customFormat="false" ht="21" hidden="false" customHeight="true" outlineLevel="0" collapsed="false">
      <c r="A147" s="91" t="str">
        <f aca="false">IF(名簿!$D147="","",名簿!$B147&amp;"")</f>
        <v/>
      </c>
      <c r="B147" s="91" t="str">
        <f aca="false">IF(名簿!$D147="","",名簿!$C147)</f>
        <v/>
      </c>
      <c r="C147" s="59" t="str">
        <f aca="false">IF(名簿!$D147="","",名簿!$D147&amp;IF(名簿!$F147="転出","（転出）",""))</f>
        <v/>
      </c>
      <c r="D147" s="149"/>
      <c r="E147" s="61" t="str">
        <f aca="false">IF(OR($C147="",名簿!$F147="転出"),"",IF($C$2="学級ごと",$A147,IF($C$2="前の単元と同じ",単元08!$E147&amp;"",$D147&amp;"")))</f>
        <v/>
      </c>
      <c r="F147" s="150"/>
      <c r="G147" s="150"/>
      <c r="H147" s="150"/>
      <c r="I147" s="151"/>
      <c r="J147" s="41" t="str">
        <f aca="false">IF($E147="","",$E147&amp;"|"&amp;COUNTIF($E$5:$E147,$E147))</f>
        <v/>
      </c>
      <c r="K147" s="40" t="str">
        <f aca="false">IF($I147="","",LEN($I147))</f>
        <v/>
      </c>
      <c r="L147" s="13"/>
      <c r="M147" s="13"/>
      <c r="N147" s="13"/>
      <c r="O147" s="13"/>
      <c r="P147" s="152"/>
      <c r="Q147" s="149"/>
      <c r="R147" s="152"/>
      <c r="S147" s="152"/>
      <c r="T147" s="62" t="str">
        <f aca="false">IF(OR($C147="",R147=""),"",IF(R147/IF($R$2="",100,$R$2)&gt;=設定!$I$28,設定!$G$8,IF(R147/IF($R$2="",100,$R$2)&lt;設定!$I$29,設定!$G$10,設定!$G$9)))</f>
        <v/>
      </c>
      <c r="U147" s="62" t="str">
        <f aca="false">IF(OR($C147="",S147=""),"",IF(S147/IF($S$2="",100,$S$2)&gt;=設定!$I$28,設定!$G$8,IF(S147/IF($S$2="",100,$S$2)&lt;設定!$I$29,設定!$G$10,設定!$G$9)))</f>
        <v/>
      </c>
    </row>
    <row r="148" customFormat="false" ht="21" hidden="false" customHeight="true" outlineLevel="0" collapsed="false">
      <c r="A148" s="91" t="str">
        <f aca="false">IF(名簿!$D148="","",名簿!$B148&amp;"")</f>
        <v/>
      </c>
      <c r="B148" s="91" t="str">
        <f aca="false">IF(名簿!$D148="","",名簿!$C148)</f>
        <v/>
      </c>
      <c r="C148" s="59" t="str">
        <f aca="false">IF(名簿!$D148="","",名簿!$D148&amp;IF(名簿!$F148="転出","（転出）",""))</f>
        <v/>
      </c>
      <c r="D148" s="149"/>
      <c r="E148" s="61" t="str">
        <f aca="false">IF(OR($C148="",名簿!$F148="転出"),"",IF($C$2="学級ごと",$A148,IF($C$2="前の単元と同じ",単元08!$E148&amp;"",$D148&amp;"")))</f>
        <v/>
      </c>
      <c r="F148" s="150"/>
      <c r="G148" s="150"/>
      <c r="H148" s="150"/>
      <c r="I148" s="151"/>
      <c r="J148" s="41" t="str">
        <f aca="false">IF($E148="","",$E148&amp;"|"&amp;COUNTIF($E$5:$E148,$E148))</f>
        <v/>
      </c>
      <c r="K148" s="40" t="str">
        <f aca="false">IF($I148="","",LEN($I148))</f>
        <v/>
      </c>
      <c r="L148" s="13"/>
      <c r="M148" s="13"/>
      <c r="N148" s="13"/>
      <c r="O148" s="13"/>
      <c r="P148" s="152"/>
      <c r="Q148" s="149"/>
      <c r="R148" s="152"/>
      <c r="S148" s="152"/>
      <c r="T148" s="62" t="str">
        <f aca="false">IF(OR($C148="",R148=""),"",IF(R148/IF($R$2="",100,$R$2)&gt;=設定!$I$28,設定!$G$8,IF(R148/IF($R$2="",100,$R$2)&lt;設定!$I$29,設定!$G$10,設定!$G$9)))</f>
        <v/>
      </c>
      <c r="U148" s="62" t="str">
        <f aca="false">IF(OR($C148="",S148=""),"",IF(S148/IF($S$2="",100,$S$2)&gt;=設定!$I$28,設定!$G$8,IF(S148/IF($S$2="",100,$S$2)&lt;設定!$I$29,設定!$G$10,設定!$G$9)))</f>
        <v/>
      </c>
    </row>
    <row r="149" customFormat="false" ht="21" hidden="false" customHeight="true" outlineLevel="0" collapsed="false">
      <c r="A149" s="91" t="str">
        <f aca="false">IF(名簿!$D149="","",名簿!$B149&amp;"")</f>
        <v/>
      </c>
      <c r="B149" s="91" t="str">
        <f aca="false">IF(名簿!$D149="","",名簿!$C149)</f>
        <v/>
      </c>
      <c r="C149" s="59" t="str">
        <f aca="false">IF(名簿!$D149="","",名簿!$D149&amp;IF(名簿!$F149="転出","（転出）",""))</f>
        <v/>
      </c>
      <c r="D149" s="149"/>
      <c r="E149" s="61" t="str">
        <f aca="false">IF(OR($C149="",名簿!$F149="転出"),"",IF($C$2="学級ごと",$A149,IF($C$2="前の単元と同じ",単元08!$E149&amp;"",$D149&amp;"")))</f>
        <v/>
      </c>
      <c r="F149" s="150"/>
      <c r="G149" s="150"/>
      <c r="H149" s="150"/>
      <c r="I149" s="151"/>
      <c r="J149" s="41" t="str">
        <f aca="false">IF($E149="","",$E149&amp;"|"&amp;COUNTIF($E$5:$E149,$E149))</f>
        <v/>
      </c>
      <c r="K149" s="40" t="str">
        <f aca="false">IF($I149="","",LEN($I149))</f>
        <v/>
      </c>
      <c r="L149" s="13"/>
      <c r="M149" s="13"/>
      <c r="N149" s="13"/>
      <c r="O149" s="13"/>
      <c r="P149" s="152"/>
      <c r="Q149" s="149"/>
      <c r="R149" s="152"/>
      <c r="S149" s="152"/>
      <c r="T149" s="62" t="str">
        <f aca="false">IF(OR($C149="",R149=""),"",IF(R149/IF($R$2="",100,$R$2)&gt;=設定!$I$28,設定!$G$8,IF(R149/IF($R$2="",100,$R$2)&lt;設定!$I$29,設定!$G$10,設定!$G$9)))</f>
        <v/>
      </c>
      <c r="U149" s="62" t="str">
        <f aca="false">IF(OR($C149="",S149=""),"",IF(S149/IF($S$2="",100,$S$2)&gt;=設定!$I$28,設定!$G$8,IF(S149/IF($S$2="",100,$S$2)&lt;設定!$I$29,設定!$G$10,設定!$G$9)))</f>
        <v/>
      </c>
    </row>
    <row r="150" customFormat="false" ht="21" hidden="false" customHeight="true" outlineLevel="0" collapsed="false">
      <c r="A150" s="91" t="str">
        <f aca="false">IF(名簿!$D150="","",名簿!$B150&amp;"")</f>
        <v/>
      </c>
      <c r="B150" s="91" t="str">
        <f aca="false">IF(名簿!$D150="","",名簿!$C150)</f>
        <v/>
      </c>
      <c r="C150" s="59" t="str">
        <f aca="false">IF(名簿!$D150="","",名簿!$D150&amp;IF(名簿!$F150="転出","（転出）",""))</f>
        <v/>
      </c>
      <c r="D150" s="149"/>
      <c r="E150" s="61" t="str">
        <f aca="false">IF(OR($C150="",名簿!$F150="転出"),"",IF($C$2="学級ごと",$A150,IF($C$2="前の単元と同じ",単元08!$E150&amp;"",$D150&amp;"")))</f>
        <v/>
      </c>
      <c r="F150" s="150"/>
      <c r="G150" s="150"/>
      <c r="H150" s="150"/>
      <c r="I150" s="151"/>
      <c r="J150" s="41" t="str">
        <f aca="false">IF($E150="","",$E150&amp;"|"&amp;COUNTIF($E$5:$E150,$E150))</f>
        <v/>
      </c>
      <c r="K150" s="40" t="str">
        <f aca="false">IF($I150="","",LEN($I150))</f>
        <v/>
      </c>
      <c r="L150" s="13"/>
      <c r="M150" s="13"/>
      <c r="N150" s="13"/>
      <c r="O150" s="13"/>
      <c r="P150" s="152"/>
      <c r="Q150" s="149"/>
      <c r="R150" s="152"/>
      <c r="S150" s="152"/>
      <c r="T150" s="62" t="str">
        <f aca="false">IF(OR($C150="",R150=""),"",IF(R150/IF($R$2="",100,$R$2)&gt;=設定!$I$28,設定!$G$8,IF(R150/IF($R$2="",100,$R$2)&lt;設定!$I$29,設定!$G$10,設定!$G$9)))</f>
        <v/>
      </c>
      <c r="U150" s="62" t="str">
        <f aca="false">IF(OR($C150="",S150=""),"",IF(S150/IF($S$2="",100,$S$2)&gt;=設定!$I$28,設定!$G$8,IF(S150/IF($S$2="",100,$S$2)&lt;設定!$I$29,設定!$G$10,設定!$G$9)))</f>
        <v/>
      </c>
    </row>
    <row r="151" customFormat="false" ht="21" hidden="false" customHeight="true" outlineLevel="0" collapsed="false">
      <c r="A151" s="91" t="str">
        <f aca="false">IF(名簿!$D151="","",名簿!$B151&amp;"")</f>
        <v/>
      </c>
      <c r="B151" s="91" t="str">
        <f aca="false">IF(名簿!$D151="","",名簿!$C151)</f>
        <v/>
      </c>
      <c r="C151" s="59" t="str">
        <f aca="false">IF(名簿!$D151="","",名簿!$D151&amp;IF(名簿!$F151="転出","（転出）",""))</f>
        <v/>
      </c>
      <c r="D151" s="149"/>
      <c r="E151" s="61" t="str">
        <f aca="false">IF(OR($C151="",名簿!$F151="転出"),"",IF($C$2="学級ごと",$A151,IF($C$2="前の単元と同じ",単元08!$E151&amp;"",$D151&amp;"")))</f>
        <v/>
      </c>
      <c r="F151" s="150"/>
      <c r="G151" s="150"/>
      <c r="H151" s="150"/>
      <c r="I151" s="151"/>
      <c r="J151" s="41" t="str">
        <f aca="false">IF($E151="","",$E151&amp;"|"&amp;COUNTIF($E$5:$E151,$E151))</f>
        <v/>
      </c>
      <c r="K151" s="40" t="str">
        <f aca="false">IF($I151="","",LEN($I151))</f>
        <v/>
      </c>
      <c r="L151" s="13"/>
      <c r="M151" s="13"/>
      <c r="N151" s="13"/>
      <c r="O151" s="13"/>
      <c r="P151" s="152"/>
      <c r="Q151" s="149"/>
      <c r="R151" s="152"/>
      <c r="S151" s="152"/>
      <c r="T151" s="62" t="str">
        <f aca="false">IF(OR($C151="",R151=""),"",IF(R151/IF($R$2="",100,$R$2)&gt;=設定!$I$28,設定!$G$8,IF(R151/IF($R$2="",100,$R$2)&lt;設定!$I$29,設定!$G$10,設定!$G$9)))</f>
        <v/>
      </c>
      <c r="U151" s="62" t="str">
        <f aca="false">IF(OR($C151="",S151=""),"",IF(S151/IF($S$2="",100,$S$2)&gt;=設定!$I$28,設定!$G$8,IF(S151/IF($S$2="",100,$S$2)&lt;設定!$I$29,設定!$G$10,設定!$G$9)))</f>
        <v/>
      </c>
    </row>
    <row r="152" customFormat="false" ht="21" hidden="false" customHeight="true" outlineLevel="0" collapsed="false">
      <c r="A152" s="91" t="str">
        <f aca="false">IF(名簿!$D152="","",名簿!$B152&amp;"")</f>
        <v/>
      </c>
      <c r="B152" s="91" t="str">
        <f aca="false">IF(名簿!$D152="","",名簿!$C152)</f>
        <v/>
      </c>
      <c r="C152" s="59" t="str">
        <f aca="false">IF(名簿!$D152="","",名簿!$D152&amp;IF(名簿!$F152="転出","（転出）",""))</f>
        <v/>
      </c>
      <c r="D152" s="149"/>
      <c r="E152" s="61" t="str">
        <f aca="false">IF(OR($C152="",名簿!$F152="転出"),"",IF($C$2="学級ごと",$A152,IF($C$2="前の単元と同じ",単元08!$E152&amp;"",$D152&amp;"")))</f>
        <v/>
      </c>
      <c r="F152" s="150"/>
      <c r="G152" s="150"/>
      <c r="H152" s="150"/>
      <c r="I152" s="151"/>
      <c r="J152" s="41" t="str">
        <f aca="false">IF($E152="","",$E152&amp;"|"&amp;COUNTIF($E$5:$E152,$E152))</f>
        <v/>
      </c>
      <c r="K152" s="40" t="str">
        <f aca="false">IF($I152="","",LEN($I152))</f>
        <v/>
      </c>
      <c r="L152" s="13"/>
      <c r="M152" s="13"/>
      <c r="N152" s="13"/>
      <c r="O152" s="13"/>
      <c r="P152" s="152"/>
      <c r="Q152" s="149"/>
      <c r="R152" s="152"/>
      <c r="S152" s="152"/>
      <c r="T152" s="62" t="str">
        <f aca="false">IF(OR($C152="",R152=""),"",IF(R152/IF($R$2="",100,$R$2)&gt;=設定!$I$28,設定!$G$8,IF(R152/IF($R$2="",100,$R$2)&lt;設定!$I$29,設定!$G$10,設定!$G$9)))</f>
        <v/>
      </c>
      <c r="U152" s="62" t="str">
        <f aca="false">IF(OR($C152="",S152=""),"",IF(S152/IF($S$2="",100,$S$2)&gt;=設定!$I$28,設定!$G$8,IF(S152/IF($S$2="",100,$S$2)&lt;設定!$I$29,設定!$G$10,設定!$G$9)))</f>
        <v/>
      </c>
    </row>
    <row r="153" customFormat="false" ht="21" hidden="false" customHeight="true" outlineLevel="0" collapsed="false">
      <c r="A153" s="91" t="str">
        <f aca="false">IF(名簿!$D153="","",名簿!$B153&amp;"")</f>
        <v/>
      </c>
      <c r="B153" s="91" t="str">
        <f aca="false">IF(名簿!$D153="","",名簿!$C153)</f>
        <v/>
      </c>
      <c r="C153" s="59" t="str">
        <f aca="false">IF(名簿!$D153="","",名簿!$D153&amp;IF(名簿!$F153="転出","（転出）",""))</f>
        <v/>
      </c>
      <c r="D153" s="149"/>
      <c r="E153" s="61" t="str">
        <f aca="false">IF(OR($C153="",名簿!$F153="転出"),"",IF($C$2="学級ごと",$A153,IF($C$2="前の単元と同じ",単元08!$E153&amp;"",$D153&amp;"")))</f>
        <v/>
      </c>
      <c r="F153" s="150"/>
      <c r="G153" s="150"/>
      <c r="H153" s="150"/>
      <c r="I153" s="151"/>
      <c r="J153" s="41" t="str">
        <f aca="false">IF($E153="","",$E153&amp;"|"&amp;COUNTIF($E$5:$E153,$E153))</f>
        <v/>
      </c>
      <c r="K153" s="40" t="str">
        <f aca="false">IF($I153="","",LEN($I153))</f>
        <v/>
      </c>
      <c r="L153" s="13"/>
      <c r="M153" s="13"/>
      <c r="N153" s="13"/>
      <c r="O153" s="13"/>
      <c r="P153" s="152"/>
      <c r="Q153" s="149"/>
      <c r="R153" s="152"/>
      <c r="S153" s="152"/>
      <c r="T153" s="62" t="str">
        <f aca="false">IF(OR($C153="",R153=""),"",IF(R153/IF($R$2="",100,$R$2)&gt;=設定!$I$28,設定!$G$8,IF(R153/IF($R$2="",100,$R$2)&lt;設定!$I$29,設定!$G$10,設定!$G$9)))</f>
        <v/>
      </c>
      <c r="U153" s="62" t="str">
        <f aca="false">IF(OR($C153="",S153=""),"",IF(S153/IF($S$2="",100,$S$2)&gt;=設定!$I$28,設定!$G$8,IF(S153/IF($S$2="",100,$S$2)&lt;設定!$I$29,設定!$G$10,設定!$G$9)))</f>
        <v/>
      </c>
    </row>
    <row r="154" customFormat="false" ht="21" hidden="false" customHeight="true" outlineLevel="0" collapsed="false">
      <c r="A154" s="91" t="str">
        <f aca="false">IF(名簿!$D154="","",名簿!$B154&amp;"")</f>
        <v/>
      </c>
      <c r="B154" s="91" t="str">
        <f aca="false">IF(名簿!$D154="","",名簿!$C154)</f>
        <v/>
      </c>
      <c r="C154" s="59" t="str">
        <f aca="false">IF(名簿!$D154="","",名簿!$D154&amp;IF(名簿!$F154="転出","（転出）",""))</f>
        <v/>
      </c>
      <c r="D154" s="149"/>
      <c r="E154" s="61" t="str">
        <f aca="false">IF(OR($C154="",名簿!$F154="転出"),"",IF($C$2="学級ごと",$A154,IF($C$2="前の単元と同じ",単元08!$E154&amp;"",$D154&amp;"")))</f>
        <v/>
      </c>
      <c r="F154" s="150"/>
      <c r="G154" s="150"/>
      <c r="H154" s="150"/>
      <c r="I154" s="151"/>
      <c r="J154" s="41" t="str">
        <f aca="false">IF($E154="","",$E154&amp;"|"&amp;COUNTIF($E$5:$E154,$E154))</f>
        <v/>
      </c>
      <c r="K154" s="40" t="str">
        <f aca="false">IF($I154="","",LEN($I154))</f>
        <v/>
      </c>
      <c r="L154" s="13"/>
      <c r="M154" s="13"/>
      <c r="N154" s="13"/>
      <c r="O154" s="13"/>
      <c r="P154" s="152"/>
      <c r="Q154" s="149"/>
      <c r="R154" s="152"/>
      <c r="S154" s="152"/>
      <c r="T154" s="62" t="str">
        <f aca="false">IF(OR($C154="",R154=""),"",IF(R154/IF($R$2="",100,$R$2)&gt;=設定!$I$28,設定!$G$8,IF(R154/IF($R$2="",100,$R$2)&lt;設定!$I$29,設定!$G$10,設定!$G$9)))</f>
        <v/>
      </c>
      <c r="U154" s="62" t="str">
        <f aca="false">IF(OR($C154="",S154=""),"",IF(S154/IF($S$2="",100,$S$2)&gt;=設定!$I$28,設定!$G$8,IF(S154/IF($S$2="",100,$S$2)&lt;設定!$I$29,設定!$G$10,設定!$G$9)))</f>
        <v/>
      </c>
    </row>
    <row r="155" customFormat="false" ht="21" hidden="false" customHeight="true" outlineLevel="0" collapsed="false">
      <c r="A155" s="91" t="str">
        <f aca="false">IF(名簿!$D155="","",名簿!$B155&amp;"")</f>
        <v/>
      </c>
      <c r="B155" s="91" t="str">
        <f aca="false">IF(名簿!$D155="","",名簿!$C155)</f>
        <v/>
      </c>
      <c r="C155" s="59" t="str">
        <f aca="false">IF(名簿!$D155="","",名簿!$D155&amp;IF(名簿!$F155="転出","（転出）",""))</f>
        <v/>
      </c>
      <c r="D155" s="149"/>
      <c r="E155" s="61" t="str">
        <f aca="false">IF(OR($C155="",名簿!$F155="転出"),"",IF($C$2="学級ごと",$A155,IF($C$2="前の単元と同じ",単元08!$E155&amp;"",$D155&amp;"")))</f>
        <v/>
      </c>
      <c r="F155" s="150"/>
      <c r="G155" s="150"/>
      <c r="H155" s="150"/>
      <c r="I155" s="151"/>
      <c r="J155" s="41" t="str">
        <f aca="false">IF($E155="","",$E155&amp;"|"&amp;COUNTIF($E$5:$E155,$E155))</f>
        <v/>
      </c>
      <c r="K155" s="40" t="str">
        <f aca="false">IF($I155="","",LEN($I155))</f>
        <v/>
      </c>
      <c r="L155" s="13"/>
      <c r="M155" s="13"/>
      <c r="N155" s="13"/>
      <c r="O155" s="13"/>
      <c r="P155" s="152"/>
      <c r="Q155" s="149"/>
      <c r="R155" s="152"/>
      <c r="S155" s="152"/>
      <c r="T155" s="62" t="str">
        <f aca="false">IF(OR($C155="",R155=""),"",IF(R155/IF($R$2="",100,$R$2)&gt;=設定!$I$28,設定!$G$8,IF(R155/IF($R$2="",100,$R$2)&lt;設定!$I$29,設定!$G$10,設定!$G$9)))</f>
        <v/>
      </c>
      <c r="U155" s="62" t="str">
        <f aca="false">IF(OR($C155="",S155=""),"",IF(S155/IF($S$2="",100,$S$2)&gt;=設定!$I$28,設定!$G$8,IF(S155/IF($S$2="",100,$S$2)&lt;設定!$I$29,設定!$G$10,設定!$G$9)))</f>
        <v/>
      </c>
    </row>
    <row r="156" customFormat="false" ht="21" hidden="false" customHeight="true" outlineLevel="0" collapsed="false">
      <c r="A156" s="91" t="str">
        <f aca="false">IF(名簿!$D156="","",名簿!$B156&amp;"")</f>
        <v/>
      </c>
      <c r="B156" s="91" t="str">
        <f aca="false">IF(名簿!$D156="","",名簿!$C156)</f>
        <v/>
      </c>
      <c r="C156" s="59" t="str">
        <f aca="false">IF(名簿!$D156="","",名簿!$D156&amp;IF(名簿!$F156="転出","（転出）",""))</f>
        <v/>
      </c>
      <c r="D156" s="149"/>
      <c r="E156" s="61" t="str">
        <f aca="false">IF(OR($C156="",名簿!$F156="転出"),"",IF($C$2="学級ごと",$A156,IF($C$2="前の単元と同じ",単元08!$E156&amp;"",$D156&amp;"")))</f>
        <v/>
      </c>
      <c r="F156" s="150"/>
      <c r="G156" s="150"/>
      <c r="H156" s="150"/>
      <c r="I156" s="151"/>
      <c r="J156" s="41" t="str">
        <f aca="false">IF($E156="","",$E156&amp;"|"&amp;COUNTIF($E$5:$E156,$E156))</f>
        <v/>
      </c>
      <c r="K156" s="40" t="str">
        <f aca="false">IF($I156="","",LEN($I156))</f>
        <v/>
      </c>
      <c r="L156" s="13"/>
      <c r="M156" s="13"/>
      <c r="N156" s="13"/>
      <c r="O156" s="13"/>
      <c r="P156" s="152"/>
      <c r="Q156" s="149"/>
      <c r="R156" s="152"/>
      <c r="S156" s="152"/>
      <c r="T156" s="62" t="str">
        <f aca="false">IF(OR($C156="",R156=""),"",IF(R156/IF($R$2="",100,$R$2)&gt;=設定!$I$28,設定!$G$8,IF(R156/IF($R$2="",100,$R$2)&lt;設定!$I$29,設定!$G$10,設定!$G$9)))</f>
        <v/>
      </c>
      <c r="U156" s="62" t="str">
        <f aca="false">IF(OR($C156="",S156=""),"",IF(S156/IF($S$2="",100,$S$2)&gt;=設定!$I$28,設定!$G$8,IF(S156/IF($S$2="",100,$S$2)&lt;設定!$I$29,設定!$G$10,設定!$G$9)))</f>
        <v/>
      </c>
    </row>
    <row r="157" customFormat="false" ht="21" hidden="false" customHeight="true" outlineLevel="0" collapsed="false">
      <c r="A157" s="91" t="str">
        <f aca="false">IF(名簿!$D157="","",名簿!$B157&amp;"")</f>
        <v/>
      </c>
      <c r="B157" s="91" t="str">
        <f aca="false">IF(名簿!$D157="","",名簿!$C157)</f>
        <v/>
      </c>
      <c r="C157" s="59" t="str">
        <f aca="false">IF(名簿!$D157="","",名簿!$D157&amp;IF(名簿!$F157="転出","（転出）",""))</f>
        <v/>
      </c>
      <c r="D157" s="149"/>
      <c r="E157" s="61" t="str">
        <f aca="false">IF(OR($C157="",名簿!$F157="転出"),"",IF($C$2="学級ごと",$A157,IF($C$2="前の単元と同じ",単元08!$E157&amp;"",$D157&amp;"")))</f>
        <v/>
      </c>
      <c r="F157" s="150"/>
      <c r="G157" s="150"/>
      <c r="H157" s="150"/>
      <c r="I157" s="151"/>
      <c r="J157" s="41" t="str">
        <f aca="false">IF($E157="","",$E157&amp;"|"&amp;COUNTIF($E$5:$E157,$E157))</f>
        <v/>
      </c>
      <c r="K157" s="40" t="str">
        <f aca="false">IF($I157="","",LEN($I157))</f>
        <v/>
      </c>
      <c r="L157" s="13"/>
      <c r="M157" s="13"/>
      <c r="N157" s="13"/>
      <c r="O157" s="13"/>
      <c r="P157" s="152"/>
      <c r="Q157" s="149"/>
      <c r="R157" s="152"/>
      <c r="S157" s="152"/>
      <c r="T157" s="62" t="str">
        <f aca="false">IF(OR($C157="",R157=""),"",IF(R157/IF($R$2="",100,$R$2)&gt;=設定!$I$28,設定!$G$8,IF(R157/IF($R$2="",100,$R$2)&lt;設定!$I$29,設定!$G$10,設定!$G$9)))</f>
        <v/>
      </c>
      <c r="U157" s="62" t="str">
        <f aca="false">IF(OR($C157="",S157=""),"",IF(S157/IF($S$2="",100,$S$2)&gt;=設定!$I$28,設定!$G$8,IF(S157/IF($S$2="",100,$S$2)&lt;設定!$I$29,設定!$G$10,設定!$G$9)))</f>
        <v/>
      </c>
    </row>
    <row r="158" customFormat="false" ht="21" hidden="false" customHeight="true" outlineLevel="0" collapsed="false">
      <c r="A158" s="91" t="str">
        <f aca="false">IF(名簿!$D158="","",名簿!$B158&amp;"")</f>
        <v/>
      </c>
      <c r="B158" s="91" t="str">
        <f aca="false">IF(名簿!$D158="","",名簿!$C158)</f>
        <v/>
      </c>
      <c r="C158" s="59" t="str">
        <f aca="false">IF(名簿!$D158="","",名簿!$D158&amp;IF(名簿!$F158="転出","（転出）",""))</f>
        <v/>
      </c>
      <c r="D158" s="149"/>
      <c r="E158" s="61" t="str">
        <f aca="false">IF(OR($C158="",名簿!$F158="転出"),"",IF($C$2="学級ごと",$A158,IF($C$2="前の単元と同じ",単元08!$E158&amp;"",$D158&amp;"")))</f>
        <v/>
      </c>
      <c r="F158" s="150"/>
      <c r="G158" s="150"/>
      <c r="H158" s="150"/>
      <c r="I158" s="151"/>
      <c r="J158" s="41" t="str">
        <f aca="false">IF($E158="","",$E158&amp;"|"&amp;COUNTIF($E$5:$E158,$E158))</f>
        <v/>
      </c>
      <c r="K158" s="40" t="str">
        <f aca="false">IF($I158="","",LEN($I158))</f>
        <v/>
      </c>
      <c r="L158" s="13"/>
      <c r="M158" s="13"/>
      <c r="N158" s="13"/>
      <c r="O158" s="13"/>
      <c r="P158" s="152"/>
      <c r="Q158" s="149"/>
      <c r="R158" s="152"/>
      <c r="S158" s="152"/>
      <c r="T158" s="62" t="str">
        <f aca="false">IF(OR($C158="",R158=""),"",IF(R158/IF($R$2="",100,$R$2)&gt;=設定!$I$28,設定!$G$8,IF(R158/IF($R$2="",100,$R$2)&lt;設定!$I$29,設定!$G$10,設定!$G$9)))</f>
        <v/>
      </c>
      <c r="U158" s="62" t="str">
        <f aca="false">IF(OR($C158="",S158=""),"",IF(S158/IF($S$2="",100,$S$2)&gt;=設定!$I$28,設定!$G$8,IF(S158/IF($S$2="",100,$S$2)&lt;設定!$I$29,設定!$G$10,設定!$G$9)))</f>
        <v/>
      </c>
    </row>
    <row r="159" customFormat="false" ht="21" hidden="false" customHeight="true" outlineLevel="0" collapsed="false">
      <c r="A159" s="91" t="str">
        <f aca="false">IF(名簿!$D159="","",名簿!$B159&amp;"")</f>
        <v/>
      </c>
      <c r="B159" s="91" t="str">
        <f aca="false">IF(名簿!$D159="","",名簿!$C159)</f>
        <v/>
      </c>
      <c r="C159" s="59" t="str">
        <f aca="false">IF(名簿!$D159="","",名簿!$D159&amp;IF(名簿!$F159="転出","（転出）",""))</f>
        <v/>
      </c>
      <c r="D159" s="149"/>
      <c r="E159" s="61" t="str">
        <f aca="false">IF(OR($C159="",名簿!$F159="転出"),"",IF($C$2="学級ごと",$A159,IF($C$2="前の単元と同じ",単元08!$E159&amp;"",$D159&amp;"")))</f>
        <v/>
      </c>
      <c r="F159" s="150"/>
      <c r="G159" s="150"/>
      <c r="H159" s="150"/>
      <c r="I159" s="151"/>
      <c r="J159" s="41" t="str">
        <f aca="false">IF($E159="","",$E159&amp;"|"&amp;COUNTIF($E$5:$E159,$E159))</f>
        <v/>
      </c>
      <c r="K159" s="40" t="str">
        <f aca="false">IF($I159="","",LEN($I159))</f>
        <v/>
      </c>
      <c r="L159" s="13"/>
      <c r="M159" s="13"/>
      <c r="N159" s="13"/>
      <c r="O159" s="13"/>
      <c r="P159" s="152"/>
      <c r="Q159" s="149"/>
      <c r="R159" s="152"/>
      <c r="S159" s="152"/>
      <c r="T159" s="62" t="str">
        <f aca="false">IF(OR($C159="",R159=""),"",IF(R159/IF($R$2="",100,$R$2)&gt;=設定!$I$28,設定!$G$8,IF(R159/IF($R$2="",100,$R$2)&lt;設定!$I$29,設定!$G$10,設定!$G$9)))</f>
        <v/>
      </c>
      <c r="U159" s="62" t="str">
        <f aca="false">IF(OR($C159="",S159=""),"",IF(S159/IF($S$2="",100,$S$2)&gt;=設定!$I$28,設定!$G$8,IF(S159/IF($S$2="",100,$S$2)&lt;設定!$I$29,設定!$G$10,設定!$G$9)))</f>
        <v/>
      </c>
    </row>
    <row r="160" customFormat="false" ht="21" hidden="false" customHeight="true" outlineLevel="0" collapsed="false">
      <c r="A160" s="91" t="str">
        <f aca="false">IF(名簿!$D160="","",名簿!$B160&amp;"")</f>
        <v/>
      </c>
      <c r="B160" s="91" t="str">
        <f aca="false">IF(名簿!$D160="","",名簿!$C160)</f>
        <v/>
      </c>
      <c r="C160" s="59" t="str">
        <f aca="false">IF(名簿!$D160="","",名簿!$D160&amp;IF(名簿!$F160="転出","（転出）",""))</f>
        <v/>
      </c>
      <c r="D160" s="149"/>
      <c r="E160" s="61" t="str">
        <f aca="false">IF(OR($C160="",名簿!$F160="転出"),"",IF($C$2="学級ごと",$A160,IF($C$2="前の単元と同じ",単元08!$E160&amp;"",$D160&amp;"")))</f>
        <v/>
      </c>
      <c r="F160" s="150"/>
      <c r="G160" s="150"/>
      <c r="H160" s="150"/>
      <c r="I160" s="151"/>
      <c r="J160" s="41" t="str">
        <f aca="false">IF($E160="","",$E160&amp;"|"&amp;COUNTIF($E$5:$E160,$E160))</f>
        <v/>
      </c>
      <c r="K160" s="40" t="str">
        <f aca="false">IF($I160="","",LEN($I160))</f>
        <v/>
      </c>
      <c r="L160" s="13"/>
      <c r="M160" s="13"/>
      <c r="N160" s="13"/>
      <c r="O160" s="13"/>
      <c r="P160" s="152"/>
      <c r="Q160" s="149"/>
      <c r="R160" s="152"/>
      <c r="S160" s="152"/>
      <c r="T160" s="62" t="str">
        <f aca="false">IF(OR($C160="",R160=""),"",IF(R160/IF($R$2="",100,$R$2)&gt;=設定!$I$28,設定!$G$8,IF(R160/IF($R$2="",100,$R$2)&lt;設定!$I$29,設定!$G$10,設定!$G$9)))</f>
        <v/>
      </c>
      <c r="U160" s="62" t="str">
        <f aca="false">IF(OR($C160="",S160=""),"",IF(S160/IF($S$2="",100,$S$2)&gt;=設定!$I$28,設定!$G$8,IF(S160/IF($S$2="",100,$S$2)&lt;設定!$I$29,設定!$G$10,設定!$G$9)))</f>
        <v/>
      </c>
    </row>
    <row r="161" customFormat="false" ht="21" hidden="false" customHeight="true" outlineLevel="0" collapsed="false">
      <c r="A161" s="91" t="str">
        <f aca="false">IF(名簿!$D161="","",名簿!$B161&amp;"")</f>
        <v/>
      </c>
      <c r="B161" s="91" t="str">
        <f aca="false">IF(名簿!$D161="","",名簿!$C161)</f>
        <v/>
      </c>
      <c r="C161" s="59" t="str">
        <f aca="false">IF(名簿!$D161="","",名簿!$D161&amp;IF(名簿!$F161="転出","（転出）",""))</f>
        <v/>
      </c>
      <c r="D161" s="149"/>
      <c r="E161" s="61" t="str">
        <f aca="false">IF(OR($C161="",名簿!$F161="転出"),"",IF($C$2="学級ごと",$A161,IF($C$2="前の単元と同じ",単元08!$E161&amp;"",$D161&amp;"")))</f>
        <v/>
      </c>
      <c r="F161" s="150"/>
      <c r="G161" s="150"/>
      <c r="H161" s="150"/>
      <c r="I161" s="151"/>
      <c r="J161" s="41" t="str">
        <f aca="false">IF($E161="","",$E161&amp;"|"&amp;COUNTIF($E$5:$E161,$E161))</f>
        <v/>
      </c>
      <c r="K161" s="40" t="str">
        <f aca="false">IF($I161="","",LEN($I161))</f>
        <v/>
      </c>
      <c r="L161" s="13"/>
      <c r="M161" s="13"/>
      <c r="N161" s="13"/>
      <c r="O161" s="13"/>
      <c r="P161" s="152"/>
      <c r="Q161" s="149"/>
      <c r="R161" s="152"/>
      <c r="S161" s="152"/>
      <c r="T161" s="62" t="str">
        <f aca="false">IF(OR($C161="",R161=""),"",IF(R161/IF($R$2="",100,$R$2)&gt;=設定!$I$28,設定!$G$8,IF(R161/IF($R$2="",100,$R$2)&lt;設定!$I$29,設定!$G$10,設定!$G$9)))</f>
        <v/>
      </c>
      <c r="U161" s="62" t="str">
        <f aca="false">IF(OR($C161="",S161=""),"",IF(S161/IF($S$2="",100,$S$2)&gt;=設定!$I$28,設定!$G$8,IF(S161/IF($S$2="",100,$S$2)&lt;設定!$I$29,設定!$G$10,設定!$G$9)))</f>
        <v/>
      </c>
    </row>
    <row r="162" customFormat="false" ht="21" hidden="false" customHeight="true" outlineLevel="0" collapsed="false">
      <c r="A162" s="91" t="str">
        <f aca="false">IF(名簿!$D162="","",名簿!$B162&amp;"")</f>
        <v/>
      </c>
      <c r="B162" s="91" t="str">
        <f aca="false">IF(名簿!$D162="","",名簿!$C162)</f>
        <v/>
      </c>
      <c r="C162" s="59" t="str">
        <f aca="false">IF(名簿!$D162="","",名簿!$D162&amp;IF(名簿!$F162="転出","（転出）",""))</f>
        <v/>
      </c>
      <c r="D162" s="149"/>
      <c r="E162" s="61" t="str">
        <f aca="false">IF(OR($C162="",名簿!$F162="転出"),"",IF($C$2="学級ごと",$A162,IF($C$2="前の単元と同じ",単元08!$E162&amp;"",$D162&amp;"")))</f>
        <v/>
      </c>
      <c r="F162" s="150"/>
      <c r="G162" s="150"/>
      <c r="H162" s="150"/>
      <c r="I162" s="151"/>
      <c r="J162" s="41" t="str">
        <f aca="false">IF($E162="","",$E162&amp;"|"&amp;COUNTIF($E$5:$E162,$E162))</f>
        <v/>
      </c>
      <c r="K162" s="40" t="str">
        <f aca="false">IF($I162="","",LEN($I162))</f>
        <v/>
      </c>
      <c r="L162" s="13"/>
      <c r="M162" s="13"/>
      <c r="N162" s="13"/>
      <c r="O162" s="13"/>
      <c r="P162" s="152"/>
      <c r="Q162" s="149"/>
      <c r="R162" s="152"/>
      <c r="S162" s="152"/>
      <c r="T162" s="62" t="str">
        <f aca="false">IF(OR($C162="",R162=""),"",IF(R162/IF($R$2="",100,$R$2)&gt;=設定!$I$28,設定!$G$8,IF(R162/IF($R$2="",100,$R$2)&lt;設定!$I$29,設定!$G$10,設定!$G$9)))</f>
        <v/>
      </c>
      <c r="U162" s="62" t="str">
        <f aca="false">IF(OR($C162="",S162=""),"",IF(S162/IF($S$2="",100,$S$2)&gt;=設定!$I$28,設定!$G$8,IF(S162/IF($S$2="",100,$S$2)&lt;設定!$I$29,設定!$G$10,設定!$G$9)))</f>
        <v/>
      </c>
    </row>
    <row r="163" customFormat="false" ht="21" hidden="false" customHeight="true" outlineLevel="0" collapsed="false">
      <c r="A163" s="91" t="str">
        <f aca="false">IF(名簿!$D163="","",名簿!$B163&amp;"")</f>
        <v/>
      </c>
      <c r="B163" s="91" t="str">
        <f aca="false">IF(名簿!$D163="","",名簿!$C163)</f>
        <v/>
      </c>
      <c r="C163" s="59" t="str">
        <f aca="false">IF(名簿!$D163="","",名簿!$D163&amp;IF(名簿!$F163="転出","（転出）",""))</f>
        <v/>
      </c>
      <c r="D163" s="149"/>
      <c r="E163" s="61" t="str">
        <f aca="false">IF(OR($C163="",名簿!$F163="転出"),"",IF($C$2="学級ごと",$A163,IF($C$2="前の単元と同じ",単元08!$E163&amp;"",$D163&amp;"")))</f>
        <v/>
      </c>
      <c r="F163" s="150"/>
      <c r="G163" s="150"/>
      <c r="H163" s="150"/>
      <c r="I163" s="151"/>
      <c r="J163" s="41" t="str">
        <f aca="false">IF($E163="","",$E163&amp;"|"&amp;COUNTIF($E$5:$E163,$E163))</f>
        <v/>
      </c>
      <c r="K163" s="40" t="str">
        <f aca="false">IF($I163="","",LEN($I163))</f>
        <v/>
      </c>
      <c r="L163" s="13"/>
      <c r="M163" s="13"/>
      <c r="N163" s="13"/>
      <c r="O163" s="13"/>
      <c r="P163" s="152"/>
      <c r="Q163" s="149"/>
      <c r="R163" s="152"/>
      <c r="S163" s="152"/>
      <c r="T163" s="62" t="str">
        <f aca="false">IF(OR($C163="",R163=""),"",IF(R163/IF($R$2="",100,$R$2)&gt;=設定!$I$28,設定!$G$8,IF(R163/IF($R$2="",100,$R$2)&lt;設定!$I$29,設定!$G$10,設定!$G$9)))</f>
        <v/>
      </c>
      <c r="U163" s="62" t="str">
        <f aca="false">IF(OR($C163="",S163=""),"",IF(S163/IF($S$2="",100,$S$2)&gt;=設定!$I$28,設定!$G$8,IF(S163/IF($S$2="",100,$S$2)&lt;設定!$I$29,設定!$G$10,設定!$G$9)))</f>
        <v/>
      </c>
    </row>
    <row r="164" customFormat="false" ht="21" hidden="false" customHeight="true" outlineLevel="0" collapsed="false">
      <c r="A164" s="91" t="str">
        <f aca="false">IF(名簿!$D164="","",名簿!$B164&amp;"")</f>
        <v/>
      </c>
      <c r="B164" s="91" t="str">
        <f aca="false">IF(名簿!$D164="","",名簿!$C164)</f>
        <v/>
      </c>
      <c r="C164" s="59" t="str">
        <f aca="false">IF(名簿!$D164="","",名簿!$D164&amp;IF(名簿!$F164="転出","（転出）",""))</f>
        <v/>
      </c>
      <c r="D164" s="149"/>
      <c r="E164" s="61" t="str">
        <f aca="false">IF(OR($C164="",名簿!$F164="転出"),"",IF($C$2="学級ごと",$A164,IF($C$2="前の単元と同じ",単元08!$E164&amp;"",$D164&amp;"")))</f>
        <v/>
      </c>
      <c r="F164" s="150"/>
      <c r="G164" s="150"/>
      <c r="H164" s="150"/>
      <c r="I164" s="151"/>
      <c r="J164" s="41" t="str">
        <f aca="false">IF($E164="","",$E164&amp;"|"&amp;COUNTIF($E$5:$E164,$E164))</f>
        <v/>
      </c>
      <c r="K164" s="40" t="str">
        <f aca="false">IF($I164="","",LEN($I164))</f>
        <v/>
      </c>
      <c r="L164" s="13"/>
      <c r="M164" s="13"/>
      <c r="N164" s="13"/>
      <c r="O164" s="13"/>
      <c r="P164" s="152"/>
      <c r="Q164" s="149"/>
      <c r="R164" s="152"/>
      <c r="S164" s="152"/>
      <c r="T164" s="62" t="str">
        <f aca="false">IF(OR($C164="",R164=""),"",IF(R164/IF($R$2="",100,$R$2)&gt;=設定!$I$28,設定!$G$8,IF(R164/IF($R$2="",100,$R$2)&lt;設定!$I$29,設定!$G$10,設定!$G$9)))</f>
        <v/>
      </c>
      <c r="U164" s="62" t="str">
        <f aca="false">IF(OR($C164="",S164=""),"",IF(S164/IF($S$2="",100,$S$2)&gt;=設定!$I$28,設定!$G$8,IF(S164/IF($S$2="",100,$S$2)&lt;設定!$I$29,設定!$G$10,設定!$G$9)))</f>
        <v/>
      </c>
    </row>
  </sheetData>
  <sheetProtection sheet="true" formatColumns="false" formatRows="false" autoFilter="false"/>
  <autoFilter ref="A4:I164"/>
  <mergeCells count="5">
    <mergeCell ref="A1:I1"/>
    <mergeCell ref="R1:U1"/>
    <mergeCell ref="A2:B2"/>
    <mergeCell ref="D2:I2"/>
    <mergeCell ref="T2:U2"/>
  </mergeCells>
  <conditionalFormatting sqref="A5:C164">
    <cfRule type="expression" priority="2" aboveAverage="0" equalAverage="0" bottom="0" percent="0" rank="0" text="" dxfId="37">
      <formula>RIGHT($C5,4)="（転出）"</formula>
    </cfRule>
    <cfRule type="expression" priority="3" aboveAverage="0" equalAverage="0" bottom="0" percent="0" rank="0" text="" dxfId="8">
      <formula>$C5&lt;&gt;""</formula>
    </cfRule>
  </conditionalFormatting>
  <conditionalFormatting sqref="D5:D164">
    <cfRule type="expression" priority="4" aboveAverage="0" equalAverage="0" bottom="0" percent="0" rank="0" text="" dxfId="37">
      <formula>RIGHT($C5,4)="（転出）"</formula>
    </cfRule>
    <cfRule type="expression" priority="5" aboveAverage="0" equalAverage="0" bottom="0" percent="0" rank="0" text="" dxfId="38">
      <formula>AND($C5&lt;&gt;"",$C$2&lt;&gt;"習熟度別")</formula>
    </cfRule>
    <cfRule type="expression" priority="6" aboveAverage="0" equalAverage="0" bottom="0" percent="0" rank="0" text="" dxfId="39">
      <formula>AND($C5&lt;&gt;"",$E5="")</formula>
    </cfRule>
    <cfRule type="expression" priority="7" aboveAverage="0" equalAverage="0" bottom="0" percent="0" rank="0" text="" dxfId="39">
      <formula>AND($C5&lt;&gt;"",$D5&lt;&gt;"",COUNTIF(コース一覧,$D5)=0)</formula>
    </cfRule>
    <cfRule type="expression" priority="8" aboveAverage="0" equalAverage="0" bottom="0" percent="0" rank="0" text="" dxfId="40">
      <formula>AND($C5&lt;&gt;"",$C$2="習熟度別",$Q5&lt;&gt;"",$E5&lt;&gt;"",$Q5&lt;&gt;$E5)</formula>
    </cfRule>
    <cfRule type="expression" priority="9" aboveAverage="0" equalAverage="0" bottom="0" percent="0" rank="0" text="" dxfId="41">
      <formula>$C5&lt;&gt;""</formula>
    </cfRule>
  </conditionalFormatting>
  <conditionalFormatting sqref="E5:E164">
    <cfRule type="expression" priority="10" aboveAverage="0" equalAverage="0" bottom="0" percent="0" rank="0" text="" dxfId="37">
      <formula>RIGHT($C5,4)="（転出）"</formula>
    </cfRule>
    <cfRule type="expression" priority="11" aboveAverage="0" equalAverage="0" bottom="0" percent="0" rank="0" text="" dxfId="42">
      <formula>AND($E5&lt;&gt;"",$E5=$L$2)</formula>
    </cfRule>
    <cfRule type="expression" priority="12" aboveAverage="0" equalAverage="0" bottom="0" percent="0" rank="0" text="" dxfId="43">
      <formula>AND($E5&lt;&gt;"",$E5=$L$3)</formula>
    </cfRule>
    <cfRule type="expression" priority="13" aboveAverage="0" equalAverage="0" bottom="0" percent="0" rank="0" text="" dxfId="44">
      <formula>AND($E5&lt;&gt;"",$E5=$L$4)</formula>
    </cfRule>
    <cfRule type="expression" priority="14" aboveAverage="0" equalAverage="0" bottom="0" percent="0" rank="0" text="" dxfId="45">
      <formula>AND($E5&lt;&gt;"",$E5=$L$5)</formula>
    </cfRule>
    <cfRule type="expression" priority="15" aboveAverage="0" equalAverage="0" bottom="0" percent="0" rank="0" text="" dxfId="46">
      <formula>AND($E5&lt;&gt;"",$E5=$L$6)</formula>
    </cfRule>
    <cfRule type="expression" priority="16" aboveAverage="0" equalAverage="0" bottom="0" percent="0" rank="0" text="" dxfId="8">
      <formula>$C5&lt;&gt;""</formula>
    </cfRule>
  </conditionalFormatting>
  <conditionalFormatting sqref="F5:H164">
    <cfRule type="expression" priority="17" aboveAverage="0" equalAverage="0" bottom="0" percent="0" rank="0" text="" dxfId="37">
      <formula>RIGHT($C5,4)="（転出）"</formula>
    </cfRule>
    <cfRule type="expression" priority="18" aboveAverage="0" equalAverage="0" bottom="0" percent="0" rank="0" text="" dxfId="12">
      <formula>AND(F5&lt;&gt;"",F5=設定!$G$10)</formula>
    </cfRule>
    <cfRule type="expression" priority="19" aboveAverage="0" equalAverage="0" bottom="0" percent="0" rank="0" text="" dxfId="47">
      <formula>AND(F5&lt;&gt;"",F5=設定!$G$8)</formula>
    </cfRule>
    <cfRule type="expression" priority="20" aboveAverage="0" equalAverage="0" bottom="0" percent="0" rank="0" text="" dxfId="41">
      <formula>AND($C5&lt;&gt;"",$E5&lt;&gt;"")</formula>
    </cfRule>
    <cfRule type="expression" priority="21" aboveAverage="0" equalAverage="0" bottom="0" percent="0" rank="0" text="" dxfId="8">
      <formula>$C5&lt;&gt;""</formula>
    </cfRule>
  </conditionalFormatting>
  <conditionalFormatting sqref="I5:I164">
    <cfRule type="expression" priority="22" aboveAverage="0" equalAverage="0" bottom="0" percent="0" rank="0" text="" dxfId="37">
      <formula>RIGHT($C5,4)="（転出）"</formula>
    </cfRule>
    <cfRule type="expression" priority="23" aboveAverage="0" equalAverage="0" bottom="0" percent="0" rank="0" text="" dxfId="48">
      <formula>AND($C5&lt;&gt;"",$I5&lt;&gt;"",ISNUMBER(設定!$I$22),LEN($I5)&gt;設定!$I$22)</formula>
    </cfRule>
    <cfRule type="expression" priority="24" aboveAverage="0" equalAverage="0" bottom="0" percent="0" rank="0" text="" dxfId="41">
      <formula>AND($C5&lt;&gt;"",$E5&lt;&gt;"")</formula>
    </cfRule>
    <cfRule type="expression" priority="25" aboveAverage="0" equalAverage="0" bottom="0" percent="0" rank="0" text="" dxfId="8">
      <formula>$C5&lt;&gt;""</formula>
    </cfRule>
  </conditionalFormatting>
  <conditionalFormatting sqref="K5:K164">
    <cfRule type="expression" priority="26" aboveAverage="0" equalAverage="0" bottom="0" percent="0" rank="0" text="" dxfId="49">
      <formula>AND($K5&lt;&gt;"",ISNUMBER(設定!$I$22),$K5&gt;設定!$I$22)</formula>
    </cfRule>
    <cfRule type="expression" priority="27" aboveAverage="0" equalAverage="0" bottom="0" percent="0" rank="0" text="" dxfId="50">
      <formula>$C5&lt;&gt;""</formula>
    </cfRule>
  </conditionalFormatting>
  <conditionalFormatting sqref="P5:P164">
    <cfRule type="expression" priority="28" aboveAverage="0" equalAverage="0" bottom="0" percent="0" rank="0" text="" dxfId="41">
      <formula>$C5&lt;&gt;""</formula>
    </cfRule>
  </conditionalFormatting>
  <conditionalFormatting sqref="R5:R164">
    <cfRule type="expression" priority="29" aboveAverage="0" equalAverage="0" bottom="0" percent="0" rank="0" text="" dxfId="49">
      <formula>AND($C5&lt;&gt;"",$R5&lt;&gt;"",$R$2&lt;&gt;"",$R5&gt;$R$2)</formula>
    </cfRule>
    <cfRule type="expression" priority="30" aboveAverage="0" equalAverage="0" bottom="0" percent="0" rank="0" text="" dxfId="41">
      <formula>$C5&lt;&gt;""</formula>
    </cfRule>
  </conditionalFormatting>
  <conditionalFormatting sqref="S5:S164">
    <cfRule type="expression" priority="31" aboveAverage="0" equalAverage="0" bottom="0" percent="0" rank="0" text="" dxfId="49">
      <formula>AND($C5&lt;&gt;"",$S5&lt;&gt;"",$S$2&lt;&gt;"",$S5&gt;$S$2)</formula>
    </cfRule>
    <cfRule type="expression" priority="32" aboveAverage="0" equalAverage="0" bottom="0" percent="0" rank="0" text="" dxfId="41">
      <formula>$C5&lt;&gt;""</formula>
    </cfRule>
  </conditionalFormatting>
  <conditionalFormatting sqref="T5:U164">
    <cfRule type="expression" priority="33" aboveAverage="0" equalAverage="0" bottom="0" percent="0" rank="0" text="" dxfId="12">
      <formula>AND(T5&lt;&gt;"",T5=設定!$G$10)</formula>
    </cfRule>
    <cfRule type="expression" priority="34" aboveAverage="0" equalAverage="0" bottom="0" percent="0" rank="0" text="" dxfId="51">
      <formula>AND(T5&lt;&gt;"",T5=設定!$G$8)</formula>
    </cfRule>
    <cfRule type="expression" priority="35" aboveAverage="0" equalAverage="0" bottom="0" percent="0" rank="0" text="" dxfId="19">
      <formula>$C5&lt;&gt;""</formula>
    </cfRule>
  </conditionalFormatting>
  <conditionalFormatting sqref="Q5:Q164">
    <cfRule type="expression" priority="36" aboveAverage="0" equalAverage="0" bottom="0" percent="0" rank="0" text="" dxfId="40">
      <formula>AND($C5&lt;&gt;"",$Q5&lt;&gt;"",$E5&lt;&gt;"",$Q5&lt;&gt;$E5)</formula>
    </cfRule>
    <cfRule type="expression" priority="37" aboveAverage="0" equalAverage="0" bottom="0" percent="0" rank="0" text="" dxfId="41">
      <formula>$C5&lt;&gt;""</formula>
    </cfRule>
  </conditionalFormatting>
  <conditionalFormatting sqref="L2:N2">
    <cfRule type="expression" priority="38" aboveAverage="0" equalAverage="0" bottom="0" percent="0" rank="0" text="" dxfId="14">
      <formula>$L2=""</formula>
    </cfRule>
  </conditionalFormatting>
  <conditionalFormatting sqref="L3:N3">
    <cfRule type="expression" priority="39" aboveAverage="0" equalAverage="0" bottom="0" percent="0" rank="0" text="" dxfId="14">
      <formula>$L3=""</formula>
    </cfRule>
  </conditionalFormatting>
  <conditionalFormatting sqref="L4:N4">
    <cfRule type="expression" priority="40" aboveAverage="0" equalAverage="0" bottom="0" percent="0" rank="0" text="" dxfId="14">
      <formula>$L4=""</formula>
    </cfRule>
  </conditionalFormatting>
  <conditionalFormatting sqref="L5:N5">
    <cfRule type="expression" priority="41" aboveAverage="0" equalAverage="0" bottom="0" percent="0" rank="0" text="" dxfId="14">
      <formula>$L5=""</formula>
    </cfRule>
  </conditionalFormatting>
  <conditionalFormatting sqref="L6:N6">
    <cfRule type="expression" priority="42" aboveAverage="0" equalAverage="0" bottom="0" percent="0" rank="0" text="" dxfId="14">
      <formula>$L6=""</formula>
    </cfRule>
  </conditionalFormatting>
  <conditionalFormatting sqref="N7">
    <cfRule type="expression" priority="43" aboveAverage="0" equalAverage="0" bottom="0" percent="0" rank="0" text="" dxfId="52">
      <formula>$N$7=0</formula>
    </cfRule>
  </conditionalFormatting>
  <dataValidations count="6">
    <dataValidation allowBlank="true" error="点数（数字）を入力してください。" errorStyle="stop" operator="between" showDropDown="false" showErrorMessage="true" showInputMessage="false" sqref="R2:S2 P5:P164 R5:S164" type="decimal">
      <formula1>0</formula1>
      <formula2>1000</formula2>
    </dataValidation>
    <dataValidation allowBlank="false" error="一覧から選んでください。" errorStyle="stop" errorTitle="入力エラー" operator="between" showDropDown="false" showErrorMessage="true" showInputMessage="false" sqref="C2" type="list">
      <formula1>"習熟度別,前の単元と同じ,学級ごと"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D5:D164" type="list">
      <formula1>コース一覧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Q5:Q164" type="list">
      <formula1>コース一覧</formula1>
      <formula2>0</formula2>
    </dataValidation>
    <dataValidation allowBlank="true" error="設定シートの評価記号（A/B/C）から選んでください。" errorStyle="stop" errorTitle="入力エラー" operator="between" showDropDown="false" showErrorMessage="true" showInputMessage="false" sqref="F5:H164" type="list">
      <formula1>評価記号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M2:M6" type="list">
      <formula1>担当者一覧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U16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5"/>
    <col collapsed="false" customWidth="true" hidden="false" outlineLevel="0" max="3" min="3" style="0" width="17"/>
    <col collapsed="false" customWidth="true" hidden="false" outlineLevel="0" max="4" min="4" style="0" width="11"/>
    <col collapsed="false" customWidth="true" hidden="false" outlineLevel="0" max="5" min="5" style="0" width="12"/>
    <col collapsed="false" customWidth="true" hidden="false" outlineLevel="0" max="8" min="6" style="0" width="6"/>
    <col collapsed="false" customWidth="true" hidden="false" outlineLevel="0" max="9" min="9" style="0" width="55"/>
    <col collapsed="false" customWidth="true" hidden="true" outlineLevel="0" max="10" min="10" style="0" width="3"/>
    <col collapsed="false" customWidth="true" hidden="false" outlineLevel="0" max="11" min="11" style="0" width="5"/>
    <col collapsed="false" customWidth="true" hidden="false" outlineLevel="0" max="12" min="12" style="0" width="14"/>
    <col collapsed="false" customWidth="true" hidden="false" outlineLevel="0" max="13" min="13" style="0" width="13"/>
    <col collapsed="false" customWidth="true" hidden="false" outlineLevel="0" max="14" min="14" style="0" width="7"/>
    <col collapsed="false" customWidth="true" hidden="false" outlineLevel="0" max="15" min="15" style="0" width="2"/>
    <col collapsed="false" customWidth="true" hidden="false" outlineLevel="0" max="16" min="16" style="0" width="9"/>
    <col collapsed="false" customWidth="true" hidden="false" outlineLevel="0" max="17" min="17" style="0" width="12"/>
    <col collapsed="false" customWidth="true" hidden="false" outlineLevel="0" max="19" min="18" style="0" width="7"/>
    <col collapsed="false" customWidth="true" hidden="false" outlineLevel="0" max="21" min="20" style="0" width="6"/>
  </cols>
  <sheetData>
    <row r="1" customFormat="false" ht="33.75" hidden="false" customHeight="true" outlineLevel="0" collapsed="false">
      <c r="A1" s="14" t="str">
        <f aca="false">"単元10　"&amp;IF(設定!$D$26="","（設定シートで単元名を入力）",設定!$D$26)&amp;IF(設定!$C$26="","","　／　"&amp;設定!$C$26&amp;IF(ISNUMBER(設定!$C$26),"学期",""))</f>
        <v>単元10　（設定シートで単元名を入力）</v>
      </c>
      <c r="B1" s="14"/>
      <c r="C1" s="14"/>
      <c r="D1" s="14"/>
      <c r="E1" s="14"/>
      <c r="F1" s="14"/>
      <c r="G1" s="14"/>
      <c r="H1" s="14"/>
      <c r="I1" s="14"/>
      <c r="J1" s="13"/>
      <c r="K1" s="13"/>
      <c r="L1" s="16" t="s">
        <v>153</v>
      </c>
      <c r="M1" s="16" t="s">
        <v>68</v>
      </c>
      <c r="N1" s="16" t="s">
        <v>128</v>
      </c>
      <c r="O1" s="13"/>
      <c r="P1" s="13"/>
      <c r="Q1" s="13"/>
      <c r="R1" s="131" t="s">
        <v>154</v>
      </c>
      <c r="S1" s="131"/>
      <c r="T1" s="131"/>
      <c r="U1" s="131"/>
    </row>
    <row r="2" customFormat="false" ht="25.5" hidden="false" customHeight="true" outlineLevel="0" collapsed="false">
      <c r="A2" s="16" t="s">
        <v>131</v>
      </c>
      <c r="B2" s="16"/>
      <c r="C2" s="138" t="s">
        <v>164</v>
      </c>
      <c r="D2" s="139" t="str">
        <f aca="false">IF($C$2="習熟度別","← D列「コース」で一人ずつ選びます",IF($C$2="前の単元と同じ","← 前の単元のコースをそのまま使います","← 在籍学級のまま分かれます"))</f>
        <v>← D列「コース」で一人ずつ選びます</v>
      </c>
      <c r="E2" s="139"/>
      <c r="F2" s="139"/>
      <c r="G2" s="139"/>
      <c r="H2" s="139"/>
      <c r="I2" s="139"/>
      <c r="J2" s="13"/>
      <c r="K2" s="13"/>
      <c r="L2" s="119" t="str">
        <f aca="false">IF($C$2="前の単元と同じ",単元09!$L2&amp;"",IF($C$2="学級ごと",IF(設定!$B$8="","",設定!$B$8&amp;""),IF(設定!$D$8="","",設定!$D$8&amp;"")))</f>
        <v>深める</v>
      </c>
      <c r="M2" s="39"/>
      <c r="N2" s="140" t="n">
        <f aca="false">IF($L2="","",COUNTIF($E$5:$E$164,$L2))</f>
        <v>0</v>
      </c>
      <c r="O2" s="13"/>
      <c r="P2" s="13"/>
      <c r="Q2" s="13"/>
      <c r="R2" s="141" t="n">
        <v>100</v>
      </c>
      <c r="S2" s="141" t="n">
        <v>100</v>
      </c>
      <c r="T2" s="142" t="s">
        <v>165</v>
      </c>
      <c r="U2" s="142"/>
    </row>
    <row r="3" customFormat="false" ht="17.15" hidden="false" customHeight="false" outlineLevel="0" collapsed="false">
      <c r="A3" s="4" t="s">
        <v>166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23" t="str">
        <f aca="false">IF($C$2="前の単元と同じ",単元09!$L3&amp;"",IF($C$2="学級ごと",IF(設定!$B$9="","",設定!$B$9&amp;""),IF(設定!$D$9="","",設定!$D$9&amp;"")))</f>
        <v>広げるA</v>
      </c>
      <c r="M3" s="39"/>
      <c r="N3" s="140" t="n">
        <f aca="false">IF($L3="","",COUNTIF($E$5:$E$164,$L3))</f>
        <v>0</v>
      </c>
      <c r="O3" s="13"/>
      <c r="P3" s="143" t="s">
        <v>167</v>
      </c>
      <c r="Q3" s="13"/>
      <c r="R3" s="144" t="s">
        <v>168</v>
      </c>
      <c r="S3" s="13"/>
      <c r="T3" s="13"/>
      <c r="U3" s="13"/>
    </row>
    <row r="4" customFormat="false" ht="30" hidden="false" customHeight="true" outlineLevel="0" collapsed="false">
      <c r="A4" s="16" t="s">
        <v>121</v>
      </c>
      <c r="B4" s="16" t="s">
        <v>122</v>
      </c>
      <c r="C4" s="16" t="s">
        <v>123</v>
      </c>
      <c r="D4" s="145" t="s">
        <v>153</v>
      </c>
      <c r="E4" s="16" t="s">
        <v>169</v>
      </c>
      <c r="F4" s="146" t="str">
        <f aca="false">設定!$I$8</f>
        <v>知</v>
      </c>
      <c r="G4" s="146" t="str">
        <f aca="false">設定!$I$9</f>
        <v>思</v>
      </c>
      <c r="H4" s="146" t="str">
        <f aca="false">設定!$I$10</f>
        <v>態</v>
      </c>
      <c r="I4" s="146" t="s">
        <v>107</v>
      </c>
      <c r="J4" s="16"/>
      <c r="K4" s="110" t="s">
        <v>170</v>
      </c>
      <c r="L4" s="124" t="str">
        <f aca="false">IF($C$2="前の単元と同じ",単元09!$L4&amp;"",IF($C$2="学級ごと",IF(設定!$B$10="","",設定!$B$10&amp;""),IF(設定!$D$10="","",設定!$D$10&amp;"")))</f>
        <v>広げるB</v>
      </c>
      <c r="M4" s="39"/>
      <c r="N4" s="140" t="n">
        <f aca="false">IF($L4="","",COUNTIF($E$5:$E$164,$L4))</f>
        <v>0</v>
      </c>
      <c r="O4" s="13"/>
      <c r="P4" s="147" t="s">
        <v>171</v>
      </c>
      <c r="Q4" s="147" t="s">
        <v>172</v>
      </c>
      <c r="R4" s="131" t="str">
        <f aca="false">設定!$I$8&amp;"得点"</f>
        <v>知得点</v>
      </c>
      <c r="S4" s="131" t="str">
        <f aca="false">設定!$I$9&amp;"得点"</f>
        <v>思得点</v>
      </c>
      <c r="T4" s="148" t="str">
        <f aca="false">設定!$I$8&amp;"目安"</f>
        <v>知目安</v>
      </c>
      <c r="U4" s="148" t="str">
        <f aca="false">設定!$I$9&amp;"目安"</f>
        <v>思目安</v>
      </c>
    </row>
    <row r="5" customFormat="false" ht="21" hidden="false" customHeight="true" outlineLevel="0" collapsed="false">
      <c r="A5" s="91" t="str">
        <f aca="false">IF(名簿!$D5="","",名簿!$B5&amp;"")</f>
        <v/>
      </c>
      <c r="B5" s="91" t="str">
        <f aca="false">IF(名簿!$D5="","",名簿!$C5)</f>
        <v/>
      </c>
      <c r="C5" s="59" t="str">
        <f aca="false">IF(名簿!$D5="","",名簿!$D5&amp;IF(名簿!$F5="転出","（転出）",""))</f>
        <v/>
      </c>
      <c r="D5" s="149"/>
      <c r="E5" s="61" t="str">
        <f aca="false">IF(OR($C5="",名簿!$F5="転出"),"",IF($C$2="学級ごと",$A5,IF($C$2="前の単元と同じ",単元09!$E5&amp;"",$D5&amp;"")))</f>
        <v/>
      </c>
      <c r="F5" s="150"/>
      <c r="G5" s="150"/>
      <c r="H5" s="150"/>
      <c r="I5" s="151"/>
      <c r="J5" s="41" t="str">
        <f aca="false">IF($E5="","",$E5&amp;"|"&amp;COUNTIF($E$5:$E5,$E5))</f>
        <v/>
      </c>
      <c r="K5" s="40" t="str">
        <f aca="false">IF($I5="","",LEN($I5))</f>
        <v/>
      </c>
      <c r="L5" s="125" t="str">
        <f aca="false">IF($C$2="前の単元と同じ",単元09!$L5&amp;"",IF($C$2="学級ごと",IF(設定!$B$11="","",設定!$B$11&amp;""),IF(設定!$D$11="","",設定!$D$11&amp;"")))</f>
        <v>かためる</v>
      </c>
      <c r="M5" s="39"/>
      <c r="N5" s="140" t="n">
        <f aca="false">IF($L5="","",COUNTIF($E$5:$E$164,$L5))</f>
        <v>0</v>
      </c>
      <c r="O5" s="13"/>
      <c r="P5" s="152"/>
      <c r="Q5" s="149"/>
      <c r="R5" s="152"/>
      <c r="S5" s="152"/>
      <c r="T5" s="62" t="str">
        <f aca="false">IF(OR($C5="",R5=""),"",IF(R5/IF($R$2="",100,$R$2)&gt;=設定!$I$28,設定!$G$8,IF(R5/IF($R$2="",100,$R$2)&lt;設定!$I$29,設定!$G$10,設定!$G$9)))</f>
        <v/>
      </c>
      <c r="U5" s="62" t="str">
        <f aca="false">IF(OR($C5="",S5=""),"",IF(S5/IF($S$2="",100,$S$2)&gt;=設定!$I$28,設定!$G$8,IF(S5/IF($S$2="",100,$S$2)&lt;設定!$I$29,設定!$G$10,設定!$G$9)))</f>
        <v/>
      </c>
    </row>
    <row r="6" customFormat="false" ht="21" hidden="false" customHeight="true" outlineLevel="0" collapsed="false">
      <c r="A6" s="91" t="str">
        <f aca="false">IF(名簿!$D6="","",名簿!$B6&amp;"")</f>
        <v/>
      </c>
      <c r="B6" s="91" t="str">
        <f aca="false">IF(名簿!$D6="","",名簿!$C6)</f>
        <v/>
      </c>
      <c r="C6" s="59" t="str">
        <f aca="false">IF(名簿!$D6="","",名簿!$D6&amp;IF(名簿!$F6="転出","（転出）",""))</f>
        <v/>
      </c>
      <c r="D6" s="149"/>
      <c r="E6" s="61" t="str">
        <f aca="false">IF(OR($C6="",名簿!$F6="転出"),"",IF($C$2="学級ごと",$A6,IF($C$2="前の単元と同じ",単元09!$E6&amp;"",$D6&amp;"")))</f>
        <v/>
      </c>
      <c r="F6" s="150"/>
      <c r="G6" s="150"/>
      <c r="H6" s="150"/>
      <c r="I6" s="151"/>
      <c r="J6" s="41" t="str">
        <f aca="false">IF($E6="","",$E6&amp;"|"&amp;COUNTIF($E$5:$E6,$E6))</f>
        <v/>
      </c>
      <c r="K6" s="40" t="str">
        <f aca="false">IF($I6="","",LEN($I6))</f>
        <v/>
      </c>
      <c r="L6" s="126" t="str">
        <f aca="false">IF($C$2="前の単元と同じ",単元09!$L6&amp;"",IF($C$2="学級ごと",IF(設定!$B$12="","",設定!$B$12&amp;""),IF(設定!$D$12="","",設定!$D$12&amp;"")))</f>
        <v/>
      </c>
      <c r="M6" s="39"/>
      <c r="N6" s="153" t="str">
        <f aca="false">IF($L6="","",COUNTIF($E$5:$E$164,$L6))</f>
        <v/>
      </c>
      <c r="O6" s="13"/>
      <c r="P6" s="152"/>
      <c r="Q6" s="149"/>
      <c r="R6" s="152"/>
      <c r="S6" s="152"/>
      <c r="T6" s="62" t="str">
        <f aca="false">IF(OR($C6="",R6=""),"",IF(R6/IF($R$2="",100,$R$2)&gt;=設定!$I$28,設定!$G$8,IF(R6/IF($R$2="",100,$R$2)&lt;設定!$I$29,設定!$G$10,設定!$G$9)))</f>
        <v/>
      </c>
      <c r="U6" s="62" t="str">
        <f aca="false">IF(OR($C6="",S6=""),"",IF(S6/IF($S$2="",100,$S$2)&gt;=設定!$I$28,設定!$G$8,IF(S6/IF($S$2="",100,$S$2)&lt;設定!$I$29,設定!$G$10,設定!$G$9)))</f>
        <v/>
      </c>
    </row>
    <row r="7" customFormat="false" ht="21" hidden="false" customHeight="true" outlineLevel="0" collapsed="false">
      <c r="A7" s="91" t="str">
        <f aca="false">IF(名簿!$D7="","",名簿!$B7&amp;"")</f>
        <v/>
      </c>
      <c r="B7" s="91" t="str">
        <f aca="false">IF(名簿!$D7="","",名簿!$C7)</f>
        <v/>
      </c>
      <c r="C7" s="59" t="str">
        <f aca="false">IF(名簿!$D7="","",名簿!$D7&amp;IF(名簿!$F7="転出","（転出）",""))</f>
        <v/>
      </c>
      <c r="D7" s="149"/>
      <c r="E7" s="61" t="str">
        <f aca="false">IF(OR($C7="",名簿!$F7="転出"),"",IF($C$2="学級ごと",$A7,IF($C$2="前の単元と同じ",単元09!$E7&amp;"",$D7&amp;"")))</f>
        <v/>
      </c>
      <c r="F7" s="150"/>
      <c r="G7" s="150"/>
      <c r="H7" s="150"/>
      <c r="I7" s="151"/>
      <c r="J7" s="41" t="str">
        <f aca="false">IF($E7="","",$E7&amp;"|"&amp;COUNTIF($E$5:$E7,$E7))</f>
        <v/>
      </c>
      <c r="K7" s="40" t="str">
        <f aca="false">IF($I7="","",LEN($I7))</f>
        <v/>
      </c>
      <c r="L7" s="154" t="s">
        <v>133</v>
      </c>
      <c r="M7" s="155" t="s">
        <v>173</v>
      </c>
      <c r="N7" s="156" t="n">
        <f aca="false">SUMPRODUCT(($C$5:$C$164&lt;&gt;"")*(名簿!$F$5:$F$164&lt;&gt;"転出")*($E$5:$E$164=""))</f>
        <v>0</v>
      </c>
      <c r="O7" s="13"/>
      <c r="P7" s="152"/>
      <c r="Q7" s="149"/>
      <c r="R7" s="152"/>
      <c r="S7" s="152"/>
      <c r="T7" s="62" t="str">
        <f aca="false">IF(OR($C7="",R7=""),"",IF(R7/IF($R$2="",100,$R$2)&gt;=設定!$I$28,設定!$G$8,IF(R7/IF($R$2="",100,$R$2)&lt;設定!$I$29,設定!$G$10,設定!$G$9)))</f>
        <v/>
      </c>
      <c r="U7" s="62" t="str">
        <f aca="false">IF(OR($C7="",S7=""),"",IF(S7/IF($S$2="",100,$S$2)&gt;=設定!$I$28,設定!$G$8,IF(S7/IF($S$2="",100,$S$2)&lt;設定!$I$29,設定!$G$10,設定!$G$9)))</f>
        <v/>
      </c>
    </row>
    <row r="8" customFormat="false" ht="21" hidden="false" customHeight="true" outlineLevel="0" collapsed="false">
      <c r="A8" s="91" t="str">
        <f aca="false">IF(名簿!$D8="","",名簿!$B8&amp;"")</f>
        <v/>
      </c>
      <c r="B8" s="91" t="str">
        <f aca="false">IF(名簿!$D8="","",名簿!$C8)</f>
        <v/>
      </c>
      <c r="C8" s="59" t="str">
        <f aca="false">IF(名簿!$D8="","",名簿!$D8&amp;IF(名簿!$F8="転出","（転出）",""))</f>
        <v/>
      </c>
      <c r="D8" s="149"/>
      <c r="E8" s="61" t="str">
        <f aca="false">IF(OR($C8="",名簿!$F8="転出"),"",IF($C$2="学級ごと",$A8,IF($C$2="前の単元と同じ",単元09!$E8&amp;"",$D8&amp;"")))</f>
        <v/>
      </c>
      <c r="F8" s="150"/>
      <c r="G8" s="150"/>
      <c r="H8" s="150"/>
      <c r="I8" s="151"/>
      <c r="J8" s="41" t="str">
        <f aca="false">IF($E8="","",$E8&amp;"|"&amp;COUNTIF($E$5:$E8,$E8))</f>
        <v/>
      </c>
      <c r="K8" s="40" t="str">
        <f aca="false">IF($I8="","",LEN($I8))</f>
        <v/>
      </c>
      <c r="L8" s="157" t="s">
        <v>174</v>
      </c>
      <c r="M8" s="158" t="s">
        <v>175</v>
      </c>
      <c r="N8" s="159" t="n">
        <f aca="false">SUMPRODUCT(($E$5:$E$164&lt;&gt;"")*(($F$5:$F$164="")+($G$5:$G$164="")+($H$5:$H$164="")&gt;0))</f>
        <v>0</v>
      </c>
      <c r="O8" s="13"/>
      <c r="P8" s="152"/>
      <c r="Q8" s="149"/>
      <c r="R8" s="152"/>
      <c r="S8" s="152"/>
      <c r="T8" s="62" t="str">
        <f aca="false">IF(OR($C8="",R8=""),"",IF(R8/IF($R$2="",100,$R$2)&gt;=設定!$I$28,設定!$G$8,IF(R8/IF($R$2="",100,$R$2)&lt;設定!$I$29,設定!$G$10,設定!$G$9)))</f>
        <v/>
      </c>
      <c r="U8" s="62" t="str">
        <f aca="false">IF(OR($C8="",S8=""),"",IF(S8/IF($S$2="",100,$S$2)&gt;=設定!$I$28,設定!$G$8,IF(S8/IF($S$2="",100,$S$2)&lt;設定!$I$29,設定!$G$10,設定!$G$9)))</f>
        <v/>
      </c>
    </row>
    <row r="9" customFormat="false" ht="21" hidden="false" customHeight="true" outlineLevel="0" collapsed="false">
      <c r="A9" s="91" t="str">
        <f aca="false">IF(名簿!$D9="","",名簿!$B9&amp;"")</f>
        <v/>
      </c>
      <c r="B9" s="91" t="str">
        <f aca="false">IF(名簿!$D9="","",名簿!$C9)</f>
        <v/>
      </c>
      <c r="C9" s="59" t="str">
        <f aca="false">IF(名簿!$D9="","",名簿!$D9&amp;IF(名簿!$F9="転出","（転出）",""))</f>
        <v/>
      </c>
      <c r="D9" s="149"/>
      <c r="E9" s="61" t="str">
        <f aca="false">IF(OR($C9="",名簿!$F9="転出"),"",IF($C$2="学級ごと",$A9,IF($C$2="前の単元と同じ",単元09!$E9&amp;"",$D9&amp;"")))</f>
        <v/>
      </c>
      <c r="F9" s="150"/>
      <c r="G9" s="150"/>
      <c r="H9" s="150"/>
      <c r="I9" s="151"/>
      <c r="J9" s="41" t="str">
        <f aca="false">IF($E9="","",$E9&amp;"|"&amp;COUNTIF($E$5:$E9,$E9))</f>
        <v/>
      </c>
      <c r="K9" s="40" t="str">
        <f aca="false">IF($I9="","",LEN($I9))</f>
        <v/>
      </c>
      <c r="L9" s="13"/>
      <c r="M9" s="13"/>
      <c r="N9" s="13"/>
      <c r="O9" s="13"/>
      <c r="P9" s="152"/>
      <c r="Q9" s="149"/>
      <c r="R9" s="152"/>
      <c r="S9" s="152"/>
      <c r="T9" s="62" t="str">
        <f aca="false">IF(OR($C9="",R9=""),"",IF(R9/IF($R$2="",100,$R$2)&gt;=設定!$I$28,設定!$G$8,IF(R9/IF($R$2="",100,$R$2)&lt;設定!$I$29,設定!$G$10,設定!$G$9)))</f>
        <v/>
      </c>
      <c r="U9" s="62" t="str">
        <f aca="false">IF(OR($C9="",S9=""),"",IF(S9/IF($S$2="",100,$S$2)&gt;=設定!$I$28,設定!$G$8,IF(S9/IF($S$2="",100,$S$2)&lt;設定!$I$29,設定!$G$10,設定!$G$9)))</f>
        <v/>
      </c>
    </row>
    <row r="10" customFormat="false" ht="21" hidden="false" customHeight="true" outlineLevel="0" collapsed="false">
      <c r="A10" s="91" t="str">
        <f aca="false">IF(名簿!$D10="","",名簿!$B10&amp;"")</f>
        <v/>
      </c>
      <c r="B10" s="91" t="str">
        <f aca="false">IF(名簿!$D10="","",名簿!$C10)</f>
        <v/>
      </c>
      <c r="C10" s="59" t="str">
        <f aca="false">IF(名簿!$D10="","",名簿!$D10&amp;IF(名簿!$F10="転出","（転出）",""))</f>
        <v/>
      </c>
      <c r="D10" s="149"/>
      <c r="E10" s="61" t="str">
        <f aca="false">IF(OR($C10="",名簿!$F10="転出"),"",IF($C$2="学級ごと",$A10,IF($C$2="前の単元と同じ",単元09!$E10&amp;"",$D10&amp;"")))</f>
        <v/>
      </c>
      <c r="F10" s="150"/>
      <c r="G10" s="150"/>
      <c r="H10" s="150"/>
      <c r="I10" s="151"/>
      <c r="J10" s="41" t="str">
        <f aca="false">IF($E10="","",$E10&amp;"|"&amp;COUNTIF($E$5:$E10,$E10))</f>
        <v/>
      </c>
      <c r="K10" s="40" t="str">
        <f aca="false">IF($I10="","",LEN($I10))</f>
        <v/>
      </c>
      <c r="L10" s="13"/>
      <c r="M10" s="13"/>
      <c r="N10" s="13"/>
      <c r="O10" s="13"/>
      <c r="P10" s="152"/>
      <c r="Q10" s="149"/>
      <c r="R10" s="152"/>
      <c r="S10" s="152"/>
      <c r="T10" s="62" t="str">
        <f aca="false">IF(OR($C10="",R10=""),"",IF(R10/IF($R$2="",100,$R$2)&gt;=設定!$I$28,設定!$G$8,IF(R10/IF($R$2="",100,$R$2)&lt;設定!$I$29,設定!$G$10,設定!$G$9)))</f>
        <v/>
      </c>
      <c r="U10" s="62" t="str">
        <f aca="false">IF(OR($C10="",S10=""),"",IF(S10/IF($S$2="",100,$S$2)&gt;=設定!$I$28,設定!$G$8,IF(S10/IF($S$2="",100,$S$2)&lt;設定!$I$29,設定!$G$10,設定!$G$9)))</f>
        <v/>
      </c>
    </row>
    <row r="11" customFormat="false" ht="21" hidden="false" customHeight="true" outlineLevel="0" collapsed="false">
      <c r="A11" s="91" t="str">
        <f aca="false">IF(名簿!$D11="","",名簿!$B11&amp;"")</f>
        <v/>
      </c>
      <c r="B11" s="91" t="str">
        <f aca="false">IF(名簿!$D11="","",名簿!$C11)</f>
        <v/>
      </c>
      <c r="C11" s="59" t="str">
        <f aca="false">IF(名簿!$D11="","",名簿!$D11&amp;IF(名簿!$F11="転出","（転出）",""))</f>
        <v/>
      </c>
      <c r="D11" s="149"/>
      <c r="E11" s="61" t="str">
        <f aca="false">IF(OR($C11="",名簿!$F11="転出"),"",IF($C$2="学級ごと",$A11,IF($C$2="前の単元と同じ",単元09!$E11&amp;"",$D11&amp;"")))</f>
        <v/>
      </c>
      <c r="F11" s="150"/>
      <c r="G11" s="150"/>
      <c r="H11" s="150"/>
      <c r="I11" s="151"/>
      <c r="J11" s="41" t="str">
        <f aca="false">IF($E11="","",$E11&amp;"|"&amp;COUNTIF($E$5:$E11,$E11))</f>
        <v/>
      </c>
      <c r="K11" s="40" t="str">
        <f aca="false">IF($I11="","",LEN($I11))</f>
        <v/>
      </c>
      <c r="L11" s="13"/>
      <c r="M11" s="13"/>
      <c r="N11" s="13"/>
      <c r="O11" s="13"/>
      <c r="P11" s="152"/>
      <c r="Q11" s="149"/>
      <c r="R11" s="152"/>
      <c r="S11" s="152"/>
      <c r="T11" s="62" t="str">
        <f aca="false">IF(OR($C11="",R11=""),"",IF(R11/IF($R$2="",100,$R$2)&gt;=設定!$I$28,設定!$G$8,IF(R11/IF($R$2="",100,$R$2)&lt;設定!$I$29,設定!$G$10,設定!$G$9)))</f>
        <v/>
      </c>
      <c r="U11" s="62" t="str">
        <f aca="false">IF(OR($C11="",S11=""),"",IF(S11/IF($S$2="",100,$S$2)&gt;=設定!$I$28,設定!$G$8,IF(S11/IF($S$2="",100,$S$2)&lt;設定!$I$29,設定!$G$10,設定!$G$9)))</f>
        <v/>
      </c>
    </row>
    <row r="12" customFormat="false" ht="21" hidden="false" customHeight="true" outlineLevel="0" collapsed="false">
      <c r="A12" s="91" t="str">
        <f aca="false">IF(名簿!$D12="","",名簿!$B12&amp;"")</f>
        <v/>
      </c>
      <c r="B12" s="91" t="str">
        <f aca="false">IF(名簿!$D12="","",名簿!$C12)</f>
        <v/>
      </c>
      <c r="C12" s="59" t="str">
        <f aca="false">IF(名簿!$D12="","",名簿!$D12&amp;IF(名簿!$F12="転出","（転出）",""))</f>
        <v/>
      </c>
      <c r="D12" s="149"/>
      <c r="E12" s="61" t="str">
        <f aca="false">IF(OR($C12="",名簿!$F12="転出"),"",IF($C$2="学級ごと",$A12,IF($C$2="前の単元と同じ",単元09!$E12&amp;"",$D12&amp;"")))</f>
        <v/>
      </c>
      <c r="F12" s="150"/>
      <c r="G12" s="150"/>
      <c r="H12" s="150"/>
      <c r="I12" s="151"/>
      <c r="J12" s="41" t="str">
        <f aca="false">IF($E12="","",$E12&amp;"|"&amp;COUNTIF($E$5:$E12,$E12))</f>
        <v/>
      </c>
      <c r="K12" s="40" t="str">
        <f aca="false">IF($I12="","",LEN($I12))</f>
        <v/>
      </c>
      <c r="L12" s="13"/>
      <c r="M12" s="13"/>
      <c r="N12" s="13"/>
      <c r="O12" s="13"/>
      <c r="P12" s="152"/>
      <c r="Q12" s="149"/>
      <c r="R12" s="152"/>
      <c r="S12" s="152"/>
      <c r="T12" s="62" t="str">
        <f aca="false">IF(OR($C12="",R12=""),"",IF(R12/IF($R$2="",100,$R$2)&gt;=設定!$I$28,設定!$G$8,IF(R12/IF($R$2="",100,$R$2)&lt;設定!$I$29,設定!$G$10,設定!$G$9)))</f>
        <v/>
      </c>
      <c r="U12" s="62" t="str">
        <f aca="false">IF(OR($C12="",S12=""),"",IF(S12/IF($S$2="",100,$S$2)&gt;=設定!$I$28,設定!$G$8,IF(S12/IF($S$2="",100,$S$2)&lt;設定!$I$29,設定!$G$10,設定!$G$9)))</f>
        <v/>
      </c>
    </row>
    <row r="13" customFormat="false" ht="21" hidden="false" customHeight="true" outlineLevel="0" collapsed="false">
      <c r="A13" s="91" t="str">
        <f aca="false">IF(名簿!$D13="","",名簿!$B13&amp;"")</f>
        <v/>
      </c>
      <c r="B13" s="91" t="str">
        <f aca="false">IF(名簿!$D13="","",名簿!$C13)</f>
        <v/>
      </c>
      <c r="C13" s="59" t="str">
        <f aca="false">IF(名簿!$D13="","",名簿!$D13&amp;IF(名簿!$F13="転出","（転出）",""))</f>
        <v/>
      </c>
      <c r="D13" s="149"/>
      <c r="E13" s="61" t="str">
        <f aca="false">IF(OR($C13="",名簿!$F13="転出"),"",IF($C$2="学級ごと",$A13,IF($C$2="前の単元と同じ",単元09!$E13&amp;"",$D13&amp;"")))</f>
        <v/>
      </c>
      <c r="F13" s="150"/>
      <c r="G13" s="150"/>
      <c r="H13" s="150"/>
      <c r="I13" s="151"/>
      <c r="J13" s="41" t="str">
        <f aca="false">IF($E13="","",$E13&amp;"|"&amp;COUNTIF($E$5:$E13,$E13))</f>
        <v/>
      </c>
      <c r="K13" s="40" t="str">
        <f aca="false">IF($I13="","",LEN($I13))</f>
        <v/>
      </c>
      <c r="L13" s="13"/>
      <c r="M13" s="13"/>
      <c r="N13" s="13"/>
      <c r="O13" s="13"/>
      <c r="P13" s="152"/>
      <c r="Q13" s="149"/>
      <c r="R13" s="152"/>
      <c r="S13" s="152"/>
      <c r="T13" s="62" t="str">
        <f aca="false">IF(OR($C13="",R13=""),"",IF(R13/IF($R$2="",100,$R$2)&gt;=設定!$I$28,設定!$G$8,IF(R13/IF($R$2="",100,$R$2)&lt;設定!$I$29,設定!$G$10,設定!$G$9)))</f>
        <v/>
      </c>
      <c r="U13" s="62" t="str">
        <f aca="false">IF(OR($C13="",S13=""),"",IF(S13/IF($S$2="",100,$S$2)&gt;=設定!$I$28,設定!$G$8,IF(S13/IF($S$2="",100,$S$2)&lt;設定!$I$29,設定!$G$10,設定!$G$9)))</f>
        <v/>
      </c>
    </row>
    <row r="14" customFormat="false" ht="21" hidden="false" customHeight="true" outlineLevel="0" collapsed="false">
      <c r="A14" s="91" t="str">
        <f aca="false">IF(名簿!$D14="","",名簿!$B14&amp;"")</f>
        <v/>
      </c>
      <c r="B14" s="91" t="str">
        <f aca="false">IF(名簿!$D14="","",名簿!$C14)</f>
        <v/>
      </c>
      <c r="C14" s="59" t="str">
        <f aca="false">IF(名簿!$D14="","",名簿!$D14&amp;IF(名簿!$F14="転出","（転出）",""))</f>
        <v/>
      </c>
      <c r="D14" s="149"/>
      <c r="E14" s="61" t="str">
        <f aca="false">IF(OR($C14="",名簿!$F14="転出"),"",IF($C$2="学級ごと",$A14,IF($C$2="前の単元と同じ",単元09!$E14&amp;"",$D14&amp;"")))</f>
        <v/>
      </c>
      <c r="F14" s="150"/>
      <c r="G14" s="150"/>
      <c r="H14" s="150"/>
      <c r="I14" s="151"/>
      <c r="J14" s="41" t="str">
        <f aca="false">IF($E14="","",$E14&amp;"|"&amp;COUNTIF($E$5:$E14,$E14))</f>
        <v/>
      </c>
      <c r="K14" s="40" t="str">
        <f aca="false">IF($I14="","",LEN($I14))</f>
        <v/>
      </c>
      <c r="L14" s="13"/>
      <c r="M14" s="13"/>
      <c r="N14" s="13"/>
      <c r="O14" s="13"/>
      <c r="P14" s="152"/>
      <c r="Q14" s="149"/>
      <c r="R14" s="152"/>
      <c r="S14" s="152"/>
      <c r="T14" s="62" t="str">
        <f aca="false">IF(OR($C14="",R14=""),"",IF(R14/IF($R$2="",100,$R$2)&gt;=設定!$I$28,設定!$G$8,IF(R14/IF($R$2="",100,$R$2)&lt;設定!$I$29,設定!$G$10,設定!$G$9)))</f>
        <v/>
      </c>
      <c r="U14" s="62" t="str">
        <f aca="false">IF(OR($C14="",S14=""),"",IF(S14/IF($S$2="",100,$S$2)&gt;=設定!$I$28,設定!$G$8,IF(S14/IF($S$2="",100,$S$2)&lt;設定!$I$29,設定!$G$10,設定!$G$9)))</f>
        <v/>
      </c>
    </row>
    <row r="15" customFormat="false" ht="21" hidden="false" customHeight="true" outlineLevel="0" collapsed="false">
      <c r="A15" s="91" t="str">
        <f aca="false">IF(名簿!$D15="","",名簿!$B15&amp;"")</f>
        <v/>
      </c>
      <c r="B15" s="91" t="str">
        <f aca="false">IF(名簿!$D15="","",名簿!$C15)</f>
        <v/>
      </c>
      <c r="C15" s="59" t="str">
        <f aca="false">IF(名簿!$D15="","",名簿!$D15&amp;IF(名簿!$F15="転出","（転出）",""))</f>
        <v/>
      </c>
      <c r="D15" s="149"/>
      <c r="E15" s="61" t="str">
        <f aca="false">IF(OR($C15="",名簿!$F15="転出"),"",IF($C$2="学級ごと",$A15,IF($C$2="前の単元と同じ",単元09!$E15&amp;"",$D15&amp;"")))</f>
        <v/>
      </c>
      <c r="F15" s="150"/>
      <c r="G15" s="150"/>
      <c r="H15" s="150"/>
      <c r="I15" s="151"/>
      <c r="J15" s="41" t="str">
        <f aca="false">IF($E15="","",$E15&amp;"|"&amp;COUNTIF($E$5:$E15,$E15))</f>
        <v/>
      </c>
      <c r="K15" s="40" t="str">
        <f aca="false">IF($I15="","",LEN($I15))</f>
        <v/>
      </c>
      <c r="L15" s="13"/>
      <c r="M15" s="13"/>
      <c r="N15" s="13"/>
      <c r="O15" s="13"/>
      <c r="P15" s="152"/>
      <c r="Q15" s="149"/>
      <c r="R15" s="152"/>
      <c r="S15" s="152"/>
      <c r="T15" s="62" t="str">
        <f aca="false">IF(OR($C15="",R15=""),"",IF(R15/IF($R$2="",100,$R$2)&gt;=設定!$I$28,設定!$G$8,IF(R15/IF($R$2="",100,$R$2)&lt;設定!$I$29,設定!$G$10,設定!$G$9)))</f>
        <v/>
      </c>
      <c r="U15" s="62" t="str">
        <f aca="false">IF(OR($C15="",S15=""),"",IF(S15/IF($S$2="",100,$S$2)&gt;=設定!$I$28,設定!$G$8,IF(S15/IF($S$2="",100,$S$2)&lt;設定!$I$29,設定!$G$10,設定!$G$9)))</f>
        <v/>
      </c>
    </row>
    <row r="16" customFormat="false" ht="21" hidden="false" customHeight="true" outlineLevel="0" collapsed="false">
      <c r="A16" s="91" t="str">
        <f aca="false">IF(名簿!$D16="","",名簿!$B16&amp;"")</f>
        <v/>
      </c>
      <c r="B16" s="91" t="str">
        <f aca="false">IF(名簿!$D16="","",名簿!$C16)</f>
        <v/>
      </c>
      <c r="C16" s="59" t="str">
        <f aca="false">IF(名簿!$D16="","",名簿!$D16&amp;IF(名簿!$F16="転出","（転出）",""))</f>
        <v/>
      </c>
      <c r="D16" s="149"/>
      <c r="E16" s="61" t="str">
        <f aca="false">IF(OR($C16="",名簿!$F16="転出"),"",IF($C$2="学級ごと",$A16,IF($C$2="前の単元と同じ",単元09!$E16&amp;"",$D16&amp;"")))</f>
        <v/>
      </c>
      <c r="F16" s="150"/>
      <c r="G16" s="150"/>
      <c r="H16" s="150"/>
      <c r="I16" s="151"/>
      <c r="J16" s="41" t="str">
        <f aca="false">IF($E16="","",$E16&amp;"|"&amp;COUNTIF($E$5:$E16,$E16))</f>
        <v/>
      </c>
      <c r="K16" s="40" t="str">
        <f aca="false">IF($I16="","",LEN($I16))</f>
        <v/>
      </c>
      <c r="L16" s="13"/>
      <c r="M16" s="13"/>
      <c r="N16" s="13"/>
      <c r="O16" s="13"/>
      <c r="P16" s="152"/>
      <c r="Q16" s="149"/>
      <c r="R16" s="152"/>
      <c r="S16" s="152"/>
      <c r="T16" s="62" t="str">
        <f aca="false">IF(OR($C16="",R16=""),"",IF(R16/IF($R$2="",100,$R$2)&gt;=設定!$I$28,設定!$G$8,IF(R16/IF($R$2="",100,$R$2)&lt;設定!$I$29,設定!$G$10,設定!$G$9)))</f>
        <v/>
      </c>
      <c r="U16" s="62" t="str">
        <f aca="false">IF(OR($C16="",S16=""),"",IF(S16/IF($S$2="",100,$S$2)&gt;=設定!$I$28,設定!$G$8,IF(S16/IF($S$2="",100,$S$2)&lt;設定!$I$29,設定!$G$10,設定!$G$9)))</f>
        <v/>
      </c>
    </row>
    <row r="17" customFormat="false" ht="21" hidden="false" customHeight="true" outlineLevel="0" collapsed="false">
      <c r="A17" s="91" t="str">
        <f aca="false">IF(名簿!$D17="","",名簿!$B17&amp;"")</f>
        <v/>
      </c>
      <c r="B17" s="91" t="str">
        <f aca="false">IF(名簿!$D17="","",名簿!$C17)</f>
        <v/>
      </c>
      <c r="C17" s="59" t="str">
        <f aca="false">IF(名簿!$D17="","",名簿!$D17&amp;IF(名簿!$F17="転出","（転出）",""))</f>
        <v/>
      </c>
      <c r="D17" s="149"/>
      <c r="E17" s="61" t="str">
        <f aca="false">IF(OR($C17="",名簿!$F17="転出"),"",IF($C$2="学級ごと",$A17,IF($C$2="前の単元と同じ",単元09!$E17&amp;"",$D17&amp;"")))</f>
        <v/>
      </c>
      <c r="F17" s="150"/>
      <c r="G17" s="150"/>
      <c r="H17" s="150"/>
      <c r="I17" s="151"/>
      <c r="J17" s="41" t="str">
        <f aca="false">IF($E17="","",$E17&amp;"|"&amp;COUNTIF($E$5:$E17,$E17))</f>
        <v/>
      </c>
      <c r="K17" s="40" t="str">
        <f aca="false">IF($I17="","",LEN($I17))</f>
        <v/>
      </c>
      <c r="L17" s="13"/>
      <c r="M17" s="13"/>
      <c r="N17" s="13"/>
      <c r="O17" s="13"/>
      <c r="P17" s="152"/>
      <c r="Q17" s="149"/>
      <c r="R17" s="152"/>
      <c r="S17" s="152"/>
      <c r="T17" s="62" t="str">
        <f aca="false">IF(OR($C17="",R17=""),"",IF(R17/IF($R$2="",100,$R$2)&gt;=設定!$I$28,設定!$G$8,IF(R17/IF($R$2="",100,$R$2)&lt;設定!$I$29,設定!$G$10,設定!$G$9)))</f>
        <v/>
      </c>
      <c r="U17" s="62" t="str">
        <f aca="false">IF(OR($C17="",S17=""),"",IF(S17/IF($S$2="",100,$S$2)&gt;=設定!$I$28,設定!$G$8,IF(S17/IF($S$2="",100,$S$2)&lt;設定!$I$29,設定!$G$10,設定!$G$9)))</f>
        <v/>
      </c>
    </row>
    <row r="18" customFormat="false" ht="21" hidden="false" customHeight="true" outlineLevel="0" collapsed="false">
      <c r="A18" s="91" t="str">
        <f aca="false">IF(名簿!$D18="","",名簿!$B18&amp;"")</f>
        <v/>
      </c>
      <c r="B18" s="91" t="str">
        <f aca="false">IF(名簿!$D18="","",名簿!$C18)</f>
        <v/>
      </c>
      <c r="C18" s="59" t="str">
        <f aca="false">IF(名簿!$D18="","",名簿!$D18&amp;IF(名簿!$F18="転出","（転出）",""))</f>
        <v/>
      </c>
      <c r="D18" s="149"/>
      <c r="E18" s="61" t="str">
        <f aca="false">IF(OR($C18="",名簿!$F18="転出"),"",IF($C$2="学級ごと",$A18,IF($C$2="前の単元と同じ",単元09!$E18&amp;"",$D18&amp;"")))</f>
        <v/>
      </c>
      <c r="F18" s="150"/>
      <c r="G18" s="150"/>
      <c r="H18" s="150"/>
      <c r="I18" s="151"/>
      <c r="J18" s="41" t="str">
        <f aca="false">IF($E18="","",$E18&amp;"|"&amp;COUNTIF($E$5:$E18,$E18))</f>
        <v/>
      </c>
      <c r="K18" s="40" t="str">
        <f aca="false">IF($I18="","",LEN($I18))</f>
        <v/>
      </c>
      <c r="L18" s="13"/>
      <c r="M18" s="13"/>
      <c r="N18" s="13"/>
      <c r="O18" s="13"/>
      <c r="P18" s="152"/>
      <c r="Q18" s="149"/>
      <c r="R18" s="152"/>
      <c r="S18" s="152"/>
      <c r="T18" s="62" t="str">
        <f aca="false">IF(OR($C18="",R18=""),"",IF(R18/IF($R$2="",100,$R$2)&gt;=設定!$I$28,設定!$G$8,IF(R18/IF($R$2="",100,$R$2)&lt;設定!$I$29,設定!$G$10,設定!$G$9)))</f>
        <v/>
      </c>
      <c r="U18" s="62" t="str">
        <f aca="false">IF(OR($C18="",S18=""),"",IF(S18/IF($S$2="",100,$S$2)&gt;=設定!$I$28,設定!$G$8,IF(S18/IF($S$2="",100,$S$2)&lt;設定!$I$29,設定!$G$10,設定!$G$9)))</f>
        <v/>
      </c>
    </row>
    <row r="19" customFormat="false" ht="21" hidden="false" customHeight="true" outlineLevel="0" collapsed="false">
      <c r="A19" s="91" t="str">
        <f aca="false">IF(名簿!$D19="","",名簿!$B19&amp;"")</f>
        <v/>
      </c>
      <c r="B19" s="91" t="str">
        <f aca="false">IF(名簿!$D19="","",名簿!$C19)</f>
        <v/>
      </c>
      <c r="C19" s="59" t="str">
        <f aca="false">IF(名簿!$D19="","",名簿!$D19&amp;IF(名簿!$F19="転出","（転出）",""))</f>
        <v/>
      </c>
      <c r="D19" s="149"/>
      <c r="E19" s="61" t="str">
        <f aca="false">IF(OR($C19="",名簿!$F19="転出"),"",IF($C$2="学級ごと",$A19,IF($C$2="前の単元と同じ",単元09!$E19&amp;"",$D19&amp;"")))</f>
        <v/>
      </c>
      <c r="F19" s="150"/>
      <c r="G19" s="150"/>
      <c r="H19" s="150"/>
      <c r="I19" s="151"/>
      <c r="J19" s="41" t="str">
        <f aca="false">IF($E19="","",$E19&amp;"|"&amp;COUNTIF($E$5:$E19,$E19))</f>
        <v/>
      </c>
      <c r="K19" s="40" t="str">
        <f aca="false">IF($I19="","",LEN($I19))</f>
        <v/>
      </c>
      <c r="L19" s="13"/>
      <c r="M19" s="13"/>
      <c r="N19" s="13"/>
      <c r="O19" s="13"/>
      <c r="P19" s="152"/>
      <c r="Q19" s="149"/>
      <c r="R19" s="152"/>
      <c r="S19" s="152"/>
      <c r="T19" s="62" t="str">
        <f aca="false">IF(OR($C19="",R19=""),"",IF(R19/IF($R$2="",100,$R$2)&gt;=設定!$I$28,設定!$G$8,IF(R19/IF($R$2="",100,$R$2)&lt;設定!$I$29,設定!$G$10,設定!$G$9)))</f>
        <v/>
      </c>
      <c r="U19" s="62" t="str">
        <f aca="false">IF(OR($C19="",S19=""),"",IF(S19/IF($S$2="",100,$S$2)&gt;=設定!$I$28,設定!$G$8,IF(S19/IF($S$2="",100,$S$2)&lt;設定!$I$29,設定!$G$10,設定!$G$9)))</f>
        <v/>
      </c>
    </row>
    <row r="20" customFormat="false" ht="21" hidden="false" customHeight="true" outlineLevel="0" collapsed="false">
      <c r="A20" s="91" t="str">
        <f aca="false">IF(名簿!$D20="","",名簿!$B20&amp;"")</f>
        <v/>
      </c>
      <c r="B20" s="91" t="str">
        <f aca="false">IF(名簿!$D20="","",名簿!$C20)</f>
        <v/>
      </c>
      <c r="C20" s="59" t="str">
        <f aca="false">IF(名簿!$D20="","",名簿!$D20&amp;IF(名簿!$F20="転出","（転出）",""))</f>
        <v/>
      </c>
      <c r="D20" s="149"/>
      <c r="E20" s="61" t="str">
        <f aca="false">IF(OR($C20="",名簿!$F20="転出"),"",IF($C$2="学級ごと",$A20,IF($C$2="前の単元と同じ",単元09!$E20&amp;"",$D20&amp;"")))</f>
        <v/>
      </c>
      <c r="F20" s="150"/>
      <c r="G20" s="150"/>
      <c r="H20" s="150"/>
      <c r="I20" s="151"/>
      <c r="J20" s="41" t="str">
        <f aca="false">IF($E20="","",$E20&amp;"|"&amp;COUNTIF($E$5:$E20,$E20))</f>
        <v/>
      </c>
      <c r="K20" s="40" t="str">
        <f aca="false">IF($I20="","",LEN($I20))</f>
        <v/>
      </c>
      <c r="L20" s="13"/>
      <c r="M20" s="13"/>
      <c r="N20" s="13"/>
      <c r="O20" s="13"/>
      <c r="P20" s="152"/>
      <c r="Q20" s="149"/>
      <c r="R20" s="152"/>
      <c r="S20" s="152"/>
      <c r="T20" s="62" t="str">
        <f aca="false">IF(OR($C20="",R20=""),"",IF(R20/IF($R$2="",100,$R$2)&gt;=設定!$I$28,設定!$G$8,IF(R20/IF($R$2="",100,$R$2)&lt;設定!$I$29,設定!$G$10,設定!$G$9)))</f>
        <v/>
      </c>
      <c r="U20" s="62" t="str">
        <f aca="false">IF(OR($C20="",S20=""),"",IF(S20/IF($S$2="",100,$S$2)&gt;=設定!$I$28,設定!$G$8,IF(S20/IF($S$2="",100,$S$2)&lt;設定!$I$29,設定!$G$10,設定!$G$9)))</f>
        <v/>
      </c>
    </row>
    <row r="21" customFormat="false" ht="21" hidden="false" customHeight="true" outlineLevel="0" collapsed="false">
      <c r="A21" s="91" t="str">
        <f aca="false">IF(名簿!$D21="","",名簿!$B21&amp;"")</f>
        <v/>
      </c>
      <c r="B21" s="91" t="str">
        <f aca="false">IF(名簿!$D21="","",名簿!$C21)</f>
        <v/>
      </c>
      <c r="C21" s="59" t="str">
        <f aca="false">IF(名簿!$D21="","",名簿!$D21&amp;IF(名簿!$F21="転出","（転出）",""))</f>
        <v/>
      </c>
      <c r="D21" s="149"/>
      <c r="E21" s="61" t="str">
        <f aca="false">IF(OR($C21="",名簿!$F21="転出"),"",IF($C$2="学級ごと",$A21,IF($C$2="前の単元と同じ",単元09!$E21&amp;"",$D21&amp;"")))</f>
        <v/>
      </c>
      <c r="F21" s="150"/>
      <c r="G21" s="150"/>
      <c r="H21" s="150"/>
      <c r="I21" s="151"/>
      <c r="J21" s="41" t="str">
        <f aca="false">IF($E21="","",$E21&amp;"|"&amp;COUNTIF($E$5:$E21,$E21))</f>
        <v/>
      </c>
      <c r="K21" s="40" t="str">
        <f aca="false">IF($I21="","",LEN($I21))</f>
        <v/>
      </c>
      <c r="L21" s="13"/>
      <c r="M21" s="13"/>
      <c r="N21" s="13"/>
      <c r="O21" s="13"/>
      <c r="P21" s="152"/>
      <c r="Q21" s="149"/>
      <c r="R21" s="152"/>
      <c r="S21" s="152"/>
      <c r="T21" s="62" t="str">
        <f aca="false">IF(OR($C21="",R21=""),"",IF(R21/IF($R$2="",100,$R$2)&gt;=設定!$I$28,設定!$G$8,IF(R21/IF($R$2="",100,$R$2)&lt;設定!$I$29,設定!$G$10,設定!$G$9)))</f>
        <v/>
      </c>
      <c r="U21" s="62" t="str">
        <f aca="false">IF(OR($C21="",S21=""),"",IF(S21/IF($S$2="",100,$S$2)&gt;=設定!$I$28,設定!$G$8,IF(S21/IF($S$2="",100,$S$2)&lt;設定!$I$29,設定!$G$10,設定!$G$9)))</f>
        <v/>
      </c>
    </row>
    <row r="22" customFormat="false" ht="21" hidden="false" customHeight="true" outlineLevel="0" collapsed="false">
      <c r="A22" s="91" t="str">
        <f aca="false">IF(名簿!$D22="","",名簿!$B22&amp;"")</f>
        <v/>
      </c>
      <c r="B22" s="91" t="str">
        <f aca="false">IF(名簿!$D22="","",名簿!$C22)</f>
        <v/>
      </c>
      <c r="C22" s="59" t="str">
        <f aca="false">IF(名簿!$D22="","",名簿!$D22&amp;IF(名簿!$F22="転出","（転出）",""))</f>
        <v/>
      </c>
      <c r="D22" s="149"/>
      <c r="E22" s="61" t="str">
        <f aca="false">IF(OR($C22="",名簿!$F22="転出"),"",IF($C$2="学級ごと",$A22,IF($C$2="前の単元と同じ",単元09!$E22&amp;"",$D22&amp;"")))</f>
        <v/>
      </c>
      <c r="F22" s="150"/>
      <c r="G22" s="150"/>
      <c r="H22" s="150"/>
      <c r="I22" s="151"/>
      <c r="J22" s="41" t="str">
        <f aca="false">IF($E22="","",$E22&amp;"|"&amp;COUNTIF($E$5:$E22,$E22))</f>
        <v/>
      </c>
      <c r="K22" s="40" t="str">
        <f aca="false">IF($I22="","",LEN($I22))</f>
        <v/>
      </c>
      <c r="L22" s="13"/>
      <c r="M22" s="13"/>
      <c r="N22" s="13"/>
      <c r="O22" s="13"/>
      <c r="P22" s="152"/>
      <c r="Q22" s="149"/>
      <c r="R22" s="152"/>
      <c r="S22" s="152"/>
      <c r="T22" s="62" t="str">
        <f aca="false">IF(OR($C22="",R22=""),"",IF(R22/IF($R$2="",100,$R$2)&gt;=設定!$I$28,設定!$G$8,IF(R22/IF($R$2="",100,$R$2)&lt;設定!$I$29,設定!$G$10,設定!$G$9)))</f>
        <v/>
      </c>
      <c r="U22" s="62" t="str">
        <f aca="false">IF(OR($C22="",S22=""),"",IF(S22/IF($S$2="",100,$S$2)&gt;=設定!$I$28,設定!$G$8,IF(S22/IF($S$2="",100,$S$2)&lt;設定!$I$29,設定!$G$10,設定!$G$9)))</f>
        <v/>
      </c>
    </row>
    <row r="23" customFormat="false" ht="21" hidden="false" customHeight="true" outlineLevel="0" collapsed="false">
      <c r="A23" s="91" t="str">
        <f aca="false">IF(名簿!$D23="","",名簿!$B23&amp;"")</f>
        <v/>
      </c>
      <c r="B23" s="91" t="str">
        <f aca="false">IF(名簿!$D23="","",名簿!$C23)</f>
        <v/>
      </c>
      <c r="C23" s="59" t="str">
        <f aca="false">IF(名簿!$D23="","",名簿!$D23&amp;IF(名簿!$F23="転出","（転出）",""))</f>
        <v/>
      </c>
      <c r="D23" s="149"/>
      <c r="E23" s="61" t="str">
        <f aca="false">IF(OR($C23="",名簿!$F23="転出"),"",IF($C$2="学級ごと",$A23,IF($C$2="前の単元と同じ",単元09!$E23&amp;"",$D23&amp;"")))</f>
        <v/>
      </c>
      <c r="F23" s="150"/>
      <c r="G23" s="150"/>
      <c r="H23" s="150"/>
      <c r="I23" s="151"/>
      <c r="J23" s="41" t="str">
        <f aca="false">IF($E23="","",$E23&amp;"|"&amp;COUNTIF($E$5:$E23,$E23))</f>
        <v/>
      </c>
      <c r="K23" s="40" t="str">
        <f aca="false">IF($I23="","",LEN($I23))</f>
        <v/>
      </c>
      <c r="L23" s="13"/>
      <c r="M23" s="13"/>
      <c r="N23" s="13"/>
      <c r="O23" s="13"/>
      <c r="P23" s="152"/>
      <c r="Q23" s="149"/>
      <c r="R23" s="152"/>
      <c r="S23" s="152"/>
      <c r="T23" s="62" t="str">
        <f aca="false">IF(OR($C23="",R23=""),"",IF(R23/IF($R$2="",100,$R$2)&gt;=設定!$I$28,設定!$G$8,IF(R23/IF($R$2="",100,$R$2)&lt;設定!$I$29,設定!$G$10,設定!$G$9)))</f>
        <v/>
      </c>
      <c r="U23" s="62" t="str">
        <f aca="false">IF(OR($C23="",S23=""),"",IF(S23/IF($S$2="",100,$S$2)&gt;=設定!$I$28,設定!$G$8,IF(S23/IF($S$2="",100,$S$2)&lt;設定!$I$29,設定!$G$10,設定!$G$9)))</f>
        <v/>
      </c>
    </row>
    <row r="24" customFormat="false" ht="21" hidden="false" customHeight="true" outlineLevel="0" collapsed="false">
      <c r="A24" s="91" t="str">
        <f aca="false">IF(名簿!$D24="","",名簿!$B24&amp;"")</f>
        <v/>
      </c>
      <c r="B24" s="91" t="str">
        <f aca="false">IF(名簿!$D24="","",名簿!$C24)</f>
        <v/>
      </c>
      <c r="C24" s="59" t="str">
        <f aca="false">IF(名簿!$D24="","",名簿!$D24&amp;IF(名簿!$F24="転出","（転出）",""))</f>
        <v/>
      </c>
      <c r="D24" s="149"/>
      <c r="E24" s="61" t="str">
        <f aca="false">IF(OR($C24="",名簿!$F24="転出"),"",IF($C$2="学級ごと",$A24,IF($C$2="前の単元と同じ",単元09!$E24&amp;"",$D24&amp;"")))</f>
        <v/>
      </c>
      <c r="F24" s="150"/>
      <c r="G24" s="150"/>
      <c r="H24" s="150"/>
      <c r="I24" s="151"/>
      <c r="J24" s="41" t="str">
        <f aca="false">IF($E24="","",$E24&amp;"|"&amp;COUNTIF($E$5:$E24,$E24))</f>
        <v/>
      </c>
      <c r="K24" s="40" t="str">
        <f aca="false">IF($I24="","",LEN($I24))</f>
        <v/>
      </c>
      <c r="L24" s="13"/>
      <c r="M24" s="13"/>
      <c r="N24" s="13"/>
      <c r="O24" s="13"/>
      <c r="P24" s="152"/>
      <c r="Q24" s="149"/>
      <c r="R24" s="152"/>
      <c r="S24" s="152"/>
      <c r="T24" s="62" t="str">
        <f aca="false">IF(OR($C24="",R24=""),"",IF(R24/IF($R$2="",100,$R$2)&gt;=設定!$I$28,設定!$G$8,IF(R24/IF($R$2="",100,$R$2)&lt;設定!$I$29,設定!$G$10,設定!$G$9)))</f>
        <v/>
      </c>
      <c r="U24" s="62" t="str">
        <f aca="false">IF(OR($C24="",S24=""),"",IF(S24/IF($S$2="",100,$S$2)&gt;=設定!$I$28,設定!$G$8,IF(S24/IF($S$2="",100,$S$2)&lt;設定!$I$29,設定!$G$10,設定!$G$9)))</f>
        <v/>
      </c>
    </row>
    <row r="25" customFormat="false" ht="21" hidden="false" customHeight="true" outlineLevel="0" collapsed="false">
      <c r="A25" s="91" t="str">
        <f aca="false">IF(名簿!$D25="","",名簿!$B25&amp;"")</f>
        <v/>
      </c>
      <c r="B25" s="91" t="str">
        <f aca="false">IF(名簿!$D25="","",名簿!$C25)</f>
        <v/>
      </c>
      <c r="C25" s="59" t="str">
        <f aca="false">IF(名簿!$D25="","",名簿!$D25&amp;IF(名簿!$F25="転出","（転出）",""))</f>
        <v/>
      </c>
      <c r="D25" s="149"/>
      <c r="E25" s="61" t="str">
        <f aca="false">IF(OR($C25="",名簿!$F25="転出"),"",IF($C$2="学級ごと",$A25,IF($C$2="前の単元と同じ",単元09!$E25&amp;"",$D25&amp;"")))</f>
        <v/>
      </c>
      <c r="F25" s="150"/>
      <c r="G25" s="150"/>
      <c r="H25" s="150"/>
      <c r="I25" s="151"/>
      <c r="J25" s="41" t="str">
        <f aca="false">IF($E25="","",$E25&amp;"|"&amp;COUNTIF($E$5:$E25,$E25))</f>
        <v/>
      </c>
      <c r="K25" s="40" t="str">
        <f aca="false">IF($I25="","",LEN($I25))</f>
        <v/>
      </c>
      <c r="L25" s="13"/>
      <c r="M25" s="13"/>
      <c r="N25" s="13"/>
      <c r="O25" s="13"/>
      <c r="P25" s="152"/>
      <c r="Q25" s="149"/>
      <c r="R25" s="152"/>
      <c r="S25" s="152"/>
      <c r="T25" s="62" t="str">
        <f aca="false">IF(OR($C25="",R25=""),"",IF(R25/IF($R$2="",100,$R$2)&gt;=設定!$I$28,設定!$G$8,IF(R25/IF($R$2="",100,$R$2)&lt;設定!$I$29,設定!$G$10,設定!$G$9)))</f>
        <v/>
      </c>
      <c r="U25" s="62" t="str">
        <f aca="false">IF(OR($C25="",S25=""),"",IF(S25/IF($S$2="",100,$S$2)&gt;=設定!$I$28,設定!$G$8,IF(S25/IF($S$2="",100,$S$2)&lt;設定!$I$29,設定!$G$10,設定!$G$9)))</f>
        <v/>
      </c>
    </row>
    <row r="26" customFormat="false" ht="21" hidden="false" customHeight="true" outlineLevel="0" collapsed="false">
      <c r="A26" s="91" t="str">
        <f aca="false">IF(名簿!$D26="","",名簿!$B26&amp;"")</f>
        <v/>
      </c>
      <c r="B26" s="91" t="str">
        <f aca="false">IF(名簿!$D26="","",名簿!$C26)</f>
        <v/>
      </c>
      <c r="C26" s="59" t="str">
        <f aca="false">IF(名簿!$D26="","",名簿!$D26&amp;IF(名簿!$F26="転出","（転出）",""))</f>
        <v/>
      </c>
      <c r="D26" s="149"/>
      <c r="E26" s="61" t="str">
        <f aca="false">IF(OR($C26="",名簿!$F26="転出"),"",IF($C$2="学級ごと",$A26,IF($C$2="前の単元と同じ",単元09!$E26&amp;"",$D26&amp;"")))</f>
        <v/>
      </c>
      <c r="F26" s="150"/>
      <c r="G26" s="150"/>
      <c r="H26" s="150"/>
      <c r="I26" s="151"/>
      <c r="J26" s="41" t="str">
        <f aca="false">IF($E26="","",$E26&amp;"|"&amp;COUNTIF($E$5:$E26,$E26))</f>
        <v/>
      </c>
      <c r="K26" s="40" t="str">
        <f aca="false">IF($I26="","",LEN($I26))</f>
        <v/>
      </c>
      <c r="L26" s="13"/>
      <c r="M26" s="13"/>
      <c r="N26" s="13"/>
      <c r="O26" s="13"/>
      <c r="P26" s="152"/>
      <c r="Q26" s="149"/>
      <c r="R26" s="152"/>
      <c r="S26" s="152"/>
      <c r="T26" s="62" t="str">
        <f aca="false">IF(OR($C26="",R26=""),"",IF(R26/IF($R$2="",100,$R$2)&gt;=設定!$I$28,設定!$G$8,IF(R26/IF($R$2="",100,$R$2)&lt;設定!$I$29,設定!$G$10,設定!$G$9)))</f>
        <v/>
      </c>
      <c r="U26" s="62" t="str">
        <f aca="false">IF(OR($C26="",S26=""),"",IF(S26/IF($S$2="",100,$S$2)&gt;=設定!$I$28,設定!$G$8,IF(S26/IF($S$2="",100,$S$2)&lt;設定!$I$29,設定!$G$10,設定!$G$9)))</f>
        <v/>
      </c>
    </row>
    <row r="27" customFormat="false" ht="21" hidden="false" customHeight="true" outlineLevel="0" collapsed="false">
      <c r="A27" s="91" t="str">
        <f aca="false">IF(名簿!$D27="","",名簿!$B27&amp;"")</f>
        <v/>
      </c>
      <c r="B27" s="91" t="str">
        <f aca="false">IF(名簿!$D27="","",名簿!$C27)</f>
        <v/>
      </c>
      <c r="C27" s="59" t="str">
        <f aca="false">IF(名簿!$D27="","",名簿!$D27&amp;IF(名簿!$F27="転出","（転出）",""))</f>
        <v/>
      </c>
      <c r="D27" s="149"/>
      <c r="E27" s="61" t="str">
        <f aca="false">IF(OR($C27="",名簿!$F27="転出"),"",IF($C$2="学級ごと",$A27,IF($C$2="前の単元と同じ",単元09!$E27&amp;"",$D27&amp;"")))</f>
        <v/>
      </c>
      <c r="F27" s="150"/>
      <c r="G27" s="150"/>
      <c r="H27" s="150"/>
      <c r="I27" s="151"/>
      <c r="J27" s="41" t="str">
        <f aca="false">IF($E27="","",$E27&amp;"|"&amp;COUNTIF($E$5:$E27,$E27))</f>
        <v/>
      </c>
      <c r="K27" s="40" t="str">
        <f aca="false">IF($I27="","",LEN($I27))</f>
        <v/>
      </c>
      <c r="L27" s="13"/>
      <c r="M27" s="13"/>
      <c r="N27" s="13"/>
      <c r="O27" s="13"/>
      <c r="P27" s="152"/>
      <c r="Q27" s="149"/>
      <c r="R27" s="152"/>
      <c r="S27" s="152"/>
      <c r="T27" s="62" t="str">
        <f aca="false">IF(OR($C27="",R27=""),"",IF(R27/IF($R$2="",100,$R$2)&gt;=設定!$I$28,設定!$G$8,IF(R27/IF($R$2="",100,$R$2)&lt;設定!$I$29,設定!$G$10,設定!$G$9)))</f>
        <v/>
      </c>
      <c r="U27" s="62" t="str">
        <f aca="false">IF(OR($C27="",S27=""),"",IF(S27/IF($S$2="",100,$S$2)&gt;=設定!$I$28,設定!$G$8,IF(S27/IF($S$2="",100,$S$2)&lt;設定!$I$29,設定!$G$10,設定!$G$9)))</f>
        <v/>
      </c>
    </row>
    <row r="28" customFormat="false" ht="21" hidden="false" customHeight="true" outlineLevel="0" collapsed="false">
      <c r="A28" s="91" t="str">
        <f aca="false">IF(名簿!$D28="","",名簿!$B28&amp;"")</f>
        <v/>
      </c>
      <c r="B28" s="91" t="str">
        <f aca="false">IF(名簿!$D28="","",名簿!$C28)</f>
        <v/>
      </c>
      <c r="C28" s="59" t="str">
        <f aca="false">IF(名簿!$D28="","",名簿!$D28&amp;IF(名簿!$F28="転出","（転出）",""))</f>
        <v/>
      </c>
      <c r="D28" s="149"/>
      <c r="E28" s="61" t="str">
        <f aca="false">IF(OR($C28="",名簿!$F28="転出"),"",IF($C$2="学級ごと",$A28,IF($C$2="前の単元と同じ",単元09!$E28&amp;"",$D28&amp;"")))</f>
        <v/>
      </c>
      <c r="F28" s="150"/>
      <c r="G28" s="150"/>
      <c r="H28" s="150"/>
      <c r="I28" s="151"/>
      <c r="J28" s="41" t="str">
        <f aca="false">IF($E28="","",$E28&amp;"|"&amp;COUNTIF($E$5:$E28,$E28))</f>
        <v/>
      </c>
      <c r="K28" s="40" t="str">
        <f aca="false">IF($I28="","",LEN($I28))</f>
        <v/>
      </c>
      <c r="L28" s="13"/>
      <c r="M28" s="13"/>
      <c r="N28" s="13"/>
      <c r="O28" s="13"/>
      <c r="P28" s="152"/>
      <c r="Q28" s="149"/>
      <c r="R28" s="152"/>
      <c r="S28" s="152"/>
      <c r="T28" s="62" t="str">
        <f aca="false">IF(OR($C28="",R28=""),"",IF(R28/IF($R$2="",100,$R$2)&gt;=設定!$I$28,設定!$G$8,IF(R28/IF($R$2="",100,$R$2)&lt;設定!$I$29,設定!$G$10,設定!$G$9)))</f>
        <v/>
      </c>
      <c r="U28" s="62" t="str">
        <f aca="false">IF(OR($C28="",S28=""),"",IF(S28/IF($S$2="",100,$S$2)&gt;=設定!$I$28,設定!$G$8,IF(S28/IF($S$2="",100,$S$2)&lt;設定!$I$29,設定!$G$10,設定!$G$9)))</f>
        <v/>
      </c>
    </row>
    <row r="29" customFormat="false" ht="21" hidden="false" customHeight="true" outlineLevel="0" collapsed="false">
      <c r="A29" s="91" t="str">
        <f aca="false">IF(名簿!$D29="","",名簿!$B29&amp;"")</f>
        <v/>
      </c>
      <c r="B29" s="91" t="str">
        <f aca="false">IF(名簿!$D29="","",名簿!$C29)</f>
        <v/>
      </c>
      <c r="C29" s="59" t="str">
        <f aca="false">IF(名簿!$D29="","",名簿!$D29&amp;IF(名簿!$F29="転出","（転出）",""))</f>
        <v/>
      </c>
      <c r="D29" s="149"/>
      <c r="E29" s="61" t="str">
        <f aca="false">IF(OR($C29="",名簿!$F29="転出"),"",IF($C$2="学級ごと",$A29,IF($C$2="前の単元と同じ",単元09!$E29&amp;"",$D29&amp;"")))</f>
        <v/>
      </c>
      <c r="F29" s="150"/>
      <c r="G29" s="150"/>
      <c r="H29" s="150"/>
      <c r="I29" s="151"/>
      <c r="J29" s="41" t="str">
        <f aca="false">IF($E29="","",$E29&amp;"|"&amp;COUNTIF($E$5:$E29,$E29))</f>
        <v/>
      </c>
      <c r="K29" s="40" t="str">
        <f aca="false">IF($I29="","",LEN($I29))</f>
        <v/>
      </c>
      <c r="L29" s="13"/>
      <c r="M29" s="13"/>
      <c r="N29" s="13"/>
      <c r="O29" s="13"/>
      <c r="P29" s="152"/>
      <c r="Q29" s="149"/>
      <c r="R29" s="152"/>
      <c r="S29" s="152"/>
      <c r="T29" s="62" t="str">
        <f aca="false">IF(OR($C29="",R29=""),"",IF(R29/IF($R$2="",100,$R$2)&gt;=設定!$I$28,設定!$G$8,IF(R29/IF($R$2="",100,$R$2)&lt;設定!$I$29,設定!$G$10,設定!$G$9)))</f>
        <v/>
      </c>
      <c r="U29" s="62" t="str">
        <f aca="false">IF(OR($C29="",S29=""),"",IF(S29/IF($S$2="",100,$S$2)&gt;=設定!$I$28,設定!$G$8,IF(S29/IF($S$2="",100,$S$2)&lt;設定!$I$29,設定!$G$10,設定!$G$9)))</f>
        <v/>
      </c>
    </row>
    <row r="30" customFormat="false" ht="21" hidden="false" customHeight="true" outlineLevel="0" collapsed="false">
      <c r="A30" s="91" t="str">
        <f aca="false">IF(名簿!$D30="","",名簿!$B30&amp;"")</f>
        <v/>
      </c>
      <c r="B30" s="91" t="str">
        <f aca="false">IF(名簿!$D30="","",名簿!$C30)</f>
        <v/>
      </c>
      <c r="C30" s="59" t="str">
        <f aca="false">IF(名簿!$D30="","",名簿!$D30&amp;IF(名簿!$F30="転出","（転出）",""))</f>
        <v/>
      </c>
      <c r="D30" s="149"/>
      <c r="E30" s="61" t="str">
        <f aca="false">IF(OR($C30="",名簿!$F30="転出"),"",IF($C$2="学級ごと",$A30,IF($C$2="前の単元と同じ",単元09!$E30&amp;"",$D30&amp;"")))</f>
        <v/>
      </c>
      <c r="F30" s="150"/>
      <c r="G30" s="150"/>
      <c r="H30" s="150"/>
      <c r="I30" s="151"/>
      <c r="J30" s="41" t="str">
        <f aca="false">IF($E30="","",$E30&amp;"|"&amp;COUNTIF($E$5:$E30,$E30))</f>
        <v/>
      </c>
      <c r="K30" s="40" t="str">
        <f aca="false">IF($I30="","",LEN($I30))</f>
        <v/>
      </c>
      <c r="L30" s="13"/>
      <c r="M30" s="13"/>
      <c r="N30" s="13"/>
      <c r="O30" s="13"/>
      <c r="P30" s="152"/>
      <c r="Q30" s="149"/>
      <c r="R30" s="152"/>
      <c r="S30" s="152"/>
      <c r="T30" s="62" t="str">
        <f aca="false">IF(OR($C30="",R30=""),"",IF(R30/IF($R$2="",100,$R$2)&gt;=設定!$I$28,設定!$G$8,IF(R30/IF($R$2="",100,$R$2)&lt;設定!$I$29,設定!$G$10,設定!$G$9)))</f>
        <v/>
      </c>
      <c r="U30" s="62" t="str">
        <f aca="false">IF(OR($C30="",S30=""),"",IF(S30/IF($S$2="",100,$S$2)&gt;=設定!$I$28,設定!$G$8,IF(S30/IF($S$2="",100,$S$2)&lt;設定!$I$29,設定!$G$10,設定!$G$9)))</f>
        <v/>
      </c>
    </row>
    <row r="31" customFormat="false" ht="21" hidden="false" customHeight="true" outlineLevel="0" collapsed="false">
      <c r="A31" s="91" t="str">
        <f aca="false">IF(名簿!$D31="","",名簿!$B31&amp;"")</f>
        <v/>
      </c>
      <c r="B31" s="91" t="str">
        <f aca="false">IF(名簿!$D31="","",名簿!$C31)</f>
        <v/>
      </c>
      <c r="C31" s="59" t="str">
        <f aca="false">IF(名簿!$D31="","",名簿!$D31&amp;IF(名簿!$F31="転出","（転出）",""))</f>
        <v/>
      </c>
      <c r="D31" s="149"/>
      <c r="E31" s="61" t="str">
        <f aca="false">IF(OR($C31="",名簿!$F31="転出"),"",IF($C$2="学級ごと",$A31,IF($C$2="前の単元と同じ",単元09!$E31&amp;"",$D31&amp;"")))</f>
        <v/>
      </c>
      <c r="F31" s="150"/>
      <c r="G31" s="150"/>
      <c r="H31" s="150"/>
      <c r="I31" s="151"/>
      <c r="J31" s="41" t="str">
        <f aca="false">IF($E31="","",$E31&amp;"|"&amp;COUNTIF($E$5:$E31,$E31))</f>
        <v/>
      </c>
      <c r="K31" s="40" t="str">
        <f aca="false">IF($I31="","",LEN($I31))</f>
        <v/>
      </c>
      <c r="L31" s="13"/>
      <c r="M31" s="13"/>
      <c r="N31" s="13"/>
      <c r="O31" s="13"/>
      <c r="P31" s="152"/>
      <c r="Q31" s="149"/>
      <c r="R31" s="152"/>
      <c r="S31" s="152"/>
      <c r="T31" s="62" t="str">
        <f aca="false">IF(OR($C31="",R31=""),"",IF(R31/IF($R$2="",100,$R$2)&gt;=設定!$I$28,設定!$G$8,IF(R31/IF($R$2="",100,$R$2)&lt;設定!$I$29,設定!$G$10,設定!$G$9)))</f>
        <v/>
      </c>
      <c r="U31" s="62" t="str">
        <f aca="false">IF(OR($C31="",S31=""),"",IF(S31/IF($S$2="",100,$S$2)&gt;=設定!$I$28,設定!$G$8,IF(S31/IF($S$2="",100,$S$2)&lt;設定!$I$29,設定!$G$10,設定!$G$9)))</f>
        <v/>
      </c>
    </row>
    <row r="32" customFormat="false" ht="21" hidden="false" customHeight="true" outlineLevel="0" collapsed="false">
      <c r="A32" s="91" t="str">
        <f aca="false">IF(名簿!$D32="","",名簿!$B32&amp;"")</f>
        <v/>
      </c>
      <c r="B32" s="91" t="str">
        <f aca="false">IF(名簿!$D32="","",名簿!$C32)</f>
        <v/>
      </c>
      <c r="C32" s="59" t="str">
        <f aca="false">IF(名簿!$D32="","",名簿!$D32&amp;IF(名簿!$F32="転出","（転出）",""))</f>
        <v/>
      </c>
      <c r="D32" s="149"/>
      <c r="E32" s="61" t="str">
        <f aca="false">IF(OR($C32="",名簿!$F32="転出"),"",IF($C$2="学級ごと",$A32,IF($C$2="前の単元と同じ",単元09!$E32&amp;"",$D32&amp;"")))</f>
        <v/>
      </c>
      <c r="F32" s="150"/>
      <c r="G32" s="150"/>
      <c r="H32" s="150"/>
      <c r="I32" s="151"/>
      <c r="J32" s="41" t="str">
        <f aca="false">IF($E32="","",$E32&amp;"|"&amp;COUNTIF($E$5:$E32,$E32))</f>
        <v/>
      </c>
      <c r="K32" s="40" t="str">
        <f aca="false">IF($I32="","",LEN($I32))</f>
        <v/>
      </c>
      <c r="L32" s="13"/>
      <c r="M32" s="13"/>
      <c r="N32" s="13"/>
      <c r="O32" s="13"/>
      <c r="P32" s="152"/>
      <c r="Q32" s="149"/>
      <c r="R32" s="152"/>
      <c r="S32" s="152"/>
      <c r="T32" s="62" t="str">
        <f aca="false">IF(OR($C32="",R32=""),"",IF(R32/IF($R$2="",100,$R$2)&gt;=設定!$I$28,設定!$G$8,IF(R32/IF($R$2="",100,$R$2)&lt;設定!$I$29,設定!$G$10,設定!$G$9)))</f>
        <v/>
      </c>
      <c r="U32" s="62" t="str">
        <f aca="false">IF(OR($C32="",S32=""),"",IF(S32/IF($S$2="",100,$S$2)&gt;=設定!$I$28,設定!$G$8,IF(S32/IF($S$2="",100,$S$2)&lt;設定!$I$29,設定!$G$10,設定!$G$9)))</f>
        <v/>
      </c>
    </row>
    <row r="33" customFormat="false" ht="21" hidden="false" customHeight="true" outlineLevel="0" collapsed="false">
      <c r="A33" s="91" t="str">
        <f aca="false">IF(名簿!$D33="","",名簿!$B33&amp;"")</f>
        <v/>
      </c>
      <c r="B33" s="91" t="str">
        <f aca="false">IF(名簿!$D33="","",名簿!$C33)</f>
        <v/>
      </c>
      <c r="C33" s="59" t="str">
        <f aca="false">IF(名簿!$D33="","",名簿!$D33&amp;IF(名簿!$F33="転出","（転出）",""))</f>
        <v/>
      </c>
      <c r="D33" s="149"/>
      <c r="E33" s="61" t="str">
        <f aca="false">IF(OR($C33="",名簿!$F33="転出"),"",IF($C$2="学級ごと",$A33,IF($C$2="前の単元と同じ",単元09!$E33&amp;"",$D33&amp;"")))</f>
        <v/>
      </c>
      <c r="F33" s="150"/>
      <c r="G33" s="150"/>
      <c r="H33" s="150"/>
      <c r="I33" s="151"/>
      <c r="J33" s="41" t="str">
        <f aca="false">IF($E33="","",$E33&amp;"|"&amp;COUNTIF($E$5:$E33,$E33))</f>
        <v/>
      </c>
      <c r="K33" s="40" t="str">
        <f aca="false">IF($I33="","",LEN($I33))</f>
        <v/>
      </c>
      <c r="L33" s="13"/>
      <c r="M33" s="13"/>
      <c r="N33" s="13"/>
      <c r="O33" s="13"/>
      <c r="P33" s="152"/>
      <c r="Q33" s="149"/>
      <c r="R33" s="152"/>
      <c r="S33" s="152"/>
      <c r="T33" s="62" t="str">
        <f aca="false">IF(OR($C33="",R33=""),"",IF(R33/IF($R$2="",100,$R$2)&gt;=設定!$I$28,設定!$G$8,IF(R33/IF($R$2="",100,$R$2)&lt;設定!$I$29,設定!$G$10,設定!$G$9)))</f>
        <v/>
      </c>
      <c r="U33" s="62" t="str">
        <f aca="false">IF(OR($C33="",S33=""),"",IF(S33/IF($S$2="",100,$S$2)&gt;=設定!$I$28,設定!$G$8,IF(S33/IF($S$2="",100,$S$2)&lt;設定!$I$29,設定!$G$10,設定!$G$9)))</f>
        <v/>
      </c>
    </row>
    <row r="34" customFormat="false" ht="21" hidden="false" customHeight="true" outlineLevel="0" collapsed="false">
      <c r="A34" s="91" t="str">
        <f aca="false">IF(名簿!$D34="","",名簿!$B34&amp;"")</f>
        <v/>
      </c>
      <c r="B34" s="91" t="str">
        <f aca="false">IF(名簿!$D34="","",名簿!$C34)</f>
        <v/>
      </c>
      <c r="C34" s="59" t="str">
        <f aca="false">IF(名簿!$D34="","",名簿!$D34&amp;IF(名簿!$F34="転出","（転出）",""))</f>
        <v/>
      </c>
      <c r="D34" s="149"/>
      <c r="E34" s="61" t="str">
        <f aca="false">IF(OR($C34="",名簿!$F34="転出"),"",IF($C$2="学級ごと",$A34,IF($C$2="前の単元と同じ",単元09!$E34&amp;"",$D34&amp;"")))</f>
        <v/>
      </c>
      <c r="F34" s="150"/>
      <c r="G34" s="150"/>
      <c r="H34" s="150"/>
      <c r="I34" s="151"/>
      <c r="J34" s="41" t="str">
        <f aca="false">IF($E34="","",$E34&amp;"|"&amp;COUNTIF($E$5:$E34,$E34))</f>
        <v/>
      </c>
      <c r="K34" s="40" t="str">
        <f aca="false">IF($I34="","",LEN($I34))</f>
        <v/>
      </c>
      <c r="L34" s="13"/>
      <c r="M34" s="13"/>
      <c r="N34" s="13"/>
      <c r="O34" s="13"/>
      <c r="P34" s="152"/>
      <c r="Q34" s="149"/>
      <c r="R34" s="152"/>
      <c r="S34" s="152"/>
      <c r="T34" s="62" t="str">
        <f aca="false">IF(OR($C34="",R34=""),"",IF(R34/IF($R$2="",100,$R$2)&gt;=設定!$I$28,設定!$G$8,IF(R34/IF($R$2="",100,$R$2)&lt;設定!$I$29,設定!$G$10,設定!$G$9)))</f>
        <v/>
      </c>
      <c r="U34" s="62" t="str">
        <f aca="false">IF(OR($C34="",S34=""),"",IF(S34/IF($S$2="",100,$S$2)&gt;=設定!$I$28,設定!$G$8,IF(S34/IF($S$2="",100,$S$2)&lt;設定!$I$29,設定!$G$10,設定!$G$9)))</f>
        <v/>
      </c>
    </row>
    <row r="35" customFormat="false" ht="21" hidden="false" customHeight="true" outlineLevel="0" collapsed="false">
      <c r="A35" s="91" t="str">
        <f aca="false">IF(名簿!$D35="","",名簿!$B35&amp;"")</f>
        <v/>
      </c>
      <c r="B35" s="91" t="str">
        <f aca="false">IF(名簿!$D35="","",名簿!$C35)</f>
        <v/>
      </c>
      <c r="C35" s="59" t="str">
        <f aca="false">IF(名簿!$D35="","",名簿!$D35&amp;IF(名簿!$F35="転出","（転出）",""))</f>
        <v/>
      </c>
      <c r="D35" s="149"/>
      <c r="E35" s="61" t="str">
        <f aca="false">IF(OR($C35="",名簿!$F35="転出"),"",IF($C$2="学級ごと",$A35,IF($C$2="前の単元と同じ",単元09!$E35&amp;"",$D35&amp;"")))</f>
        <v/>
      </c>
      <c r="F35" s="150"/>
      <c r="G35" s="150"/>
      <c r="H35" s="150"/>
      <c r="I35" s="151"/>
      <c r="J35" s="41" t="str">
        <f aca="false">IF($E35="","",$E35&amp;"|"&amp;COUNTIF($E$5:$E35,$E35))</f>
        <v/>
      </c>
      <c r="K35" s="40" t="str">
        <f aca="false">IF($I35="","",LEN($I35))</f>
        <v/>
      </c>
      <c r="L35" s="13"/>
      <c r="M35" s="13"/>
      <c r="N35" s="13"/>
      <c r="O35" s="13"/>
      <c r="P35" s="152"/>
      <c r="Q35" s="149"/>
      <c r="R35" s="152"/>
      <c r="S35" s="152"/>
      <c r="T35" s="62" t="str">
        <f aca="false">IF(OR($C35="",R35=""),"",IF(R35/IF($R$2="",100,$R$2)&gt;=設定!$I$28,設定!$G$8,IF(R35/IF($R$2="",100,$R$2)&lt;設定!$I$29,設定!$G$10,設定!$G$9)))</f>
        <v/>
      </c>
      <c r="U35" s="62" t="str">
        <f aca="false">IF(OR($C35="",S35=""),"",IF(S35/IF($S$2="",100,$S$2)&gt;=設定!$I$28,設定!$G$8,IF(S35/IF($S$2="",100,$S$2)&lt;設定!$I$29,設定!$G$10,設定!$G$9)))</f>
        <v/>
      </c>
    </row>
    <row r="36" customFormat="false" ht="21" hidden="false" customHeight="true" outlineLevel="0" collapsed="false">
      <c r="A36" s="91" t="str">
        <f aca="false">IF(名簿!$D36="","",名簿!$B36&amp;"")</f>
        <v/>
      </c>
      <c r="B36" s="91" t="str">
        <f aca="false">IF(名簿!$D36="","",名簿!$C36)</f>
        <v/>
      </c>
      <c r="C36" s="59" t="str">
        <f aca="false">IF(名簿!$D36="","",名簿!$D36&amp;IF(名簿!$F36="転出","（転出）",""))</f>
        <v/>
      </c>
      <c r="D36" s="149"/>
      <c r="E36" s="61" t="str">
        <f aca="false">IF(OR($C36="",名簿!$F36="転出"),"",IF($C$2="学級ごと",$A36,IF($C$2="前の単元と同じ",単元09!$E36&amp;"",$D36&amp;"")))</f>
        <v/>
      </c>
      <c r="F36" s="150"/>
      <c r="G36" s="150"/>
      <c r="H36" s="150"/>
      <c r="I36" s="151"/>
      <c r="J36" s="41" t="str">
        <f aca="false">IF($E36="","",$E36&amp;"|"&amp;COUNTIF($E$5:$E36,$E36))</f>
        <v/>
      </c>
      <c r="K36" s="40" t="str">
        <f aca="false">IF($I36="","",LEN($I36))</f>
        <v/>
      </c>
      <c r="L36" s="13"/>
      <c r="M36" s="13"/>
      <c r="N36" s="13"/>
      <c r="O36" s="13"/>
      <c r="P36" s="152"/>
      <c r="Q36" s="149"/>
      <c r="R36" s="152"/>
      <c r="S36" s="152"/>
      <c r="T36" s="62" t="str">
        <f aca="false">IF(OR($C36="",R36=""),"",IF(R36/IF($R$2="",100,$R$2)&gt;=設定!$I$28,設定!$G$8,IF(R36/IF($R$2="",100,$R$2)&lt;設定!$I$29,設定!$G$10,設定!$G$9)))</f>
        <v/>
      </c>
      <c r="U36" s="62" t="str">
        <f aca="false">IF(OR($C36="",S36=""),"",IF(S36/IF($S$2="",100,$S$2)&gt;=設定!$I$28,設定!$G$8,IF(S36/IF($S$2="",100,$S$2)&lt;設定!$I$29,設定!$G$10,設定!$G$9)))</f>
        <v/>
      </c>
    </row>
    <row r="37" customFormat="false" ht="21" hidden="false" customHeight="true" outlineLevel="0" collapsed="false">
      <c r="A37" s="91" t="str">
        <f aca="false">IF(名簿!$D37="","",名簿!$B37&amp;"")</f>
        <v/>
      </c>
      <c r="B37" s="91" t="str">
        <f aca="false">IF(名簿!$D37="","",名簿!$C37)</f>
        <v/>
      </c>
      <c r="C37" s="59" t="str">
        <f aca="false">IF(名簿!$D37="","",名簿!$D37&amp;IF(名簿!$F37="転出","（転出）",""))</f>
        <v/>
      </c>
      <c r="D37" s="149"/>
      <c r="E37" s="61" t="str">
        <f aca="false">IF(OR($C37="",名簿!$F37="転出"),"",IF($C$2="学級ごと",$A37,IF($C$2="前の単元と同じ",単元09!$E37&amp;"",$D37&amp;"")))</f>
        <v/>
      </c>
      <c r="F37" s="150"/>
      <c r="G37" s="150"/>
      <c r="H37" s="150"/>
      <c r="I37" s="151"/>
      <c r="J37" s="41" t="str">
        <f aca="false">IF($E37="","",$E37&amp;"|"&amp;COUNTIF($E$5:$E37,$E37))</f>
        <v/>
      </c>
      <c r="K37" s="40" t="str">
        <f aca="false">IF($I37="","",LEN($I37))</f>
        <v/>
      </c>
      <c r="L37" s="13"/>
      <c r="M37" s="13"/>
      <c r="N37" s="13"/>
      <c r="O37" s="13"/>
      <c r="P37" s="152"/>
      <c r="Q37" s="149"/>
      <c r="R37" s="152"/>
      <c r="S37" s="152"/>
      <c r="T37" s="62" t="str">
        <f aca="false">IF(OR($C37="",R37=""),"",IF(R37/IF($R$2="",100,$R$2)&gt;=設定!$I$28,設定!$G$8,IF(R37/IF($R$2="",100,$R$2)&lt;設定!$I$29,設定!$G$10,設定!$G$9)))</f>
        <v/>
      </c>
      <c r="U37" s="62" t="str">
        <f aca="false">IF(OR($C37="",S37=""),"",IF(S37/IF($S$2="",100,$S$2)&gt;=設定!$I$28,設定!$G$8,IF(S37/IF($S$2="",100,$S$2)&lt;設定!$I$29,設定!$G$10,設定!$G$9)))</f>
        <v/>
      </c>
    </row>
    <row r="38" customFormat="false" ht="21" hidden="false" customHeight="true" outlineLevel="0" collapsed="false">
      <c r="A38" s="91" t="str">
        <f aca="false">IF(名簿!$D38="","",名簿!$B38&amp;"")</f>
        <v/>
      </c>
      <c r="B38" s="91" t="str">
        <f aca="false">IF(名簿!$D38="","",名簿!$C38)</f>
        <v/>
      </c>
      <c r="C38" s="59" t="str">
        <f aca="false">IF(名簿!$D38="","",名簿!$D38&amp;IF(名簿!$F38="転出","（転出）",""))</f>
        <v/>
      </c>
      <c r="D38" s="149"/>
      <c r="E38" s="61" t="str">
        <f aca="false">IF(OR($C38="",名簿!$F38="転出"),"",IF($C$2="学級ごと",$A38,IF($C$2="前の単元と同じ",単元09!$E38&amp;"",$D38&amp;"")))</f>
        <v/>
      </c>
      <c r="F38" s="150"/>
      <c r="G38" s="150"/>
      <c r="H38" s="150"/>
      <c r="I38" s="151"/>
      <c r="J38" s="41" t="str">
        <f aca="false">IF($E38="","",$E38&amp;"|"&amp;COUNTIF($E$5:$E38,$E38))</f>
        <v/>
      </c>
      <c r="K38" s="40" t="str">
        <f aca="false">IF($I38="","",LEN($I38))</f>
        <v/>
      </c>
      <c r="L38" s="13"/>
      <c r="M38" s="13"/>
      <c r="N38" s="13"/>
      <c r="O38" s="13"/>
      <c r="P38" s="152"/>
      <c r="Q38" s="149"/>
      <c r="R38" s="152"/>
      <c r="S38" s="152"/>
      <c r="T38" s="62" t="str">
        <f aca="false">IF(OR($C38="",R38=""),"",IF(R38/IF($R$2="",100,$R$2)&gt;=設定!$I$28,設定!$G$8,IF(R38/IF($R$2="",100,$R$2)&lt;設定!$I$29,設定!$G$10,設定!$G$9)))</f>
        <v/>
      </c>
      <c r="U38" s="62" t="str">
        <f aca="false">IF(OR($C38="",S38=""),"",IF(S38/IF($S$2="",100,$S$2)&gt;=設定!$I$28,設定!$G$8,IF(S38/IF($S$2="",100,$S$2)&lt;設定!$I$29,設定!$G$10,設定!$G$9)))</f>
        <v/>
      </c>
    </row>
    <row r="39" customFormat="false" ht="21" hidden="false" customHeight="true" outlineLevel="0" collapsed="false">
      <c r="A39" s="91" t="str">
        <f aca="false">IF(名簿!$D39="","",名簿!$B39&amp;"")</f>
        <v/>
      </c>
      <c r="B39" s="91" t="str">
        <f aca="false">IF(名簿!$D39="","",名簿!$C39)</f>
        <v/>
      </c>
      <c r="C39" s="59" t="str">
        <f aca="false">IF(名簿!$D39="","",名簿!$D39&amp;IF(名簿!$F39="転出","（転出）",""))</f>
        <v/>
      </c>
      <c r="D39" s="149"/>
      <c r="E39" s="61" t="str">
        <f aca="false">IF(OR($C39="",名簿!$F39="転出"),"",IF($C$2="学級ごと",$A39,IF($C$2="前の単元と同じ",単元09!$E39&amp;"",$D39&amp;"")))</f>
        <v/>
      </c>
      <c r="F39" s="150"/>
      <c r="G39" s="150"/>
      <c r="H39" s="150"/>
      <c r="I39" s="151"/>
      <c r="J39" s="41" t="str">
        <f aca="false">IF($E39="","",$E39&amp;"|"&amp;COUNTIF($E$5:$E39,$E39))</f>
        <v/>
      </c>
      <c r="K39" s="40" t="str">
        <f aca="false">IF($I39="","",LEN($I39))</f>
        <v/>
      </c>
      <c r="L39" s="13"/>
      <c r="M39" s="13"/>
      <c r="N39" s="13"/>
      <c r="O39" s="13"/>
      <c r="P39" s="152"/>
      <c r="Q39" s="149"/>
      <c r="R39" s="152"/>
      <c r="S39" s="152"/>
      <c r="T39" s="62" t="str">
        <f aca="false">IF(OR($C39="",R39=""),"",IF(R39/IF($R$2="",100,$R$2)&gt;=設定!$I$28,設定!$G$8,IF(R39/IF($R$2="",100,$R$2)&lt;設定!$I$29,設定!$G$10,設定!$G$9)))</f>
        <v/>
      </c>
      <c r="U39" s="62" t="str">
        <f aca="false">IF(OR($C39="",S39=""),"",IF(S39/IF($S$2="",100,$S$2)&gt;=設定!$I$28,設定!$G$8,IF(S39/IF($S$2="",100,$S$2)&lt;設定!$I$29,設定!$G$10,設定!$G$9)))</f>
        <v/>
      </c>
    </row>
    <row r="40" customFormat="false" ht="21" hidden="false" customHeight="true" outlineLevel="0" collapsed="false">
      <c r="A40" s="91" t="str">
        <f aca="false">IF(名簿!$D40="","",名簿!$B40&amp;"")</f>
        <v/>
      </c>
      <c r="B40" s="91" t="str">
        <f aca="false">IF(名簿!$D40="","",名簿!$C40)</f>
        <v/>
      </c>
      <c r="C40" s="59" t="str">
        <f aca="false">IF(名簿!$D40="","",名簿!$D40&amp;IF(名簿!$F40="転出","（転出）",""))</f>
        <v/>
      </c>
      <c r="D40" s="149"/>
      <c r="E40" s="61" t="str">
        <f aca="false">IF(OR($C40="",名簿!$F40="転出"),"",IF($C$2="学級ごと",$A40,IF($C$2="前の単元と同じ",単元09!$E40&amp;"",$D40&amp;"")))</f>
        <v/>
      </c>
      <c r="F40" s="150"/>
      <c r="G40" s="150"/>
      <c r="H40" s="150"/>
      <c r="I40" s="151"/>
      <c r="J40" s="41" t="str">
        <f aca="false">IF($E40="","",$E40&amp;"|"&amp;COUNTIF($E$5:$E40,$E40))</f>
        <v/>
      </c>
      <c r="K40" s="40" t="str">
        <f aca="false">IF($I40="","",LEN($I40))</f>
        <v/>
      </c>
      <c r="L40" s="13"/>
      <c r="M40" s="13"/>
      <c r="N40" s="13"/>
      <c r="O40" s="13"/>
      <c r="P40" s="152"/>
      <c r="Q40" s="149"/>
      <c r="R40" s="152"/>
      <c r="S40" s="152"/>
      <c r="T40" s="62" t="str">
        <f aca="false">IF(OR($C40="",R40=""),"",IF(R40/IF($R$2="",100,$R$2)&gt;=設定!$I$28,設定!$G$8,IF(R40/IF($R$2="",100,$R$2)&lt;設定!$I$29,設定!$G$10,設定!$G$9)))</f>
        <v/>
      </c>
      <c r="U40" s="62" t="str">
        <f aca="false">IF(OR($C40="",S40=""),"",IF(S40/IF($S$2="",100,$S$2)&gt;=設定!$I$28,設定!$G$8,IF(S40/IF($S$2="",100,$S$2)&lt;設定!$I$29,設定!$G$10,設定!$G$9)))</f>
        <v/>
      </c>
    </row>
    <row r="41" customFormat="false" ht="21" hidden="false" customHeight="true" outlineLevel="0" collapsed="false">
      <c r="A41" s="91" t="str">
        <f aca="false">IF(名簿!$D41="","",名簿!$B41&amp;"")</f>
        <v/>
      </c>
      <c r="B41" s="91" t="str">
        <f aca="false">IF(名簿!$D41="","",名簿!$C41)</f>
        <v/>
      </c>
      <c r="C41" s="59" t="str">
        <f aca="false">IF(名簿!$D41="","",名簿!$D41&amp;IF(名簿!$F41="転出","（転出）",""))</f>
        <v/>
      </c>
      <c r="D41" s="149"/>
      <c r="E41" s="61" t="str">
        <f aca="false">IF(OR($C41="",名簿!$F41="転出"),"",IF($C$2="学級ごと",$A41,IF($C$2="前の単元と同じ",単元09!$E41&amp;"",$D41&amp;"")))</f>
        <v/>
      </c>
      <c r="F41" s="150"/>
      <c r="G41" s="150"/>
      <c r="H41" s="150"/>
      <c r="I41" s="151"/>
      <c r="J41" s="41" t="str">
        <f aca="false">IF($E41="","",$E41&amp;"|"&amp;COUNTIF($E$5:$E41,$E41))</f>
        <v/>
      </c>
      <c r="K41" s="40" t="str">
        <f aca="false">IF($I41="","",LEN($I41))</f>
        <v/>
      </c>
      <c r="L41" s="13"/>
      <c r="M41" s="13"/>
      <c r="N41" s="13"/>
      <c r="O41" s="13"/>
      <c r="P41" s="152"/>
      <c r="Q41" s="149"/>
      <c r="R41" s="152"/>
      <c r="S41" s="152"/>
      <c r="T41" s="62" t="str">
        <f aca="false">IF(OR($C41="",R41=""),"",IF(R41/IF($R$2="",100,$R$2)&gt;=設定!$I$28,設定!$G$8,IF(R41/IF($R$2="",100,$R$2)&lt;設定!$I$29,設定!$G$10,設定!$G$9)))</f>
        <v/>
      </c>
      <c r="U41" s="62" t="str">
        <f aca="false">IF(OR($C41="",S41=""),"",IF(S41/IF($S$2="",100,$S$2)&gt;=設定!$I$28,設定!$G$8,IF(S41/IF($S$2="",100,$S$2)&lt;設定!$I$29,設定!$G$10,設定!$G$9)))</f>
        <v/>
      </c>
    </row>
    <row r="42" customFormat="false" ht="21" hidden="false" customHeight="true" outlineLevel="0" collapsed="false">
      <c r="A42" s="91" t="str">
        <f aca="false">IF(名簿!$D42="","",名簿!$B42&amp;"")</f>
        <v/>
      </c>
      <c r="B42" s="91" t="str">
        <f aca="false">IF(名簿!$D42="","",名簿!$C42)</f>
        <v/>
      </c>
      <c r="C42" s="59" t="str">
        <f aca="false">IF(名簿!$D42="","",名簿!$D42&amp;IF(名簿!$F42="転出","（転出）",""))</f>
        <v/>
      </c>
      <c r="D42" s="149"/>
      <c r="E42" s="61" t="str">
        <f aca="false">IF(OR($C42="",名簿!$F42="転出"),"",IF($C$2="学級ごと",$A42,IF($C$2="前の単元と同じ",単元09!$E42&amp;"",$D42&amp;"")))</f>
        <v/>
      </c>
      <c r="F42" s="150"/>
      <c r="G42" s="150"/>
      <c r="H42" s="150"/>
      <c r="I42" s="151"/>
      <c r="J42" s="41" t="str">
        <f aca="false">IF($E42="","",$E42&amp;"|"&amp;COUNTIF($E$5:$E42,$E42))</f>
        <v/>
      </c>
      <c r="K42" s="40" t="str">
        <f aca="false">IF($I42="","",LEN($I42))</f>
        <v/>
      </c>
      <c r="L42" s="13"/>
      <c r="M42" s="13"/>
      <c r="N42" s="13"/>
      <c r="O42" s="13"/>
      <c r="P42" s="152"/>
      <c r="Q42" s="149"/>
      <c r="R42" s="152"/>
      <c r="S42" s="152"/>
      <c r="T42" s="62" t="str">
        <f aca="false">IF(OR($C42="",R42=""),"",IF(R42/IF($R$2="",100,$R$2)&gt;=設定!$I$28,設定!$G$8,IF(R42/IF($R$2="",100,$R$2)&lt;設定!$I$29,設定!$G$10,設定!$G$9)))</f>
        <v/>
      </c>
      <c r="U42" s="62" t="str">
        <f aca="false">IF(OR($C42="",S42=""),"",IF(S42/IF($S$2="",100,$S$2)&gt;=設定!$I$28,設定!$G$8,IF(S42/IF($S$2="",100,$S$2)&lt;設定!$I$29,設定!$G$10,設定!$G$9)))</f>
        <v/>
      </c>
    </row>
    <row r="43" customFormat="false" ht="21" hidden="false" customHeight="true" outlineLevel="0" collapsed="false">
      <c r="A43" s="91" t="str">
        <f aca="false">IF(名簿!$D43="","",名簿!$B43&amp;"")</f>
        <v/>
      </c>
      <c r="B43" s="91" t="str">
        <f aca="false">IF(名簿!$D43="","",名簿!$C43)</f>
        <v/>
      </c>
      <c r="C43" s="59" t="str">
        <f aca="false">IF(名簿!$D43="","",名簿!$D43&amp;IF(名簿!$F43="転出","（転出）",""))</f>
        <v/>
      </c>
      <c r="D43" s="149"/>
      <c r="E43" s="61" t="str">
        <f aca="false">IF(OR($C43="",名簿!$F43="転出"),"",IF($C$2="学級ごと",$A43,IF($C$2="前の単元と同じ",単元09!$E43&amp;"",$D43&amp;"")))</f>
        <v/>
      </c>
      <c r="F43" s="150"/>
      <c r="G43" s="150"/>
      <c r="H43" s="150"/>
      <c r="I43" s="151"/>
      <c r="J43" s="41" t="str">
        <f aca="false">IF($E43="","",$E43&amp;"|"&amp;COUNTIF($E$5:$E43,$E43))</f>
        <v/>
      </c>
      <c r="K43" s="40" t="str">
        <f aca="false">IF($I43="","",LEN($I43))</f>
        <v/>
      </c>
      <c r="L43" s="13"/>
      <c r="M43" s="13"/>
      <c r="N43" s="13"/>
      <c r="O43" s="13"/>
      <c r="P43" s="152"/>
      <c r="Q43" s="149"/>
      <c r="R43" s="152"/>
      <c r="S43" s="152"/>
      <c r="T43" s="62" t="str">
        <f aca="false">IF(OR($C43="",R43=""),"",IF(R43/IF($R$2="",100,$R$2)&gt;=設定!$I$28,設定!$G$8,IF(R43/IF($R$2="",100,$R$2)&lt;設定!$I$29,設定!$G$10,設定!$G$9)))</f>
        <v/>
      </c>
      <c r="U43" s="62" t="str">
        <f aca="false">IF(OR($C43="",S43=""),"",IF(S43/IF($S$2="",100,$S$2)&gt;=設定!$I$28,設定!$G$8,IF(S43/IF($S$2="",100,$S$2)&lt;設定!$I$29,設定!$G$10,設定!$G$9)))</f>
        <v/>
      </c>
    </row>
    <row r="44" customFormat="false" ht="21" hidden="false" customHeight="true" outlineLevel="0" collapsed="false">
      <c r="A44" s="91" t="str">
        <f aca="false">IF(名簿!$D44="","",名簿!$B44&amp;"")</f>
        <v/>
      </c>
      <c r="B44" s="91" t="str">
        <f aca="false">IF(名簿!$D44="","",名簿!$C44)</f>
        <v/>
      </c>
      <c r="C44" s="59" t="str">
        <f aca="false">IF(名簿!$D44="","",名簿!$D44&amp;IF(名簿!$F44="転出","（転出）",""))</f>
        <v/>
      </c>
      <c r="D44" s="149"/>
      <c r="E44" s="61" t="str">
        <f aca="false">IF(OR($C44="",名簿!$F44="転出"),"",IF($C$2="学級ごと",$A44,IF($C$2="前の単元と同じ",単元09!$E44&amp;"",$D44&amp;"")))</f>
        <v/>
      </c>
      <c r="F44" s="150"/>
      <c r="G44" s="150"/>
      <c r="H44" s="150"/>
      <c r="I44" s="151"/>
      <c r="J44" s="41" t="str">
        <f aca="false">IF($E44="","",$E44&amp;"|"&amp;COUNTIF($E$5:$E44,$E44))</f>
        <v/>
      </c>
      <c r="K44" s="40" t="str">
        <f aca="false">IF($I44="","",LEN($I44))</f>
        <v/>
      </c>
      <c r="L44" s="13"/>
      <c r="M44" s="13"/>
      <c r="N44" s="13"/>
      <c r="O44" s="13"/>
      <c r="P44" s="152"/>
      <c r="Q44" s="149"/>
      <c r="R44" s="152"/>
      <c r="S44" s="152"/>
      <c r="T44" s="62" t="str">
        <f aca="false">IF(OR($C44="",R44=""),"",IF(R44/IF($R$2="",100,$R$2)&gt;=設定!$I$28,設定!$G$8,IF(R44/IF($R$2="",100,$R$2)&lt;設定!$I$29,設定!$G$10,設定!$G$9)))</f>
        <v/>
      </c>
      <c r="U44" s="62" t="str">
        <f aca="false">IF(OR($C44="",S44=""),"",IF(S44/IF($S$2="",100,$S$2)&gt;=設定!$I$28,設定!$G$8,IF(S44/IF($S$2="",100,$S$2)&lt;設定!$I$29,設定!$G$10,設定!$G$9)))</f>
        <v/>
      </c>
    </row>
    <row r="45" customFormat="false" ht="21" hidden="false" customHeight="true" outlineLevel="0" collapsed="false">
      <c r="A45" s="91" t="str">
        <f aca="false">IF(名簿!$D45="","",名簿!$B45&amp;"")</f>
        <v/>
      </c>
      <c r="B45" s="91" t="str">
        <f aca="false">IF(名簿!$D45="","",名簿!$C45)</f>
        <v/>
      </c>
      <c r="C45" s="59" t="str">
        <f aca="false">IF(名簿!$D45="","",名簿!$D45&amp;IF(名簿!$F45="転出","（転出）",""))</f>
        <v/>
      </c>
      <c r="D45" s="149"/>
      <c r="E45" s="61" t="str">
        <f aca="false">IF(OR($C45="",名簿!$F45="転出"),"",IF($C$2="学級ごと",$A45,IF($C$2="前の単元と同じ",単元09!$E45&amp;"",$D45&amp;"")))</f>
        <v/>
      </c>
      <c r="F45" s="150"/>
      <c r="G45" s="150"/>
      <c r="H45" s="150"/>
      <c r="I45" s="151"/>
      <c r="J45" s="41" t="str">
        <f aca="false">IF($E45="","",$E45&amp;"|"&amp;COUNTIF($E$5:$E45,$E45))</f>
        <v/>
      </c>
      <c r="K45" s="40" t="str">
        <f aca="false">IF($I45="","",LEN($I45))</f>
        <v/>
      </c>
      <c r="L45" s="13"/>
      <c r="M45" s="13"/>
      <c r="N45" s="13"/>
      <c r="O45" s="13"/>
      <c r="P45" s="152"/>
      <c r="Q45" s="149"/>
      <c r="R45" s="152"/>
      <c r="S45" s="152"/>
      <c r="T45" s="62" t="str">
        <f aca="false">IF(OR($C45="",R45=""),"",IF(R45/IF($R$2="",100,$R$2)&gt;=設定!$I$28,設定!$G$8,IF(R45/IF($R$2="",100,$R$2)&lt;設定!$I$29,設定!$G$10,設定!$G$9)))</f>
        <v/>
      </c>
      <c r="U45" s="62" t="str">
        <f aca="false">IF(OR($C45="",S45=""),"",IF(S45/IF($S$2="",100,$S$2)&gt;=設定!$I$28,設定!$G$8,IF(S45/IF($S$2="",100,$S$2)&lt;設定!$I$29,設定!$G$10,設定!$G$9)))</f>
        <v/>
      </c>
    </row>
    <row r="46" customFormat="false" ht="21" hidden="false" customHeight="true" outlineLevel="0" collapsed="false">
      <c r="A46" s="91" t="str">
        <f aca="false">IF(名簿!$D46="","",名簿!$B46&amp;"")</f>
        <v/>
      </c>
      <c r="B46" s="91" t="str">
        <f aca="false">IF(名簿!$D46="","",名簿!$C46)</f>
        <v/>
      </c>
      <c r="C46" s="59" t="str">
        <f aca="false">IF(名簿!$D46="","",名簿!$D46&amp;IF(名簿!$F46="転出","（転出）",""))</f>
        <v/>
      </c>
      <c r="D46" s="149"/>
      <c r="E46" s="61" t="str">
        <f aca="false">IF(OR($C46="",名簿!$F46="転出"),"",IF($C$2="学級ごと",$A46,IF($C$2="前の単元と同じ",単元09!$E46&amp;"",$D46&amp;"")))</f>
        <v/>
      </c>
      <c r="F46" s="150"/>
      <c r="G46" s="150"/>
      <c r="H46" s="150"/>
      <c r="I46" s="151"/>
      <c r="J46" s="41" t="str">
        <f aca="false">IF($E46="","",$E46&amp;"|"&amp;COUNTIF($E$5:$E46,$E46))</f>
        <v/>
      </c>
      <c r="K46" s="40" t="str">
        <f aca="false">IF($I46="","",LEN($I46))</f>
        <v/>
      </c>
      <c r="L46" s="13"/>
      <c r="M46" s="13"/>
      <c r="N46" s="13"/>
      <c r="O46" s="13"/>
      <c r="P46" s="152"/>
      <c r="Q46" s="149"/>
      <c r="R46" s="152"/>
      <c r="S46" s="152"/>
      <c r="T46" s="62" t="str">
        <f aca="false">IF(OR($C46="",R46=""),"",IF(R46/IF($R$2="",100,$R$2)&gt;=設定!$I$28,設定!$G$8,IF(R46/IF($R$2="",100,$R$2)&lt;設定!$I$29,設定!$G$10,設定!$G$9)))</f>
        <v/>
      </c>
      <c r="U46" s="62" t="str">
        <f aca="false">IF(OR($C46="",S46=""),"",IF(S46/IF($S$2="",100,$S$2)&gt;=設定!$I$28,設定!$G$8,IF(S46/IF($S$2="",100,$S$2)&lt;設定!$I$29,設定!$G$10,設定!$G$9)))</f>
        <v/>
      </c>
    </row>
    <row r="47" customFormat="false" ht="21" hidden="false" customHeight="true" outlineLevel="0" collapsed="false">
      <c r="A47" s="91" t="str">
        <f aca="false">IF(名簿!$D47="","",名簿!$B47&amp;"")</f>
        <v/>
      </c>
      <c r="B47" s="91" t="str">
        <f aca="false">IF(名簿!$D47="","",名簿!$C47)</f>
        <v/>
      </c>
      <c r="C47" s="59" t="str">
        <f aca="false">IF(名簿!$D47="","",名簿!$D47&amp;IF(名簿!$F47="転出","（転出）",""))</f>
        <v/>
      </c>
      <c r="D47" s="149"/>
      <c r="E47" s="61" t="str">
        <f aca="false">IF(OR($C47="",名簿!$F47="転出"),"",IF($C$2="学級ごと",$A47,IF($C$2="前の単元と同じ",単元09!$E47&amp;"",$D47&amp;"")))</f>
        <v/>
      </c>
      <c r="F47" s="150"/>
      <c r="G47" s="150"/>
      <c r="H47" s="150"/>
      <c r="I47" s="151"/>
      <c r="J47" s="41" t="str">
        <f aca="false">IF($E47="","",$E47&amp;"|"&amp;COUNTIF($E$5:$E47,$E47))</f>
        <v/>
      </c>
      <c r="K47" s="40" t="str">
        <f aca="false">IF($I47="","",LEN($I47))</f>
        <v/>
      </c>
      <c r="L47" s="13"/>
      <c r="M47" s="13"/>
      <c r="N47" s="13"/>
      <c r="O47" s="13"/>
      <c r="P47" s="152"/>
      <c r="Q47" s="149"/>
      <c r="R47" s="152"/>
      <c r="S47" s="152"/>
      <c r="T47" s="62" t="str">
        <f aca="false">IF(OR($C47="",R47=""),"",IF(R47/IF($R$2="",100,$R$2)&gt;=設定!$I$28,設定!$G$8,IF(R47/IF($R$2="",100,$R$2)&lt;設定!$I$29,設定!$G$10,設定!$G$9)))</f>
        <v/>
      </c>
      <c r="U47" s="62" t="str">
        <f aca="false">IF(OR($C47="",S47=""),"",IF(S47/IF($S$2="",100,$S$2)&gt;=設定!$I$28,設定!$G$8,IF(S47/IF($S$2="",100,$S$2)&lt;設定!$I$29,設定!$G$10,設定!$G$9)))</f>
        <v/>
      </c>
    </row>
    <row r="48" customFormat="false" ht="21" hidden="false" customHeight="true" outlineLevel="0" collapsed="false">
      <c r="A48" s="91" t="str">
        <f aca="false">IF(名簿!$D48="","",名簿!$B48&amp;"")</f>
        <v/>
      </c>
      <c r="B48" s="91" t="str">
        <f aca="false">IF(名簿!$D48="","",名簿!$C48)</f>
        <v/>
      </c>
      <c r="C48" s="59" t="str">
        <f aca="false">IF(名簿!$D48="","",名簿!$D48&amp;IF(名簿!$F48="転出","（転出）",""))</f>
        <v/>
      </c>
      <c r="D48" s="149"/>
      <c r="E48" s="61" t="str">
        <f aca="false">IF(OR($C48="",名簿!$F48="転出"),"",IF($C$2="学級ごと",$A48,IF($C$2="前の単元と同じ",単元09!$E48&amp;"",$D48&amp;"")))</f>
        <v/>
      </c>
      <c r="F48" s="150"/>
      <c r="G48" s="150"/>
      <c r="H48" s="150"/>
      <c r="I48" s="151"/>
      <c r="J48" s="41" t="str">
        <f aca="false">IF($E48="","",$E48&amp;"|"&amp;COUNTIF($E$5:$E48,$E48))</f>
        <v/>
      </c>
      <c r="K48" s="40" t="str">
        <f aca="false">IF($I48="","",LEN($I48))</f>
        <v/>
      </c>
      <c r="L48" s="13"/>
      <c r="M48" s="13"/>
      <c r="N48" s="13"/>
      <c r="O48" s="13"/>
      <c r="P48" s="152"/>
      <c r="Q48" s="149"/>
      <c r="R48" s="152"/>
      <c r="S48" s="152"/>
      <c r="T48" s="62" t="str">
        <f aca="false">IF(OR($C48="",R48=""),"",IF(R48/IF($R$2="",100,$R$2)&gt;=設定!$I$28,設定!$G$8,IF(R48/IF($R$2="",100,$R$2)&lt;設定!$I$29,設定!$G$10,設定!$G$9)))</f>
        <v/>
      </c>
      <c r="U48" s="62" t="str">
        <f aca="false">IF(OR($C48="",S48=""),"",IF(S48/IF($S$2="",100,$S$2)&gt;=設定!$I$28,設定!$G$8,IF(S48/IF($S$2="",100,$S$2)&lt;設定!$I$29,設定!$G$10,設定!$G$9)))</f>
        <v/>
      </c>
    </row>
    <row r="49" customFormat="false" ht="21" hidden="false" customHeight="true" outlineLevel="0" collapsed="false">
      <c r="A49" s="91" t="str">
        <f aca="false">IF(名簿!$D49="","",名簿!$B49&amp;"")</f>
        <v/>
      </c>
      <c r="B49" s="91" t="str">
        <f aca="false">IF(名簿!$D49="","",名簿!$C49)</f>
        <v/>
      </c>
      <c r="C49" s="59" t="str">
        <f aca="false">IF(名簿!$D49="","",名簿!$D49&amp;IF(名簿!$F49="転出","（転出）",""))</f>
        <v/>
      </c>
      <c r="D49" s="149"/>
      <c r="E49" s="61" t="str">
        <f aca="false">IF(OR($C49="",名簿!$F49="転出"),"",IF($C$2="学級ごと",$A49,IF($C$2="前の単元と同じ",単元09!$E49&amp;"",$D49&amp;"")))</f>
        <v/>
      </c>
      <c r="F49" s="150"/>
      <c r="G49" s="150"/>
      <c r="H49" s="150"/>
      <c r="I49" s="151"/>
      <c r="J49" s="41" t="str">
        <f aca="false">IF($E49="","",$E49&amp;"|"&amp;COUNTIF($E$5:$E49,$E49))</f>
        <v/>
      </c>
      <c r="K49" s="40" t="str">
        <f aca="false">IF($I49="","",LEN($I49))</f>
        <v/>
      </c>
      <c r="L49" s="13"/>
      <c r="M49" s="13"/>
      <c r="N49" s="13"/>
      <c r="O49" s="13"/>
      <c r="P49" s="152"/>
      <c r="Q49" s="149"/>
      <c r="R49" s="152"/>
      <c r="S49" s="152"/>
      <c r="T49" s="62" t="str">
        <f aca="false">IF(OR($C49="",R49=""),"",IF(R49/IF($R$2="",100,$R$2)&gt;=設定!$I$28,設定!$G$8,IF(R49/IF($R$2="",100,$R$2)&lt;設定!$I$29,設定!$G$10,設定!$G$9)))</f>
        <v/>
      </c>
      <c r="U49" s="62" t="str">
        <f aca="false">IF(OR($C49="",S49=""),"",IF(S49/IF($S$2="",100,$S$2)&gt;=設定!$I$28,設定!$G$8,IF(S49/IF($S$2="",100,$S$2)&lt;設定!$I$29,設定!$G$10,設定!$G$9)))</f>
        <v/>
      </c>
    </row>
    <row r="50" customFormat="false" ht="21" hidden="false" customHeight="true" outlineLevel="0" collapsed="false">
      <c r="A50" s="91" t="str">
        <f aca="false">IF(名簿!$D50="","",名簿!$B50&amp;"")</f>
        <v/>
      </c>
      <c r="B50" s="91" t="str">
        <f aca="false">IF(名簿!$D50="","",名簿!$C50)</f>
        <v/>
      </c>
      <c r="C50" s="59" t="str">
        <f aca="false">IF(名簿!$D50="","",名簿!$D50&amp;IF(名簿!$F50="転出","（転出）",""))</f>
        <v/>
      </c>
      <c r="D50" s="149"/>
      <c r="E50" s="61" t="str">
        <f aca="false">IF(OR($C50="",名簿!$F50="転出"),"",IF($C$2="学級ごと",$A50,IF($C$2="前の単元と同じ",単元09!$E50&amp;"",$D50&amp;"")))</f>
        <v/>
      </c>
      <c r="F50" s="150"/>
      <c r="G50" s="150"/>
      <c r="H50" s="150"/>
      <c r="I50" s="151"/>
      <c r="J50" s="41" t="str">
        <f aca="false">IF($E50="","",$E50&amp;"|"&amp;COUNTIF($E$5:$E50,$E50))</f>
        <v/>
      </c>
      <c r="K50" s="40" t="str">
        <f aca="false">IF($I50="","",LEN($I50))</f>
        <v/>
      </c>
      <c r="L50" s="13"/>
      <c r="M50" s="13"/>
      <c r="N50" s="13"/>
      <c r="O50" s="13"/>
      <c r="P50" s="152"/>
      <c r="Q50" s="149"/>
      <c r="R50" s="152"/>
      <c r="S50" s="152"/>
      <c r="T50" s="62" t="str">
        <f aca="false">IF(OR($C50="",R50=""),"",IF(R50/IF($R$2="",100,$R$2)&gt;=設定!$I$28,設定!$G$8,IF(R50/IF($R$2="",100,$R$2)&lt;設定!$I$29,設定!$G$10,設定!$G$9)))</f>
        <v/>
      </c>
      <c r="U50" s="62" t="str">
        <f aca="false">IF(OR($C50="",S50=""),"",IF(S50/IF($S$2="",100,$S$2)&gt;=設定!$I$28,設定!$G$8,IF(S50/IF($S$2="",100,$S$2)&lt;設定!$I$29,設定!$G$10,設定!$G$9)))</f>
        <v/>
      </c>
    </row>
    <row r="51" customFormat="false" ht="21" hidden="false" customHeight="true" outlineLevel="0" collapsed="false">
      <c r="A51" s="91" t="str">
        <f aca="false">IF(名簿!$D51="","",名簿!$B51&amp;"")</f>
        <v/>
      </c>
      <c r="B51" s="91" t="str">
        <f aca="false">IF(名簿!$D51="","",名簿!$C51)</f>
        <v/>
      </c>
      <c r="C51" s="59" t="str">
        <f aca="false">IF(名簿!$D51="","",名簿!$D51&amp;IF(名簿!$F51="転出","（転出）",""))</f>
        <v/>
      </c>
      <c r="D51" s="149"/>
      <c r="E51" s="61" t="str">
        <f aca="false">IF(OR($C51="",名簿!$F51="転出"),"",IF($C$2="学級ごと",$A51,IF($C$2="前の単元と同じ",単元09!$E51&amp;"",$D51&amp;"")))</f>
        <v/>
      </c>
      <c r="F51" s="150"/>
      <c r="G51" s="150"/>
      <c r="H51" s="150"/>
      <c r="I51" s="151"/>
      <c r="J51" s="41" t="str">
        <f aca="false">IF($E51="","",$E51&amp;"|"&amp;COUNTIF($E$5:$E51,$E51))</f>
        <v/>
      </c>
      <c r="K51" s="40" t="str">
        <f aca="false">IF($I51="","",LEN($I51))</f>
        <v/>
      </c>
      <c r="L51" s="13"/>
      <c r="M51" s="13"/>
      <c r="N51" s="13"/>
      <c r="O51" s="13"/>
      <c r="P51" s="152"/>
      <c r="Q51" s="149"/>
      <c r="R51" s="152"/>
      <c r="S51" s="152"/>
      <c r="T51" s="62" t="str">
        <f aca="false">IF(OR($C51="",R51=""),"",IF(R51/IF($R$2="",100,$R$2)&gt;=設定!$I$28,設定!$G$8,IF(R51/IF($R$2="",100,$R$2)&lt;設定!$I$29,設定!$G$10,設定!$G$9)))</f>
        <v/>
      </c>
      <c r="U51" s="62" t="str">
        <f aca="false">IF(OR($C51="",S51=""),"",IF(S51/IF($S$2="",100,$S$2)&gt;=設定!$I$28,設定!$G$8,IF(S51/IF($S$2="",100,$S$2)&lt;設定!$I$29,設定!$G$10,設定!$G$9)))</f>
        <v/>
      </c>
    </row>
    <row r="52" customFormat="false" ht="21" hidden="false" customHeight="true" outlineLevel="0" collapsed="false">
      <c r="A52" s="91" t="str">
        <f aca="false">IF(名簿!$D52="","",名簿!$B52&amp;"")</f>
        <v/>
      </c>
      <c r="B52" s="91" t="str">
        <f aca="false">IF(名簿!$D52="","",名簿!$C52)</f>
        <v/>
      </c>
      <c r="C52" s="59" t="str">
        <f aca="false">IF(名簿!$D52="","",名簿!$D52&amp;IF(名簿!$F52="転出","（転出）",""))</f>
        <v/>
      </c>
      <c r="D52" s="149"/>
      <c r="E52" s="61" t="str">
        <f aca="false">IF(OR($C52="",名簿!$F52="転出"),"",IF($C$2="学級ごと",$A52,IF($C$2="前の単元と同じ",単元09!$E52&amp;"",$D52&amp;"")))</f>
        <v/>
      </c>
      <c r="F52" s="150"/>
      <c r="G52" s="150"/>
      <c r="H52" s="150"/>
      <c r="I52" s="151"/>
      <c r="J52" s="41" t="str">
        <f aca="false">IF($E52="","",$E52&amp;"|"&amp;COUNTIF($E$5:$E52,$E52))</f>
        <v/>
      </c>
      <c r="K52" s="40" t="str">
        <f aca="false">IF($I52="","",LEN($I52))</f>
        <v/>
      </c>
      <c r="L52" s="13"/>
      <c r="M52" s="13"/>
      <c r="N52" s="13"/>
      <c r="O52" s="13"/>
      <c r="P52" s="152"/>
      <c r="Q52" s="149"/>
      <c r="R52" s="152"/>
      <c r="S52" s="152"/>
      <c r="T52" s="62" t="str">
        <f aca="false">IF(OR($C52="",R52=""),"",IF(R52/IF($R$2="",100,$R$2)&gt;=設定!$I$28,設定!$G$8,IF(R52/IF($R$2="",100,$R$2)&lt;設定!$I$29,設定!$G$10,設定!$G$9)))</f>
        <v/>
      </c>
      <c r="U52" s="62" t="str">
        <f aca="false">IF(OR($C52="",S52=""),"",IF(S52/IF($S$2="",100,$S$2)&gt;=設定!$I$28,設定!$G$8,IF(S52/IF($S$2="",100,$S$2)&lt;設定!$I$29,設定!$G$10,設定!$G$9)))</f>
        <v/>
      </c>
    </row>
    <row r="53" customFormat="false" ht="21" hidden="false" customHeight="true" outlineLevel="0" collapsed="false">
      <c r="A53" s="91" t="str">
        <f aca="false">IF(名簿!$D53="","",名簿!$B53&amp;"")</f>
        <v/>
      </c>
      <c r="B53" s="91" t="str">
        <f aca="false">IF(名簿!$D53="","",名簿!$C53)</f>
        <v/>
      </c>
      <c r="C53" s="59" t="str">
        <f aca="false">IF(名簿!$D53="","",名簿!$D53&amp;IF(名簿!$F53="転出","（転出）",""))</f>
        <v/>
      </c>
      <c r="D53" s="149"/>
      <c r="E53" s="61" t="str">
        <f aca="false">IF(OR($C53="",名簿!$F53="転出"),"",IF($C$2="学級ごと",$A53,IF($C$2="前の単元と同じ",単元09!$E53&amp;"",$D53&amp;"")))</f>
        <v/>
      </c>
      <c r="F53" s="150"/>
      <c r="G53" s="150"/>
      <c r="H53" s="150"/>
      <c r="I53" s="151"/>
      <c r="J53" s="41" t="str">
        <f aca="false">IF($E53="","",$E53&amp;"|"&amp;COUNTIF($E$5:$E53,$E53))</f>
        <v/>
      </c>
      <c r="K53" s="40" t="str">
        <f aca="false">IF($I53="","",LEN($I53))</f>
        <v/>
      </c>
      <c r="L53" s="13"/>
      <c r="M53" s="13"/>
      <c r="N53" s="13"/>
      <c r="O53" s="13"/>
      <c r="P53" s="152"/>
      <c r="Q53" s="149"/>
      <c r="R53" s="152"/>
      <c r="S53" s="152"/>
      <c r="T53" s="62" t="str">
        <f aca="false">IF(OR($C53="",R53=""),"",IF(R53/IF($R$2="",100,$R$2)&gt;=設定!$I$28,設定!$G$8,IF(R53/IF($R$2="",100,$R$2)&lt;設定!$I$29,設定!$G$10,設定!$G$9)))</f>
        <v/>
      </c>
      <c r="U53" s="62" t="str">
        <f aca="false">IF(OR($C53="",S53=""),"",IF(S53/IF($S$2="",100,$S$2)&gt;=設定!$I$28,設定!$G$8,IF(S53/IF($S$2="",100,$S$2)&lt;設定!$I$29,設定!$G$10,設定!$G$9)))</f>
        <v/>
      </c>
    </row>
    <row r="54" customFormat="false" ht="21" hidden="false" customHeight="true" outlineLevel="0" collapsed="false">
      <c r="A54" s="91" t="str">
        <f aca="false">IF(名簿!$D54="","",名簿!$B54&amp;"")</f>
        <v/>
      </c>
      <c r="B54" s="91" t="str">
        <f aca="false">IF(名簿!$D54="","",名簿!$C54)</f>
        <v/>
      </c>
      <c r="C54" s="59" t="str">
        <f aca="false">IF(名簿!$D54="","",名簿!$D54&amp;IF(名簿!$F54="転出","（転出）",""))</f>
        <v/>
      </c>
      <c r="D54" s="149"/>
      <c r="E54" s="61" t="str">
        <f aca="false">IF(OR($C54="",名簿!$F54="転出"),"",IF($C$2="学級ごと",$A54,IF($C$2="前の単元と同じ",単元09!$E54&amp;"",$D54&amp;"")))</f>
        <v/>
      </c>
      <c r="F54" s="150"/>
      <c r="G54" s="150"/>
      <c r="H54" s="150"/>
      <c r="I54" s="151"/>
      <c r="J54" s="41" t="str">
        <f aca="false">IF($E54="","",$E54&amp;"|"&amp;COUNTIF($E$5:$E54,$E54))</f>
        <v/>
      </c>
      <c r="K54" s="40" t="str">
        <f aca="false">IF($I54="","",LEN($I54))</f>
        <v/>
      </c>
      <c r="L54" s="13"/>
      <c r="M54" s="13"/>
      <c r="N54" s="13"/>
      <c r="O54" s="13"/>
      <c r="P54" s="152"/>
      <c r="Q54" s="149"/>
      <c r="R54" s="152"/>
      <c r="S54" s="152"/>
      <c r="T54" s="62" t="str">
        <f aca="false">IF(OR($C54="",R54=""),"",IF(R54/IF($R$2="",100,$R$2)&gt;=設定!$I$28,設定!$G$8,IF(R54/IF($R$2="",100,$R$2)&lt;設定!$I$29,設定!$G$10,設定!$G$9)))</f>
        <v/>
      </c>
      <c r="U54" s="62" t="str">
        <f aca="false">IF(OR($C54="",S54=""),"",IF(S54/IF($S$2="",100,$S$2)&gt;=設定!$I$28,設定!$G$8,IF(S54/IF($S$2="",100,$S$2)&lt;設定!$I$29,設定!$G$10,設定!$G$9)))</f>
        <v/>
      </c>
    </row>
    <row r="55" customFormat="false" ht="21" hidden="false" customHeight="true" outlineLevel="0" collapsed="false">
      <c r="A55" s="91" t="str">
        <f aca="false">IF(名簿!$D55="","",名簿!$B55&amp;"")</f>
        <v/>
      </c>
      <c r="B55" s="91" t="str">
        <f aca="false">IF(名簿!$D55="","",名簿!$C55)</f>
        <v/>
      </c>
      <c r="C55" s="59" t="str">
        <f aca="false">IF(名簿!$D55="","",名簿!$D55&amp;IF(名簿!$F55="転出","（転出）",""))</f>
        <v/>
      </c>
      <c r="D55" s="149"/>
      <c r="E55" s="61" t="str">
        <f aca="false">IF(OR($C55="",名簿!$F55="転出"),"",IF($C$2="学級ごと",$A55,IF($C$2="前の単元と同じ",単元09!$E55&amp;"",$D55&amp;"")))</f>
        <v/>
      </c>
      <c r="F55" s="150"/>
      <c r="G55" s="150"/>
      <c r="H55" s="150"/>
      <c r="I55" s="151"/>
      <c r="J55" s="41" t="str">
        <f aca="false">IF($E55="","",$E55&amp;"|"&amp;COUNTIF($E$5:$E55,$E55))</f>
        <v/>
      </c>
      <c r="K55" s="40" t="str">
        <f aca="false">IF($I55="","",LEN($I55))</f>
        <v/>
      </c>
      <c r="L55" s="13"/>
      <c r="M55" s="13"/>
      <c r="N55" s="13"/>
      <c r="O55" s="13"/>
      <c r="P55" s="152"/>
      <c r="Q55" s="149"/>
      <c r="R55" s="152"/>
      <c r="S55" s="152"/>
      <c r="T55" s="62" t="str">
        <f aca="false">IF(OR($C55="",R55=""),"",IF(R55/IF($R$2="",100,$R$2)&gt;=設定!$I$28,設定!$G$8,IF(R55/IF($R$2="",100,$R$2)&lt;設定!$I$29,設定!$G$10,設定!$G$9)))</f>
        <v/>
      </c>
      <c r="U55" s="62" t="str">
        <f aca="false">IF(OR($C55="",S55=""),"",IF(S55/IF($S$2="",100,$S$2)&gt;=設定!$I$28,設定!$G$8,IF(S55/IF($S$2="",100,$S$2)&lt;設定!$I$29,設定!$G$10,設定!$G$9)))</f>
        <v/>
      </c>
    </row>
    <row r="56" customFormat="false" ht="21" hidden="false" customHeight="true" outlineLevel="0" collapsed="false">
      <c r="A56" s="91" t="str">
        <f aca="false">IF(名簿!$D56="","",名簿!$B56&amp;"")</f>
        <v/>
      </c>
      <c r="B56" s="91" t="str">
        <f aca="false">IF(名簿!$D56="","",名簿!$C56)</f>
        <v/>
      </c>
      <c r="C56" s="59" t="str">
        <f aca="false">IF(名簿!$D56="","",名簿!$D56&amp;IF(名簿!$F56="転出","（転出）",""))</f>
        <v/>
      </c>
      <c r="D56" s="149"/>
      <c r="E56" s="61" t="str">
        <f aca="false">IF(OR($C56="",名簿!$F56="転出"),"",IF($C$2="学級ごと",$A56,IF($C$2="前の単元と同じ",単元09!$E56&amp;"",$D56&amp;"")))</f>
        <v/>
      </c>
      <c r="F56" s="150"/>
      <c r="G56" s="150"/>
      <c r="H56" s="150"/>
      <c r="I56" s="151"/>
      <c r="J56" s="41" t="str">
        <f aca="false">IF($E56="","",$E56&amp;"|"&amp;COUNTIF($E$5:$E56,$E56))</f>
        <v/>
      </c>
      <c r="K56" s="40" t="str">
        <f aca="false">IF($I56="","",LEN($I56))</f>
        <v/>
      </c>
      <c r="L56" s="13"/>
      <c r="M56" s="13"/>
      <c r="N56" s="13"/>
      <c r="O56" s="13"/>
      <c r="P56" s="152"/>
      <c r="Q56" s="149"/>
      <c r="R56" s="152"/>
      <c r="S56" s="152"/>
      <c r="T56" s="62" t="str">
        <f aca="false">IF(OR($C56="",R56=""),"",IF(R56/IF($R$2="",100,$R$2)&gt;=設定!$I$28,設定!$G$8,IF(R56/IF($R$2="",100,$R$2)&lt;設定!$I$29,設定!$G$10,設定!$G$9)))</f>
        <v/>
      </c>
      <c r="U56" s="62" t="str">
        <f aca="false">IF(OR($C56="",S56=""),"",IF(S56/IF($S$2="",100,$S$2)&gt;=設定!$I$28,設定!$G$8,IF(S56/IF($S$2="",100,$S$2)&lt;設定!$I$29,設定!$G$10,設定!$G$9)))</f>
        <v/>
      </c>
    </row>
    <row r="57" customFormat="false" ht="21" hidden="false" customHeight="true" outlineLevel="0" collapsed="false">
      <c r="A57" s="91" t="str">
        <f aca="false">IF(名簿!$D57="","",名簿!$B57&amp;"")</f>
        <v/>
      </c>
      <c r="B57" s="91" t="str">
        <f aca="false">IF(名簿!$D57="","",名簿!$C57)</f>
        <v/>
      </c>
      <c r="C57" s="59" t="str">
        <f aca="false">IF(名簿!$D57="","",名簿!$D57&amp;IF(名簿!$F57="転出","（転出）",""))</f>
        <v/>
      </c>
      <c r="D57" s="149"/>
      <c r="E57" s="61" t="str">
        <f aca="false">IF(OR($C57="",名簿!$F57="転出"),"",IF($C$2="学級ごと",$A57,IF($C$2="前の単元と同じ",単元09!$E57&amp;"",$D57&amp;"")))</f>
        <v/>
      </c>
      <c r="F57" s="150"/>
      <c r="G57" s="150"/>
      <c r="H57" s="150"/>
      <c r="I57" s="151"/>
      <c r="J57" s="41" t="str">
        <f aca="false">IF($E57="","",$E57&amp;"|"&amp;COUNTIF($E$5:$E57,$E57))</f>
        <v/>
      </c>
      <c r="K57" s="40" t="str">
        <f aca="false">IF($I57="","",LEN($I57))</f>
        <v/>
      </c>
      <c r="L57" s="13"/>
      <c r="M57" s="13"/>
      <c r="N57" s="13"/>
      <c r="O57" s="13"/>
      <c r="P57" s="152"/>
      <c r="Q57" s="149"/>
      <c r="R57" s="152"/>
      <c r="S57" s="152"/>
      <c r="T57" s="62" t="str">
        <f aca="false">IF(OR($C57="",R57=""),"",IF(R57/IF($R$2="",100,$R$2)&gt;=設定!$I$28,設定!$G$8,IF(R57/IF($R$2="",100,$R$2)&lt;設定!$I$29,設定!$G$10,設定!$G$9)))</f>
        <v/>
      </c>
      <c r="U57" s="62" t="str">
        <f aca="false">IF(OR($C57="",S57=""),"",IF(S57/IF($S$2="",100,$S$2)&gt;=設定!$I$28,設定!$G$8,IF(S57/IF($S$2="",100,$S$2)&lt;設定!$I$29,設定!$G$10,設定!$G$9)))</f>
        <v/>
      </c>
    </row>
    <row r="58" customFormat="false" ht="21" hidden="false" customHeight="true" outlineLevel="0" collapsed="false">
      <c r="A58" s="91" t="str">
        <f aca="false">IF(名簿!$D58="","",名簿!$B58&amp;"")</f>
        <v/>
      </c>
      <c r="B58" s="91" t="str">
        <f aca="false">IF(名簿!$D58="","",名簿!$C58)</f>
        <v/>
      </c>
      <c r="C58" s="59" t="str">
        <f aca="false">IF(名簿!$D58="","",名簿!$D58&amp;IF(名簿!$F58="転出","（転出）",""))</f>
        <v/>
      </c>
      <c r="D58" s="149"/>
      <c r="E58" s="61" t="str">
        <f aca="false">IF(OR($C58="",名簿!$F58="転出"),"",IF($C$2="学級ごと",$A58,IF($C$2="前の単元と同じ",単元09!$E58&amp;"",$D58&amp;"")))</f>
        <v/>
      </c>
      <c r="F58" s="150"/>
      <c r="G58" s="150"/>
      <c r="H58" s="150"/>
      <c r="I58" s="151"/>
      <c r="J58" s="41" t="str">
        <f aca="false">IF($E58="","",$E58&amp;"|"&amp;COUNTIF($E$5:$E58,$E58))</f>
        <v/>
      </c>
      <c r="K58" s="40" t="str">
        <f aca="false">IF($I58="","",LEN($I58))</f>
        <v/>
      </c>
      <c r="L58" s="13"/>
      <c r="M58" s="13"/>
      <c r="N58" s="13"/>
      <c r="O58" s="13"/>
      <c r="P58" s="152"/>
      <c r="Q58" s="149"/>
      <c r="R58" s="152"/>
      <c r="S58" s="152"/>
      <c r="T58" s="62" t="str">
        <f aca="false">IF(OR($C58="",R58=""),"",IF(R58/IF($R$2="",100,$R$2)&gt;=設定!$I$28,設定!$G$8,IF(R58/IF($R$2="",100,$R$2)&lt;設定!$I$29,設定!$G$10,設定!$G$9)))</f>
        <v/>
      </c>
      <c r="U58" s="62" t="str">
        <f aca="false">IF(OR($C58="",S58=""),"",IF(S58/IF($S$2="",100,$S$2)&gt;=設定!$I$28,設定!$G$8,IF(S58/IF($S$2="",100,$S$2)&lt;設定!$I$29,設定!$G$10,設定!$G$9)))</f>
        <v/>
      </c>
    </row>
    <row r="59" customFormat="false" ht="21" hidden="false" customHeight="true" outlineLevel="0" collapsed="false">
      <c r="A59" s="91" t="str">
        <f aca="false">IF(名簿!$D59="","",名簿!$B59&amp;"")</f>
        <v/>
      </c>
      <c r="B59" s="91" t="str">
        <f aca="false">IF(名簿!$D59="","",名簿!$C59)</f>
        <v/>
      </c>
      <c r="C59" s="59" t="str">
        <f aca="false">IF(名簿!$D59="","",名簿!$D59&amp;IF(名簿!$F59="転出","（転出）",""))</f>
        <v/>
      </c>
      <c r="D59" s="149"/>
      <c r="E59" s="61" t="str">
        <f aca="false">IF(OR($C59="",名簿!$F59="転出"),"",IF($C$2="学級ごと",$A59,IF($C$2="前の単元と同じ",単元09!$E59&amp;"",$D59&amp;"")))</f>
        <v/>
      </c>
      <c r="F59" s="150"/>
      <c r="G59" s="150"/>
      <c r="H59" s="150"/>
      <c r="I59" s="151"/>
      <c r="J59" s="41" t="str">
        <f aca="false">IF($E59="","",$E59&amp;"|"&amp;COUNTIF($E$5:$E59,$E59))</f>
        <v/>
      </c>
      <c r="K59" s="40" t="str">
        <f aca="false">IF($I59="","",LEN($I59))</f>
        <v/>
      </c>
      <c r="L59" s="13"/>
      <c r="M59" s="13"/>
      <c r="N59" s="13"/>
      <c r="O59" s="13"/>
      <c r="P59" s="152"/>
      <c r="Q59" s="149"/>
      <c r="R59" s="152"/>
      <c r="S59" s="152"/>
      <c r="T59" s="62" t="str">
        <f aca="false">IF(OR($C59="",R59=""),"",IF(R59/IF($R$2="",100,$R$2)&gt;=設定!$I$28,設定!$G$8,IF(R59/IF($R$2="",100,$R$2)&lt;設定!$I$29,設定!$G$10,設定!$G$9)))</f>
        <v/>
      </c>
      <c r="U59" s="62" t="str">
        <f aca="false">IF(OR($C59="",S59=""),"",IF(S59/IF($S$2="",100,$S$2)&gt;=設定!$I$28,設定!$G$8,IF(S59/IF($S$2="",100,$S$2)&lt;設定!$I$29,設定!$G$10,設定!$G$9)))</f>
        <v/>
      </c>
    </row>
    <row r="60" customFormat="false" ht="21" hidden="false" customHeight="true" outlineLevel="0" collapsed="false">
      <c r="A60" s="91" t="str">
        <f aca="false">IF(名簿!$D60="","",名簿!$B60&amp;"")</f>
        <v/>
      </c>
      <c r="B60" s="91" t="str">
        <f aca="false">IF(名簿!$D60="","",名簿!$C60)</f>
        <v/>
      </c>
      <c r="C60" s="59" t="str">
        <f aca="false">IF(名簿!$D60="","",名簿!$D60&amp;IF(名簿!$F60="転出","（転出）",""))</f>
        <v/>
      </c>
      <c r="D60" s="149"/>
      <c r="E60" s="61" t="str">
        <f aca="false">IF(OR($C60="",名簿!$F60="転出"),"",IF($C$2="学級ごと",$A60,IF($C$2="前の単元と同じ",単元09!$E60&amp;"",$D60&amp;"")))</f>
        <v/>
      </c>
      <c r="F60" s="150"/>
      <c r="G60" s="150"/>
      <c r="H60" s="150"/>
      <c r="I60" s="151"/>
      <c r="J60" s="41" t="str">
        <f aca="false">IF($E60="","",$E60&amp;"|"&amp;COUNTIF($E$5:$E60,$E60))</f>
        <v/>
      </c>
      <c r="K60" s="40" t="str">
        <f aca="false">IF($I60="","",LEN($I60))</f>
        <v/>
      </c>
      <c r="L60" s="13"/>
      <c r="M60" s="13"/>
      <c r="N60" s="13"/>
      <c r="O60" s="13"/>
      <c r="P60" s="152"/>
      <c r="Q60" s="149"/>
      <c r="R60" s="152"/>
      <c r="S60" s="152"/>
      <c r="T60" s="62" t="str">
        <f aca="false">IF(OR($C60="",R60=""),"",IF(R60/IF($R$2="",100,$R$2)&gt;=設定!$I$28,設定!$G$8,IF(R60/IF($R$2="",100,$R$2)&lt;設定!$I$29,設定!$G$10,設定!$G$9)))</f>
        <v/>
      </c>
      <c r="U60" s="62" t="str">
        <f aca="false">IF(OR($C60="",S60=""),"",IF(S60/IF($S$2="",100,$S$2)&gt;=設定!$I$28,設定!$G$8,IF(S60/IF($S$2="",100,$S$2)&lt;設定!$I$29,設定!$G$10,設定!$G$9)))</f>
        <v/>
      </c>
    </row>
    <row r="61" customFormat="false" ht="21" hidden="false" customHeight="true" outlineLevel="0" collapsed="false">
      <c r="A61" s="91" t="str">
        <f aca="false">IF(名簿!$D61="","",名簿!$B61&amp;"")</f>
        <v/>
      </c>
      <c r="B61" s="91" t="str">
        <f aca="false">IF(名簿!$D61="","",名簿!$C61)</f>
        <v/>
      </c>
      <c r="C61" s="59" t="str">
        <f aca="false">IF(名簿!$D61="","",名簿!$D61&amp;IF(名簿!$F61="転出","（転出）",""))</f>
        <v/>
      </c>
      <c r="D61" s="149"/>
      <c r="E61" s="61" t="str">
        <f aca="false">IF(OR($C61="",名簿!$F61="転出"),"",IF($C$2="学級ごと",$A61,IF($C$2="前の単元と同じ",単元09!$E61&amp;"",$D61&amp;"")))</f>
        <v/>
      </c>
      <c r="F61" s="150"/>
      <c r="G61" s="150"/>
      <c r="H61" s="150"/>
      <c r="I61" s="151"/>
      <c r="J61" s="41" t="str">
        <f aca="false">IF($E61="","",$E61&amp;"|"&amp;COUNTIF($E$5:$E61,$E61))</f>
        <v/>
      </c>
      <c r="K61" s="40" t="str">
        <f aca="false">IF($I61="","",LEN($I61))</f>
        <v/>
      </c>
      <c r="L61" s="13"/>
      <c r="M61" s="13"/>
      <c r="N61" s="13"/>
      <c r="O61" s="13"/>
      <c r="P61" s="152"/>
      <c r="Q61" s="149"/>
      <c r="R61" s="152"/>
      <c r="S61" s="152"/>
      <c r="T61" s="62" t="str">
        <f aca="false">IF(OR($C61="",R61=""),"",IF(R61/IF($R$2="",100,$R$2)&gt;=設定!$I$28,設定!$G$8,IF(R61/IF($R$2="",100,$R$2)&lt;設定!$I$29,設定!$G$10,設定!$G$9)))</f>
        <v/>
      </c>
      <c r="U61" s="62" t="str">
        <f aca="false">IF(OR($C61="",S61=""),"",IF(S61/IF($S$2="",100,$S$2)&gt;=設定!$I$28,設定!$G$8,IF(S61/IF($S$2="",100,$S$2)&lt;設定!$I$29,設定!$G$10,設定!$G$9)))</f>
        <v/>
      </c>
    </row>
    <row r="62" customFormat="false" ht="21" hidden="false" customHeight="true" outlineLevel="0" collapsed="false">
      <c r="A62" s="91" t="str">
        <f aca="false">IF(名簿!$D62="","",名簿!$B62&amp;"")</f>
        <v/>
      </c>
      <c r="B62" s="91" t="str">
        <f aca="false">IF(名簿!$D62="","",名簿!$C62)</f>
        <v/>
      </c>
      <c r="C62" s="59" t="str">
        <f aca="false">IF(名簿!$D62="","",名簿!$D62&amp;IF(名簿!$F62="転出","（転出）",""))</f>
        <v/>
      </c>
      <c r="D62" s="149"/>
      <c r="E62" s="61" t="str">
        <f aca="false">IF(OR($C62="",名簿!$F62="転出"),"",IF($C$2="学級ごと",$A62,IF($C$2="前の単元と同じ",単元09!$E62&amp;"",$D62&amp;"")))</f>
        <v/>
      </c>
      <c r="F62" s="150"/>
      <c r="G62" s="150"/>
      <c r="H62" s="150"/>
      <c r="I62" s="151"/>
      <c r="J62" s="41" t="str">
        <f aca="false">IF($E62="","",$E62&amp;"|"&amp;COUNTIF($E$5:$E62,$E62))</f>
        <v/>
      </c>
      <c r="K62" s="40" t="str">
        <f aca="false">IF($I62="","",LEN($I62))</f>
        <v/>
      </c>
      <c r="L62" s="13"/>
      <c r="M62" s="13"/>
      <c r="N62" s="13"/>
      <c r="O62" s="13"/>
      <c r="P62" s="152"/>
      <c r="Q62" s="149"/>
      <c r="R62" s="152"/>
      <c r="S62" s="152"/>
      <c r="T62" s="62" t="str">
        <f aca="false">IF(OR($C62="",R62=""),"",IF(R62/IF($R$2="",100,$R$2)&gt;=設定!$I$28,設定!$G$8,IF(R62/IF($R$2="",100,$R$2)&lt;設定!$I$29,設定!$G$10,設定!$G$9)))</f>
        <v/>
      </c>
      <c r="U62" s="62" t="str">
        <f aca="false">IF(OR($C62="",S62=""),"",IF(S62/IF($S$2="",100,$S$2)&gt;=設定!$I$28,設定!$G$8,IF(S62/IF($S$2="",100,$S$2)&lt;設定!$I$29,設定!$G$10,設定!$G$9)))</f>
        <v/>
      </c>
    </row>
    <row r="63" customFormat="false" ht="21" hidden="false" customHeight="true" outlineLevel="0" collapsed="false">
      <c r="A63" s="91" t="str">
        <f aca="false">IF(名簿!$D63="","",名簿!$B63&amp;"")</f>
        <v/>
      </c>
      <c r="B63" s="91" t="str">
        <f aca="false">IF(名簿!$D63="","",名簿!$C63)</f>
        <v/>
      </c>
      <c r="C63" s="59" t="str">
        <f aca="false">IF(名簿!$D63="","",名簿!$D63&amp;IF(名簿!$F63="転出","（転出）",""))</f>
        <v/>
      </c>
      <c r="D63" s="149"/>
      <c r="E63" s="61" t="str">
        <f aca="false">IF(OR($C63="",名簿!$F63="転出"),"",IF($C$2="学級ごと",$A63,IF($C$2="前の単元と同じ",単元09!$E63&amp;"",$D63&amp;"")))</f>
        <v/>
      </c>
      <c r="F63" s="150"/>
      <c r="G63" s="150"/>
      <c r="H63" s="150"/>
      <c r="I63" s="151"/>
      <c r="J63" s="41" t="str">
        <f aca="false">IF($E63="","",$E63&amp;"|"&amp;COUNTIF($E$5:$E63,$E63))</f>
        <v/>
      </c>
      <c r="K63" s="40" t="str">
        <f aca="false">IF($I63="","",LEN($I63))</f>
        <v/>
      </c>
      <c r="L63" s="13"/>
      <c r="M63" s="13"/>
      <c r="N63" s="13"/>
      <c r="O63" s="13"/>
      <c r="P63" s="152"/>
      <c r="Q63" s="149"/>
      <c r="R63" s="152"/>
      <c r="S63" s="152"/>
      <c r="T63" s="62" t="str">
        <f aca="false">IF(OR($C63="",R63=""),"",IF(R63/IF($R$2="",100,$R$2)&gt;=設定!$I$28,設定!$G$8,IF(R63/IF($R$2="",100,$R$2)&lt;設定!$I$29,設定!$G$10,設定!$G$9)))</f>
        <v/>
      </c>
      <c r="U63" s="62" t="str">
        <f aca="false">IF(OR($C63="",S63=""),"",IF(S63/IF($S$2="",100,$S$2)&gt;=設定!$I$28,設定!$G$8,IF(S63/IF($S$2="",100,$S$2)&lt;設定!$I$29,設定!$G$10,設定!$G$9)))</f>
        <v/>
      </c>
    </row>
    <row r="64" customFormat="false" ht="21" hidden="false" customHeight="true" outlineLevel="0" collapsed="false">
      <c r="A64" s="91" t="str">
        <f aca="false">IF(名簿!$D64="","",名簿!$B64&amp;"")</f>
        <v/>
      </c>
      <c r="B64" s="91" t="str">
        <f aca="false">IF(名簿!$D64="","",名簿!$C64)</f>
        <v/>
      </c>
      <c r="C64" s="59" t="str">
        <f aca="false">IF(名簿!$D64="","",名簿!$D64&amp;IF(名簿!$F64="転出","（転出）",""))</f>
        <v/>
      </c>
      <c r="D64" s="149"/>
      <c r="E64" s="61" t="str">
        <f aca="false">IF(OR($C64="",名簿!$F64="転出"),"",IF($C$2="学級ごと",$A64,IF($C$2="前の単元と同じ",単元09!$E64&amp;"",$D64&amp;"")))</f>
        <v/>
      </c>
      <c r="F64" s="150"/>
      <c r="G64" s="150"/>
      <c r="H64" s="150"/>
      <c r="I64" s="151"/>
      <c r="J64" s="41" t="str">
        <f aca="false">IF($E64="","",$E64&amp;"|"&amp;COUNTIF($E$5:$E64,$E64))</f>
        <v/>
      </c>
      <c r="K64" s="40" t="str">
        <f aca="false">IF($I64="","",LEN($I64))</f>
        <v/>
      </c>
      <c r="L64" s="13"/>
      <c r="M64" s="13"/>
      <c r="N64" s="13"/>
      <c r="O64" s="13"/>
      <c r="P64" s="152"/>
      <c r="Q64" s="149"/>
      <c r="R64" s="152"/>
      <c r="S64" s="152"/>
      <c r="T64" s="62" t="str">
        <f aca="false">IF(OR($C64="",R64=""),"",IF(R64/IF($R$2="",100,$R$2)&gt;=設定!$I$28,設定!$G$8,IF(R64/IF($R$2="",100,$R$2)&lt;設定!$I$29,設定!$G$10,設定!$G$9)))</f>
        <v/>
      </c>
      <c r="U64" s="62" t="str">
        <f aca="false">IF(OR($C64="",S64=""),"",IF(S64/IF($S$2="",100,$S$2)&gt;=設定!$I$28,設定!$G$8,IF(S64/IF($S$2="",100,$S$2)&lt;設定!$I$29,設定!$G$10,設定!$G$9)))</f>
        <v/>
      </c>
    </row>
    <row r="65" customFormat="false" ht="21" hidden="false" customHeight="true" outlineLevel="0" collapsed="false">
      <c r="A65" s="91" t="str">
        <f aca="false">IF(名簿!$D65="","",名簿!$B65&amp;"")</f>
        <v/>
      </c>
      <c r="B65" s="91" t="str">
        <f aca="false">IF(名簿!$D65="","",名簿!$C65)</f>
        <v/>
      </c>
      <c r="C65" s="59" t="str">
        <f aca="false">IF(名簿!$D65="","",名簿!$D65&amp;IF(名簿!$F65="転出","（転出）",""))</f>
        <v/>
      </c>
      <c r="D65" s="149"/>
      <c r="E65" s="61" t="str">
        <f aca="false">IF(OR($C65="",名簿!$F65="転出"),"",IF($C$2="学級ごと",$A65,IF($C$2="前の単元と同じ",単元09!$E65&amp;"",$D65&amp;"")))</f>
        <v/>
      </c>
      <c r="F65" s="150"/>
      <c r="G65" s="150"/>
      <c r="H65" s="150"/>
      <c r="I65" s="151"/>
      <c r="J65" s="41" t="str">
        <f aca="false">IF($E65="","",$E65&amp;"|"&amp;COUNTIF($E$5:$E65,$E65))</f>
        <v/>
      </c>
      <c r="K65" s="40" t="str">
        <f aca="false">IF($I65="","",LEN($I65))</f>
        <v/>
      </c>
      <c r="L65" s="13"/>
      <c r="M65" s="13"/>
      <c r="N65" s="13"/>
      <c r="O65" s="13"/>
      <c r="P65" s="152"/>
      <c r="Q65" s="149"/>
      <c r="R65" s="152"/>
      <c r="S65" s="152"/>
      <c r="T65" s="62" t="str">
        <f aca="false">IF(OR($C65="",R65=""),"",IF(R65/IF($R$2="",100,$R$2)&gt;=設定!$I$28,設定!$G$8,IF(R65/IF($R$2="",100,$R$2)&lt;設定!$I$29,設定!$G$10,設定!$G$9)))</f>
        <v/>
      </c>
      <c r="U65" s="62" t="str">
        <f aca="false">IF(OR($C65="",S65=""),"",IF(S65/IF($S$2="",100,$S$2)&gt;=設定!$I$28,設定!$G$8,IF(S65/IF($S$2="",100,$S$2)&lt;設定!$I$29,設定!$G$10,設定!$G$9)))</f>
        <v/>
      </c>
    </row>
    <row r="66" customFormat="false" ht="21" hidden="false" customHeight="true" outlineLevel="0" collapsed="false">
      <c r="A66" s="91" t="str">
        <f aca="false">IF(名簿!$D66="","",名簿!$B66&amp;"")</f>
        <v/>
      </c>
      <c r="B66" s="91" t="str">
        <f aca="false">IF(名簿!$D66="","",名簿!$C66)</f>
        <v/>
      </c>
      <c r="C66" s="59" t="str">
        <f aca="false">IF(名簿!$D66="","",名簿!$D66&amp;IF(名簿!$F66="転出","（転出）",""))</f>
        <v/>
      </c>
      <c r="D66" s="149"/>
      <c r="E66" s="61" t="str">
        <f aca="false">IF(OR($C66="",名簿!$F66="転出"),"",IF($C$2="学級ごと",$A66,IF($C$2="前の単元と同じ",単元09!$E66&amp;"",$D66&amp;"")))</f>
        <v/>
      </c>
      <c r="F66" s="150"/>
      <c r="G66" s="150"/>
      <c r="H66" s="150"/>
      <c r="I66" s="151"/>
      <c r="J66" s="41" t="str">
        <f aca="false">IF($E66="","",$E66&amp;"|"&amp;COUNTIF($E$5:$E66,$E66))</f>
        <v/>
      </c>
      <c r="K66" s="40" t="str">
        <f aca="false">IF($I66="","",LEN($I66))</f>
        <v/>
      </c>
      <c r="L66" s="13"/>
      <c r="M66" s="13"/>
      <c r="N66" s="13"/>
      <c r="O66" s="13"/>
      <c r="P66" s="152"/>
      <c r="Q66" s="149"/>
      <c r="R66" s="152"/>
      <c r="S66" s="152"/>
      <c r="T66" s="62" t="str">
        <f aca="false">IF(OR($C66="",R66=""),"",IF(R66/IF($R$2="",100,$R$2)&gt;=設定!$I$28,設定!$G$8,IF(R66/IF($R$2="",100,$R$2)&lt;設定!$I$29,設定!$G$10,設定!$G$9)))</f>
        <v/>
      </c>
      <c r="U66" s="62" t="str">
        <f aca="false">IF(OR($C66="",S66=""),"",IF(S66/IF($S$2="",100,$S$2)&gt;=設定!$I$28,設定!$G$8,IF(S66/IF($S$2="",100,$S$2)&lt;設定!$I$29,設定!$G$10,設定!$G$9)))</f>
        <v/>
      </c>
    </row>
    <row r="67" customFormat="false" ht="21" hidden="false" customHeight="true" outlineLevel="0" collapsed="false">
      <c r="A67" s="91" t="str">
        <f aca="false">IF(名簿!$D67="","",名簿!$B67&amp;"")</f>
        <v/>
      </c>
      <c r="B67" s="91" t="str">
        <f aca="false">IF(名簿!$D67="","",名簿!$C67)</f>
        <v/>
      </c>
      <c r="C67" s="59" t="str">
        <f aca="false">IF(名簿!$D67="","",名簿!$D67&amp;IF(名簿!$F67="転出","（転出）",""))</f>
        <v/>
      </c>
      <c r="D67" s="149"/>
      <c r="E67" s="61" t="str">
        <f aca="false">IF(OR($C67="",名簿!$F67="転出"),"",IF($C$2="学級ごと",$A67,IF($C$2="前の単元と同じ",単元09!$E67&amp;"",$D67&amp;"")))</f>
        <v/>
      </c>
      <c r="F67" s="150"/>
      <c r="G67" s="150"/>
      <c r="H67" s="150"/>
      <c r="I67" s="151"/>
      <c r="J67" s="41" t="str">
        <f aca="false">IF($E67="","",$E67&amp;"|"&amp;COUNTIF($E$5:$E67,$E67))</f>
        <v/>
      </c>
      <c r="K67" s="40" t="str">
        <f aca="false">IF($I67="","",LEN($I67))</f>
        <v/>
      </c>
      <c r="L67" s="13"/>
      <c r="M67" s="13"/>
      <c r="N67" s="13"/>
      <c r="O67" s="13"/>
      <c r="P67" s="152"/>
      <c r="Q67" s="149"/>
      <c r="R67" s="152"/>
      <c r="S67" s="152"/>
      <c r="T67" s="62" t="str">
        <f aca="false">IF(OR($C67="",R67=""),"",IF(R67/IF($R$2="",100,$R$2)&gt;=設定!$I$28,設定!$G$8,IF(R67/IF($R$2="",100,$R$2)&lt;設定!$I$29,設定!$G$10,設定!$G$9)))</f>
        <v/>
      </c>
      <c r="U67" s="62" t="str">
        <f aca="false">IF(OR($C67="",S67=""),"",IF(S67/IF($S$2="",100,$S$2)&gt;=設定!$I$28,設定!$G$8,IF(S67/IF($S$2="",100,$S$2)&lt;設定!$I$29,設定!$G$10,設定!$G$9)))</f>
        <v/>
      </c>
    </row>
    <row r="68" customFormat="false" ht="21" hidden="false" customHeight="true" outlineLevel="0" collapsed="false">
      <c r="A68" s="91" t="str">
        <f aca="false">IF(名簿!$D68="","",名簿!$B68&amp;"")</f>
        <v/>
      </c>
      <c r="B68" s="91" t="str">
        <f aca="false">IF(名簿!$D68="","",名簿!$C68)</f>
        <v/>
      </c>
      <c r="C68" s="59" t="str">
        <f aca="false">IF(名簿!$D68="","",名簿!$D68&amp;IF(名簿!$F68="転出","（転出）",""))</f>
        <v/>
      </c>
      <c r="D68" s="149"/>
      <c r="E68" s="61" t="str">
        <f aca="false">IF(OR($C68="",名簿!$F68="転出"),"",IF($C$2="学級ごと",$A68,IF($C$2="前の単元と同じ",単元09!$E68&amp;"",$D68&amp;"")))</f>
        <v/>
      </c>
      <c r="F68" s="150"/>
      <c r="G68" s="150"/>
      <c r="H68" s="150"/>
      <c r="I68" s="151"/>
      <c r="J68" s="41" t="str">
        <f aca="false">IF($E68="","",$E68&amp;"|"&amp;COUNTIF($E$5:$E68,$E68))</f>
        <v/>
      </c>
      <c r="K68" s="40" t="str">
        <f aca="false">IF($I68="","",LEN($I68))</f>
        <v/>
      </c>
      <c r="L68" s="13"/>
      <c r="M68" s="13"/>
      <c r="N68" s="13"/>
      <c r="O68" s="13"/>
      <c r="P68" s="152"/>
      <c r="Q68" s="149"/>
      <c r="R68" s="152"/>
      <c r="S68" s="152"/>
      <c r="T68" s="62" t="str">
        <f aca="false">IF(OR($C68="",R68=""),"",IF(R68/IF($R$2="",100,$R$2)&gt;=設定!$I$28,設定!$G$8,IF(R68/IF($R$2="",100,$R$2)&lt;設定!$I$29,設定!$G$10,設定!$G$9)))</f>
        <v/>
      </c>
      <c r="U68" s="62" t="str">
        <f aca="false">IF(OR($C68="",S68=""),"",IF(S68/IF($S$2="",100,$S$2)&gt;=設定!$I$28,設定!$G$8,IF(S68/IF($S$2="",100,$S$2)&lt;設定!$I$29,設定!$G$10,設定!$G$9)))</f>
        <v/>
      </c>
    </row>
    <row r="69" customFormat="false" ht="21" hidden="false" customHeight="true" outlineLevel="0" collapsed="false">
      <c r="A69" s="91" t="str">
        <f aca="false">IF(名簿!$D69="","",名簿!$B69&amp;"")</f>
        <v/>
      </c>
      <c r="B69" s="91" t="str">
        <f aca="false">IF(名簿!$D69="","",名簿!$C69)</f>
        <v/>
      </c>
      <c r="C69" s="59" t="str">
        <f aca="false">IF(名簿!$D69="","",名簿!$D69&amp;IF(名簿!$F69="転出","（転出）",""))</f>
        <v/>
      </c>
      <c r="D69" s="149"/>
      <c r="E69" s="61" t="str">
        <f aca="false">IF(OR($C69="",名簿!$F69="転出"),"",IF($C$2="学級ごと",$A69,IF($C$2="前の単元と同じ",単元09!$E69&amp;"",$D69&amp;"")))</f>
        <v/>
      </c>
      <c r="F69" s="150"/>
      <c r="G69" s="150"/>
      <c r="H69" s="150"/>
      <c r="I69" s="151"/>
      <c r="J69" s="41" t="str">
        <f aca="false">IF($E69="","",$E69&amp;"|"&amp;COUNTIF($E$5:$E69,$E69))</f>
        <v/>
      </c>
      <c r="K69" s="40" t="str">
        <f aca="false">IF($I69="","",LEN($I69))</f>
        <v/>
      </c>
      <c r="L69" s="13"/>
      <c r="M69" s="13"/>
      <c r="N69" s="13"/>
      <c r="O69" s="13"/>
      <c r="P69" s="152"/>
      <c r="Q69" s="149"/>
      <c r="R69" s="152"/>
      <c r="S69" s="152"/>
      <c r="T69" s="62" t="str">
        <f aca="false">IF(OR($C69="",R69=""),"",IF(R69/IF($R$2="",100,$R$2)&gt;=設定!$I$28,設定!$G$8,IF(R69/IF($R$2="",100,$R$2)&lt;設定!$I$29,設定!$G$10,設定!$G$9)))</f>
        <v/>
      </c>
      <c r="U69" s="62" t="str">
        <f aca="false">IF(OR($C69="",S69=""),"",IF(S69/IF($S$2="",100,$S$2)&gt;=設定!$I$28,設定!$G$8,IF(S69/IF($S$2="",100,$S$2)&lt;設定!$I$29,設定!$G$10,設定!$G$9)))</f>
        <v/>
      </c>
    </row>
    <row r="70" customFormat="false" ht="21" hidden="false" customHeight="true" outlineLevel="0" collapsed="false">
      <c r="A70" s="91" t="str">
        <f aca="false">IF(名簿!$D70="","",名簿!$B70&amp;"")</f>
        <v/>
      </c>
      <c r="B70" s="91" t="str">
        <f aca="false">IF(名簿!$D70="","",名簿!$C70)</f>
        <v/>
      </c>
      <c r="C70" s="59" t="str">
        <f aca="false">IF(名簿!$D70="","",名簿!$D70&amp;IF(名簿!$F70="転出","（転出）",""))</f>
        <v/>
      </c>
      <c r="D70" s="149"/>
      <c r="E70" s="61" t="str">
        <f aca="false">IF(OR($C70="",名簿!$F70="転出"),"",IF($C$2="学級ごと",$A70,IF($C$2="前の単元と同じ",単元09!$E70&amp;"",$D70&amp;"")))</f>
        <v/>
      </c>
      <c r="F70" s="150"/>
      <c r="G70" s="150"/>
      <c r="H70" s="150"/>
      <c r="I70" s="151"/>
      <c r="J70" s="41" t="str">
        <f aca="false">IF($E70="","",$E70&amp;"|"&amp;COUNTIF($E$5:$E70,$E70))</f>
        <v/>
      </c>
      <c r="K70" s="40" t="str">
        <f aca="false">IF($I70="","",LEN($I70))</f>
        <v/>
      </c>
      <c r="L70" s="13"/>
      <c r="M70" s="13"/>
      <c r="N70" s="13"/>
      <c r="O70" s="13"/>
      <c r="P70" s="152"/>
      <c r="Q70" s="149"/>
      <c r="R70" s="152"/>
      <c r="S70" s="152"/>
      <c r="T70" s="62" t="str">
        <f aca="false">IF(OR($C70="",R70=""),"",IF(R70/IF($R$2="",100,$R$2)&gt;=設定!$I$28,設定!$G$8,IF(R70/IF($R$2="",100,$R$2)&lt;設定!$I$29,設定!$G$10,設定!$G$9)))</f>
        <v/>
      </c>
      <c r="U70" s="62" t="str">
        <f aca="false">IF(OR($C70="",S70=""),"",IF(S70/IF($S$2="",100,$S$2)&gt;=設定!$I$28,設定!$G$8,IF(S70/IF($S$2="",100,$S$2)&lt;設定!$I$29,設定!$G$10,設定!$G$9)))</f>
        <v/>
      </c>
    </row>
    <row r="71" customFormat="false" ht="21" hidden="false" customHeight="true" outlineLevel="0" collapsed="false">
      <c r="A71" s="91" t="str">
        <f aca="false">IF(名簿!$D71="","",名簿!$B71&amp;"")</f>
        <v/>
      </c>
      <c r="B71" s="91" t="str">
        <f aca="false">IF(名簿!$D71="","",名簿!$C71)</f>
        <v/>
      </c>
      <c r="C71" s="59" t="str">
        <f aca="false">IF(名簿!$D71="","",名簿!$D71&amp;IF(名簿!$F71="転出","（転出）",""))</f>
        <v/>
      </c>
      <c r="D71" s="149"/>
      <c r="E71" s="61" t="str">
        <f aca="false">IF(OR($C71="",名簿!$F71="転出"),"",IF($C$2="学級ごと",$A71,IF($C$2="前の単元と同じ",単元09!$E71&amp;"",$D71&amp;"")))</f>
        <v/>
      </c>
      <c r="F71" s="150"/>
      <c r="G71" s="150"/>
      <c r="H71" s="150"/>
      <c r="I71" s="151"/>
      <c r="J71" s="41" t="str">
        <f aca="false">IF($E71="","",$E71&amp;"|"&amp;COUNTIF($E$5:$E71,$E71))</f>
        <v/>
      </c>
      <c r="K71" s="40" t="str">
        <f aca="false">IF($I71="","",LEN($I71))</f>
        <v/>
      </c>
      <c r="L71" s="13"/>
      <c r="M71" s="13"/>
      <c r="N71" s="13"/>
      <c r="O71" s="13"/>
      <c r="P71" s="152"/>
      <c r="Q71" s="149"/>
      <c r="R71" s="152"/>
      <c r="S71" s="152"/>
      <c r="T71" s="62" t="str">
        <f aca="false">IF(OR($C71="",R71=""),"",IF(R71/IF($R$2="",100,$R$2)&gt;=設定!$I$28,設定!$G$8,IF(R71/IF($R$2="",100,$R$2)&lt;設定!$I$29,設定!$G$10,設定!$G$9)))</f>
        <v/>
      </c>
      <c r="U71" s="62" t="str">
        <f aca="false">IF(OR($C71="",S71=""),"",IF(S71/IF($S$2="",100,$S$2)&gt;=設定!$I$28,設定!$G$8,IF(S71/IF($S$2="",100,$S$2)&lt;設定!$I$29,設定!$G$10,設定!$G$9)))</f>
        <v/>
      </c>
    </row>
    <row r="72" customFormat="false" ht="21" hidden="false" customHeight="true" outlineLevel="0" collapsed="false">
      <c r="A72" s="91" t="str">
        <f aca="false">IF(名簿!$D72="","",名簿!$B72&amp;"")</f>
        <v/>
      </c>
      <c r="B72" s="91" t="str">
        <f aca="false">IF(名簿!$D72="","",名簿!$C72)</f>
        <v/>
      </c>
      <c r="C72" s="59" t="str">
        <f aca="false">IF(名簿!$D72="","",名簿!$D72&amp;IF(名簿!$F72="転出","（転出）",""))</f>
        <v/>
      </c>
      <c r="D72" s="149"/>
      <c r="E72" s="61" t="str">
        <f aca="false">IF(OR($C72="",名簿!$F72="転出"),"",IF($C$2="学級ごと",$A72,IF($C$2="前の単元と同じ",単元09!$E72&amp;"",$D72&amp;"")))</f>
        <v/>
      </c>
      <c r="F72" s="150"/>
      <c r="G72" s="150"/>
      <c r="H72" s="150"/>
      <c r="I72" s="151"/>
      <c r="J72" s="41" t="str">
        <f aca="false">IF($E72="","",$E72&amp;"|"&amp;COUNTIF($E$5:$E72,$E72))</f>
        <v/>
      </c>
      <c r="K72" s="40" t="str">
        <f aca="false">IF($I72="","",LEN($I72))</f>
        <v/>
      </c>
      <c r="L72" s="13"/>
      <c r="M72" s="13"/>
      <c r="N72" s="13"/>
      <c r="O72" s="13"/>
      <c r="P72" s="152"/>
      <c r="Q72" s="149"/>
      <c r="R72" s="152"/>
      <c r="S72" s="152"/>
      <c r="T72" s="62" t="str">
        <f aca="false">IF(OR($C72="",R72=""),"",IF(R72/IF($R$2="",100,$R$2)&gt;=設定!$I$28,設定!$G$8,IF(R72/IF($R$2="",100,$R$2)&lt;設定!$I$29,設定!$G$10,設定!$G$9)))</f>
        <v/>
      </c>
      <c r="U72" s="62" t="str">
        <f aca="false">IF(OR($C72="",S72=""),"",IF(S72/IF($S$2="",100,$S$2)&gt;=設定!$I$28,設定!$G$8,IF(S72/IF($S$2="",100,$S$2)&lt;設定!$I$29,設定!$G$10,設定!$G$9)))</f>
        <v/>
      </c>
    </row>
    <row r="73" customFormat="false" ht="21" hidden="false" customHeight="true" outlineLevel="0" collapsed="false">
      <c r="A73" s="91" t="str">
        <f aca="false">IF(名簿!$D73="","",名簿!$B73&amp;"")</f>
        <v/>
      </c>
      <c r="B73" s="91" t="str">
        <f aca="false">IF(名簿!$D73="","",名簿!$C73)</f>
        <v/>
      </c>
      <c r="C73" s="59" t="str">
        <f aca="false">IF(名簿!$D73="","",名簿!$D73&amp;IF(名簿!$F73="転出","（転出）",""))</f>
        <v/>
      </c>
      <c r="D73" s="149"/>
      <c r="E73" s="61" t="str">
        <f aca="false">IF(OR($C73="",名簿!$F73="転出"),"",IF($C$2="学級ごと",$A73,IF($C$2="前の単元と同じ",単元09!$E73&amp;"",$D73&amp;"")))</f>
        <v/>
      </c>
      <c r="F73" s="150"/>
      <c r="G73" s="150"/>
      <c r="H73" s="150"/>
      <c r="I73" s="151"/>
      <c r="J73" s="41" t="str">
        <f aca="false">IF($E73="","",$E73&amp;"|"&amp;COUNTIF($E$5:$E73,$E73))</f>
        <v/>
      </c>
      <c r="K73" s="40" t="str">
        <f aca="false">IF($I73="","",LEN($I73))</f>
        <v/>
      </c>
      <c r="L73" s="13"/>
      <c r="M73" s="13"/>
      <c r="N73" s="13"/>
      <c r="O73" s="13"/>
      <c r="P73" s="152"/>
      <c r="Q73" s="149"/>
      <c r="R73" s="152"/>
      <c r="S73" s="152"/>
      <c r="T73" s="62" t="str">
        <f aca="false">IF(OR($C73="",R73=""),"",IF(R73/IF($R$2="",100,$R$2)&gt;=設定!$I$28,設定!$G$8,IF(R73/IF($R$2="",100,$R$2)&lt;設定!$I$29,設定!$G$10,設定!$G$9)))</f>
        <v/>
      </c>
      <c r="U73" s="62" t="str">
        <f aca="false">IF(OR($C73="",S73=""),"",IF(S73/IF($S$2="",100,$S$2)&gt;=設定!$I$28,設定!$G$8,IF(S73/IF($S$2="",100,$S$2)&lt;設定!$I$29,設定!$G$10,設定!$G$9)))</f>
        <v/>
      </c>
    </row>
    <row r="74" customFormat="false" ht="21" hidden="false" customHeight="true" outlineLevel="0" collapsed="false">
      <c r="A74" s="91" t="str">
        <f aca="false">IF(名簿!$D74="","",名簿!$B74&amp;"")</f>
        <v/>
      </c>
      <c r="B74" s="91" t="str">
        <f aca="false">IF(名簿!$D74="","",名簿!$C74)</f>
        <v/>
      </c>
      <c r="C74" s="59" t="str">
        <f aca="false">IF(名簿!$D74="","",名簿!$D74&amp;IF(名簿!$F74="転出","（転出）",""))</f>
        <v/>
      </c>
      <c r="D74" s="149"/>
      <c r="E74" s="61" t="str">
        <f aca="false">IF(OR($C74="",名簿!$F74="転出"),"",IF($C$2="学級ごと",$A74,IF($C$2="前の単元と同じ",単元09!$E74&amp;"",$D74&amp;"")))</f>
        <v/>
      </c>
      <c r="F74" s="150"/>
      <c r="G74" s="150"/>
      <c r="H74" s="150"/>
      <c r="I74" s="151"/>
      <c r="J74" s="41" t="str">
        <f aca="false">IF($E74="","",$E74&amp;"|"&amp;COUNTIF($E$5:$E74,$E74))</f>
        <v/>
      </c>
      <c r="K74" s="40" t="str">
        <f aca="false">IF($I74="","",LEN($I74))</f>
        <v/>
      </c>
      <c r="L74" s="13"/>
      <c r="M74" s="13"/>
      <c r="N74" s="13"/>
      <c r="O74" s="13"/>
      <c r="P74" s="152"/>
      <c r="Q74" s="149"/>
      <c r="R74" s="152"/>
      <c r="S74" s="152"/>
      <c r="T74" s="62" t="str">
        <f aca="false">IF(OR($C74="",R74=""),"",IF(R74/IF($R$2="",100,$R$2)&gt;=設定!$I$28,設定!$G$8,IF(R74/IF($R$2="",100,$R$2)&lt;設定!$I$29,設定!$G$10,設定!$G$9)))</f>
        <v/>
      </c>
      <c r="U74" s="62" t="str">
        <f aca="false">IF(OR($C74="",S74=""),"",IF(S74/IF($S$2="",100,$S$2)&gt;=設定!$I$28,設定!$G$8,IF(S74/IF($S$2="",100,$S$2)&lt;設定!$I$29,設定!$G$10,設定!$G$9)))</f>
        <v/>
      </c>
    </row>
    <row r="75" customFormat="false" ht="21" hidden="false" customHeight="true" outlineLevel="0" collapsed="false">
      <c r="A75" s="91" t="str">
        <f aca="false">IF(名簿!$D75="","",名簿!$B75&amp;"")</f>
        <v/>
      </c>
      <c r="B75" s="91" t="str">
        <f aca="false">IF(名簿!$D75="","",名簿!$C75)</f>
        <v/>
      </c>
      <c r="C75" s="59" t="str">
        <f aca="false">IF(名簿!$D75="","",名簿!$D75&amp;IF(名簿!$F75="転出","（転出）",""))</f>
        <v/>
      </c>
      <c r="D75" s="149"/>
      <c r="E75" s="61" t="str">
        <f aca="false">IF(OR($C75="",名簿!$F75="転出"),"",IF($C$2="学級ごと",$A75,IF($C$2="前の単元と同じ",単元09!$E75&amp;"",$D75&amp;"")))</f>
        <v/>
      </c>
      <c r="F75" s="150"/>
      <c r="G75" s="150"/>
      <c r="H75" s="150"/>
      <c r="I75" s="151"/>
      <c r="J75" s="41" t="str">
        <f aca="false">IF($E75="","",$E75&amp;"|"&amp;COUNTIF($E$5:$E75,$E75))</f>
        <v/>
      </c>
      <c r="K75" s="40" t="str">
        <f aca="false">IF($I75="","",LEN($I75))</f>
        <v/>
      </c>
      <c r="L75" s="13"/>
      <c r="M75" s="13"/>
      <c r="N75" s="13"/>
      <c r="O75" s="13"/>
      <c r="P75" s="152"/>
      <c r="Q75" s="149"/>
      <c r="R75" s="152"/>
      <c r="S75" s="152"/>
      <c r="T75" s="62" t="str">
        <f aca="false">IF(OR($C75="",R75=""),"",IF(R75/IF($R$2="",100,$R$2)&gt;=設定!$I$28,設定!$G$8,IF(R75/IF($R$2="",100,$R$2)&lt;設定!$I$29,設定!$G$10,設定!$G$9)))</f>
        <v/>
      </c>
      <c r="U75" s="62" t="str">
        <f aca="false">IF(OR($C75="",S75=""),"",IF(S75/IF($S$2="",100,$S$2)&gt;=設定!$I$28,設定!$G$8,IF(S75/IF($S$2="",100,$S$2)&lt;設定!$I$29,設定!$G$10,設定!$G$9)))</f>
        <v/>
      </c>
    </row>
    <row r="76" customFormat="false" ht="21" hidden="false" customHeight="true" outlineLevel="0" collapsed="false">
      <c r="A76" s="91" t="str">
        <f aca="false">IF(名簿!$D76="","",名簿!$B76&amp;"")</f>
        <v/>
      </c>
      <c r="B76" s="91" t="str">
        <f aca="false">IF(名簿!$D76="","",名簿!$C76)</f>
        <v/>
      </c>
      <c r="C76" s="59" t="str">
        <f aca="false">IF(名簿!$D76="","",名簿!$D76&amp;IF(名簿!$F76="転出","（転出）",""))</f>
        <v/>
      </c>
      <c r="D76" s="149"/>
      <c r="E76" s="61" t="str">
        <f aca="false">IF(OR($C76="",名簿!$F76="転出"),"",IF($C$2="学級ごと",$A76,IF($C$2="前の単元と同じ",単元09!$E76&amp;"",$D76&amp;"")))</f>
        <v/>
      </c>
      <c r="F76" s="150"/>
      <c r="G76" s="150"/>
      <c r="H76" s="150"/>
      <c r="I76" s="151"/>
      <c r="J76" s="41" t="str">
        <f aca="false">IF($E76="","",$E76&amp;"|"&amp;COUNTIF($E$5:$E76,$E76))</f>
        <v/>
      </c>
      <c r="K76" s="40" t="str">
        <f aca="false">IF($I76="","",LEN($I76))</f>
        <v/>
      </c>
      <c r="L76" s="13"/>
      <c r="M76" s="13"/>
      <c r="N76" s="13"/>
      <c r="O76" s="13"/>
      <c r="P76" s="152"/>
      <c r="Q76" s="149"/>
      <c r="R76" s="152"/>
      <c r="S76" s="152"/>
      <c r="T76" s="62" t="str">
        <f aca="false">IF(OR($C76="",R76=""),"",IF(R76/IF($R$2="",100,$R$2)&gt;=設定!$I$28,設定!$G$8,IF(R76/IF($R$2="",100,$R$2)&lt;設定!$I$29,設定!$G$10,設定!$G$9)))</f>
        <v/>
      </c>
      <c r="U76" s="62" t="str">
        <f aca="false">IF(OR($C76="",S76=""),"",IF(S76/IF($S$2="",100,$S$2)&gt;=設定!$I$28,設定!$G$8,IF(S76/IF($S$2="",100,$S$2)&lt;設定!$I$29,設定!$G$10,設定!$G$9)))</f>
        <v/>
      </c>
    </row>
    <row r="77" customFormat="false" ht="21" hidden="false" customHeight="true" outlineLevel="0" collapsed="false">
      <c r="A77" s="91" t="str">
        <f aca="false">IF(名簿!$D77="","",名簿!$B77&amp;"")</f>
        <v/>
      </c>
      <c r="B77" s="91" t="str">
        <f aca="false">IF(名簿!$D77="","",名簿!$C77)</f>
        <v/>
      </c>
      <c r="C77" s="59" t="str">
        <f aca="false">IF(名簿!$D77="","",名簿!$D77&amp;IF(名簿!$F77="転出","（転出）",""))</f>
        <v/>
      </c>
      <c r="D77" s="149"/>
      <c r="E77" s="61" t="str">
        <f aca="false">IF(OR($C77="",名簿!$F77="転出"),"",IF($C$2="学級ごと",$A77,IF($C$2="前の単元と同じ",単元09!$E77&amp;"",$D77&amp;"")))</f>
        <v/>
      </c>
      <c r="F77" s="150"/>
      <c r="G77" s="150"/>
      <c r="H77" s="150"/>
      <c r="I77" s="151"/>
      <c r="J77" s="41" t="str">
        <f aca="false">IF($E77="","",$E77&amp;"|"&amp;COUNTIF($E$5:$E77,$E77))</f>
        <v/>
      </c>
      <c r="K77" s="40" t="str">
        <f aca="false">IF($I77="","",LEN($I77))</f>
        <v/>
      </c>
      <c r="L77" s="13"/>
      <c r="M77" s="13"/>
      <c r="N77" s="13"/>
      <c r="O77" s="13"/>
      <c r="P77" s="152"/>
      <c r="Q77" s="149"/>
      <c r="R77" s="152"/>
      <c r="S77" s="152"/>
      <c r="T77" s="62" t="str">
        <f aca="false">IF(OR($C77="",R77=""),"",IF(R77/IF($R$2="",100,$R$2)&gt;=設定!$I$28,設定!$G$8,IF(R77/IF($R$2="",100,$R$2)&lt;設定!$I$29,設定!$G$10,設定!$G$9)))</f>
        <v/>
      </c>
      <c r="U77" s="62" t="str">
        <f aca="false">IF(OR($C77="",S77=""),"",IF(S77/IF($S$2="",100,$S$2)&gt;=設定!$I$28,設定!$G$8,IF(S77/IF($S$2="",100,$S$2)&lt;設定!$I$29,設定!$G$10,設定!$G$9)))</f>
        <v/>
      </c>
    </row>
    <row r="78" customFormat="false" ht="21" hidden="false" customHeight="true" outlineLevel="0" collapsed="false">
      <c r="A78" s="91" t="str">
        <f aca="false">IF(名簿!$D78="","",名簿!$B78&amp;"")</f>
        <v/>
      </c>
      <c r="B78" s="91" t="str">
        <f aca="false">IF(名簿!$D78="","",名簿!$C78)</f>
        <v/>
      </c>
      <c r="C78" s="59" t="str">
        <f aca="false">IF(名簿!$D78="","",名簿!$D78&amp;IF(名簿!$F78="転出","（転出）",""))</f>
        <v/>
      </c>
      <c r="D78" s="149"/>
      <c r="E78" s="61" t="str">
        <f aca="false">IF(OR($C78="",名簿!$F78="転出"),"",IF($C$2="学級ごと",$A78,IF($C$2="前の単元と同じ",単元09!$E78&amp;"",$D78&amp;"")))</f>
        <v/>
      </c>
      <c r="F78" s="150"/>
      <c r="G78" s="150"/>
      <c r="H78" s="150"/>
      <c r="I78" s="151"/>
      <c r="J78" s="41" t="str">
        <f aca="false">IF($E78="","",$E78&amp;"|"&amp;COUNTIF($E$5:$E78,$E78))</f>
        <v/>
      </c>
      <c r="K78" s="40" t="str">
        <f aca="false">IF($I78="","",LEN($I78))</f>
        <v/>
      </c>
      <c r="L78" s="13"/>
      <c r="M78" s="13"/>
      <c r="N78" s="13"/>
      <c r="O78" s="13"/>
      <c r="P78" s="152"/>
      <c r="Q78" s="149"/>
      <c r="R78" s="152"/>
      <c r="S78" s="152"/>
      <c r="T78" s="62" t="str">
        <f aca="false">IF(OR($C78="",R78=""),"",IF(R78/IF($R$2="",100,$R$2)&gt;=設定!$I$28,設定!$G$8,IF(R78/IF($R$2="",100,$R$2)&lt;設定!$I$29,設定!$G$10,設定!$G$9)))</f>
        <v/>
      </c>
      <c r="U78" s="62" t="str">
        <f aca="false">IF(OR($C78="",S78=""),"",IF(S78/IF($S$2="",100,$S$2)&gt;=設定!$I$28,設定!$G$8,IF(S78/IF($S$2="",100,$S$2)&lt;設定!$I$29,設定!$G$10,設定!$G$9)))</f>
        <v/>
      </c>
    </row>
    <row r="79" customFormat="false" ht="21" hidden="false" customHeight="true" outlineLevel="0" collapsed="false">
      <c r="A79" s="91" t="str">
        <f aca="false">IF(名簿!$D79="","",名簿!$B79&amp;"")</f>
        <v/>
      </c>
      <c r="B79" s="91" t="str">
        <f aca="false">IF(名簿!$D79="","",名簿!$C79)</f>
        <v/>
      </c>
      <c r="C79" s="59" t="str">
        <f aca="false">IF(名簿!$D79="","",名簿!$D79&amp;IF(名簿!$F79="転出","（転出）",""))</f>
        <v/>
      </c>
      <c r="D79" s="149"/>
      <c r="E79" s="61" t="str">
        <f aca="false">IF(OR($C79="",名簿!$F79="転出"),"",IF($C$2="学級ごと",$A79,IF($C$2="前の単元と同じ",単元09!$E79&amp;"",$D79&amp;"")))</f>
        <v/>
      </c>
      <c r="F79" s="150"/>
      <c r="G79" s="150"/>
      <c r="H79" s="150"/>
      <c r="I79" s="151"/>
      <c r="J79" s="41" t="str">
        <f aca="false">IF($E79="","",$E79&amp;"|"&amp;COUNTIF($E$5:$E79,$E79))</f>
        <v/>
      </c>
      <c r="K79" s="40" t="str">
        <f aca="false">IF($I79="","",LEN($I79))</f>
        <v/>
      </c>
      <c r="L79" s="13"/>
      <c r="M79" s="13"/>
      <c r="N79" s="13"/>
      <c r="O79" s="13"/>
      <c r="P79" s="152"/>
      <c r="Q79" s="149"/>
      <c r="R79" s="152"/>
      <c r="S79" s="152"/>
      <c r="T79" s="62" t="str">
        <f aca="false">IF(OR($C79="",R79=""),"",IF(R79/IF($R$2="",100,$R$2)&gt;=設定!$I$28,設定!$G$8,IF(R79/IF($R$2="",100,$R$2)&lt;設定!$I$29,設定!$G$10,設定!$G$9)))</f>
        <v/>
      </c>
      <c r="U79" s="62" t="str">
        <f aca="false">IF(OR($C79="",S79=""),"",IF(S79/IF($S$2="",100,$S$2)&gt;=設定!$I$28,設定!$G$8,IF(S79/IF($S$2="",100,$S$2)&lt;設定!$I$29,設定!$G$10,設定!$G$9)))</f>
        <v/>
      </c>
    </row>
    <row r="80" customFormat="false" ht="21" hidden="false" customHeight="true" outlineLevel="0" collapsed="false">
      <c r="A80" s="91" t="str">
        <f aca="false">IF(名簿!$D80="","",名簿!$B80&amp;"")</f>
        <v/>
      </c>
      <c r="B80" s="91" t="str">
        <f aca="false">IF(名簿!$D80="","",名簿!$C80)</f>
        <v/>
      </c>
      <c r="C80" s="59" t="str">
        <f aca="false">IF(名簿!$D80="","",名簿!$D80&amp;IF(名簿!$F80="転出","（転出）",""))</f>
        <v/>
      </c>
      <c r="D80" s="149"/>
      <c r="E80" s="61" t="str">
        <f aca="false">IF(OR($C80="",名簿!$F80="転出"),"",IF($C$2="学級ごと",$A80,IF($C$2="前の単元と同じ",単元09!$E80&amp;"",$D80&amp;"")))</f>
        <v/>
      </c>
      <c r="F80" s="150"/>
      <c r="G80" s="150"/>
      <c r="H80" s="150"/>
      <c r="I80" s="151"/>
      <c r="J80" s="41" t="str">
        <f aca="false">IF($E80="","",$E80&amp;"|"&amp;COUNTIF($E$5:$E80,$E80))</f>
        <v/>
      </c>
      <c r="K80" s="40" t="str">
        <f aca="false">IF($I80="","",LEN($I80))</f>
        <v/>
      </c>
      <c r="L80" s="13"/>
      <c r="M80" s="13"/>
      <c r="N80" s="13"/>
      <c r="O80" s="13"/>
      <c r="P80" s="152"/>
      <c r="Q80" s="149"/>
      <c r="R80" s="152"/>
      <c r="S80" s="152"/>
      <c r="T80" s="62" t="str">
        <f aca="false">IF(OR($C80="",R80=""),"",IF(R80/IF($R$2="",100,$R$2)&gt;=設定!$I$28,設定!$G$8,IF(R80/IF($R$2="",100,$R$2)&lt;設定!$I$29,設定!$G$10,設定!$G$9)))</f>
        <v/>
      </c>
      <c r="U80" s="62" t="str">
        <f aca="false">IF(OR($C80="",S80=""),"",IF(S80/IF($S$2="",100,$S$2)&gt;=設定!$I$28,設定!$G$8,IF(S80/IF($S$2="",100,$S$2)&lt;設定!$I$29,設定!$G$10,設定!$G$9)))</f>
        <v/>
      </c>
    </row>
    <row r="81" customFormat="false" ht="21" hidden="false" customHeight="true" outlineLevel="0" collapsed="false">
      <c r="A81" s="91" t="str">
        <f aca="false">IF(名簿!$D81="","",名簿!$B81&amp;"")</f>
        <v/>
      </c>
      <c r="B81" s="91" t="str">
        <f aca="false">IF(名簿!$D81="","",名簿!$C81)</f>
        <v/>
      </c>
      <c r="C81" s="59" t="str">
        <f aca="false">IF(名簿!$D81="","",名簿!$D81&amp;IF(名簿!$F81="転出","（転出）",""))</f>
        <v/>
      </c>
      <c r="D81" s="149"/>
      <c r="E81" s="61" t="str">
        <f aca="false">IF(OR($C81="",名簿!$F81="転出"),"",IF($C$2="学級ごと",$A81,IF($C$2="前の単元と同じ",単元09!$E81&amp;"",$D81&amp;"")))</f>
        <v/>
      </c>
      <c r="F81" s="150"/>
      <c r="G81" s="150"/>
      <c r="H81" s="150"/>
      <c r="I81" s="151"/>
      <c r="J81" s="41" t="str">
        <f aca="false">IF($E81="","",$E81&amp;"|"&amp;COUNTIF($E$5:$E81,$E81))</f>
        <v/>
      </c>
      <c r="K81" s="40" t="str">
        <f aca="false">IF($I81="","",LEN($I81))</f>
        <v/>
      </c>
      <c r="L81" s="13"/>
      <c r="M81" s="13"/>
      <c r="N81" s="13"/>
      <c r="O81" s="13"/>
      <c r="P81" s="152"/>
      <c r="Q81" s="149"/>
      <c r="R81" s="152"/>
      <c r="S81" s="152"/>
      <c r="T81" s="62" t="str">
        <f aca="false">IF(OR($C81="",R81=""),"",IF(R81/IF($R$2="",100,$R$2)&gt;=設定!$I$28,設定!$G$8,IF(R81/IF($R$2="",100,$R$2)&lt;設定!$I$29,設定!$G$10,設定!$G$9)))</f>
        <v/>
      </c>
      <c r="U81" s="62" t="str">
        <f aca="false">IF(OR($C81="",S81=""),"",IF(S81/IF($S$2="",100,$S$2)&gt;=設定!$I$28,設定!$G$8,IF(S81/IF($S$2="",100,$S$2)&lt;設定!$I$29,設定!$G$10,設定!$G$9)))</f>
        <v/>
      </c>
    </row>
    <row r="82" customFormat="false" ht="21" hidden="false" customHeight="true" outlineLevel="0" collapsed="false">
      <c r="A82" s="91" t="str">
        <f aca="false">IF(名簿!$D82="","",名簿!$B82&amp;"")</f>
        <v/>
      </c>
      <c r="B82" s="91" t="str">
        <f aca="false">IF(名簿!$D82="","",名簿!$C82)</f>
        <v/>
      </c>
      <c r="C82" s="59" t="str">
        <f aca="false">IF(名簿!$D82="","",名簿!$D82&amp;IF(名簿!$F82="転出","（転出）",""))</f>
        <v/>
      </c>
      <c r="D82" s="149"/>
      <c r="E82" s="61" t="str">
        <f aca="false">IF(OR($C82="",名簿!$F82="転出"),"",IF($C$2="学級ごと",$A82,IF($C$2="前の単元と同じ",単元09!$E82&amp;"",$D82&amp;"")))</f>
        <v/>
      </c>
      <c r="F82" s="150"/>
      <c r="G82" s="150"/>
      <c r="H82" s="150"/>
      <c r="I82" s="151"/>
      <c r="J82" s="41" t="str">
        <f aca="false">IF($E82="","",$E82&amp;"|"&amp;COUNTIF($E$5:$E82,$E82))</f>
        <v/>
      </c>
      <c r="K82" s="40" t="str">
        <f aca="false">IF($I82="","",LEN($I82))</f>
        <v/>
      </c>
      <c r="L82" s="13"/>
      <c r="M82" s="13"/>
      <c r="N82" s="13"/>
      <c r="O82" s="13"/>
      <c r="P82" s="152"/>
      <c r="Q82" s="149"/>
      <c r="R82" s="152"/>
      <c r="S82" s="152"/>
      <c r="T82" s="62" t="str">
        <f aca="false">IF(OR($C82="",R82=""),"",IF(R82/IF($R$2="",100,$R$2)&gt;=設定!$I$28,設定!$G$8,IF(R82/IF($R$2="",100,$R$2)&lt;設定!$I$29,設定!$G$10,設定!$G$9)))</f>
        <v/>
      </c>
      <c r="U82" s="62" t="str">
        <f aca="false">IF(OR($C82="",S82=""),"",IF(S82/IF($S$2="",100,$S$2)&gt;=設定!$I$28,設定!$G$8,IF(S82/IF($S$2="",100,$S$2)&lt;設定!$I$29,設定!$G$10,設定!$G$9)))</f>
        <v/>
      </c>
    </row>
    <row r="83" customFormat="false" ht="21" hidden="false" customHeight="true" outlineLevel="0" collapsed="false">
      <c r="A83" s="91" t="str">
        <f aca="false">IF(名簿!$D83="","",名簿!$B83&amp;"")</f>
        <v/>
      </c>
      <c r="B83" s="91" t="str">
        <f aca="false">IF(名簿!$D83="","",名簿!$C83)</f>
        <v/>
      </c>
      <c r="C83" s="59" t="str">
        <f aca="false">IF(名簿!$D83="","",名簿!$D83&amp;IF(名簿!$F83="転出","（転出）",""))</f>
        <v/>
      </c>
      <c r="D83" s="149"/>
      <c r="E83" s="61" t="str">
        <f aca="false">IF(OR($C83="",名簿!$F83="転出"),"",IF($C$2="学級ごと",$A83,IF($C$2="前の単元と同じ",単元09!$E83&amp;"",$D83&amp;"")))</f>
        <v/>
      </c>
      <c r="F83" s="150"/>
      <c r="G83" s="150"/>
      <c r="H83" s="150"/>
      <c r="I83" s="151"/>
      <c r="J83" s="41" t="str">
        <f aca="false">IF($E83="","",$E83&amp;"|"&amp;COUNTIF($E$5:$E83,$E83))</f>
        <v/>
      </c>
      <c r="K83" s="40" t="str">
        <f aca="false">IF($I83="","",LEN($I83))</f>
        <v/>
      </c>
      <c r="L83" s="13"/>
      <c r="M83" s="13"/>
      <c r="N83" s="13"/>
      <c r="O83" s="13"/>
      <c r="P83" s="152"/>
      <c r="Q83" s="149"/>
      <c r="R83" s="152"/>
      <c r="S83" s="152"/>
      <c r="T83" s="62" t="str">
        <f aca="false">IF(OR($C83="",R83=""),"",IF(R83/IF($R$2="",100,$R$2)&gt;=設定!$I$28,設定!$G$8,IF(R83/IF($R$2="",100,$R$2)&lt;設定!$I$29,設定!$G$10,設定!$G$9)))</f>
        <v/>
      </c>
      <c r="U83" s="62" t="str">
        <f aca="false">IF(OR($C83="",S83=""),"",IF(S83/IF($S$2="",100,$S$2)&gt;=設定!$I$28,設定!$G$8,IF(S83/IF($S$2="",100,$S$2)&lt;設定!$I$29,設定!$G$10,設定!$G$9)))</f>
        <v/>
      </c>
    </row>
    <row r="84" customFormat="false" ht="21" hidden="false" customHeight="true" outlineLevel="0" collapsed="false">
      <c r="A84" s="91" t="str">
        <f aca="false">IF(名簿!$D84="","",名簿!$B84&amp;"")</f>
        <v/>
      </c>
      <c r="B84" s="91" t="str">
        <f aca="false">IF(名簿!$D84="","",名簿!$C84)</f>
        <v/>
      </c>
      <c r="C84" s="59" t="str">
        <f aca="false">IF(名簿!$D84="","",名簿!$D84&amp;IF(名簿!$F84="転出","（転出）",""))</f>
        <v/>
      </c>
      <c r="D84" s="149"/>
      <c r="E84" s="61" t="str">
        <f aca="false">IF(OR($C84="",名簿!$F84="転出"),"",IF($C$2="学級ごと",$A84,IF($C$2="前の単元と同じ",単元09!$E84&amp;"",$D84&amp;"")))</f>
        <v/>
      </c>
      <c r="F84" s="150"/>
      <c r="G84" s="150"/>
      <c r="H84" s="150"/>
      <c r="I84" s="151"/>
      <c r="J84" s="41" t="str">
        <f aca="false">IF($E84="","",$E84&amp;"|"&amp;COUNTIF($E$5:$E84,$E84))</f>
        <v/>
      </c>
      <c r="K84" s="40" t="str">
        <f aca="false">IF($I84="","",LEN($I84))</f>
        <v/>
      </c>
      <c r="L84" s="13"/>
      <c r="M84" s="13"/>
      <c r="N84" s="13"/>
      <c r="O84" s="13"/>
      <c r="P84" s="152"/>
      <c r="Q84" s="149"/>
      <c r="R84" s="152"/>
      <c r="S84" s="152"/>
      <c r="T84" s="62" t="str">
        <f aca="false">IF(OR($C84="",R84=""),"",IF(R84/IF($R$2="",100,$R$2)&gt;=設定!$I$28,設定!$G$8,IF(R84/IF($R$2="",100,$R$2)&lt;設定!$I$29,設定!$G$10,設定!$G$9)))</f>
        <v/>
      </c>
      <c r="U84" s="62" t="str">
        <f aca="false">IF(OR($C84="",S84=""),"",IF(S84/IF($S$2="",100,$S$2)&gt;=設定!$I$28,設定!$G$8,IF(S84/IF($S$2="",100,$S$2)&lt;設定!$I$29,設定!$G$10,設定!$G$9)))</f>
        <v/>
      </c>
    </row>
    <row r="85" customFormat="false" ht="21" hidden="false" customHeight="true" outlineLevel="0" collapsed="false">
      <c r="A85" s="91" t="str">
        <f aca="false">IF(名簿!$D85="","",名簿!$B85&amp;"")</f>
        <v/>
      </c>
      <c r="B85" s="91" t="str">
        <f aca="false">IF(名簿!$D85="","",名簿!$C85)</f>
        <v/>
      </c>
      <c r="C85" s="59" t="str">
        <f aca="false">IF(名簿!$D85="","",名簿!$D85&amp;IF(名簿!$F85="転出","（転出）",""))</f>
        <v/>
      </c>
      <c r="D85" s="149"/>
      <c r="E85" s="61" t="str">
        <f aca="false">IF(OR($C85="",名簿!$F85="転出"),"",IF($C$2="学級ごと",$A85,IF($C$2="前の単元と同じ",単元09!$E85&amp;"",$D85&amp;"")))</f>
        <v/>
      </c>
      <c r="F85" s="150"/>
      <c r="G85" s="150"/>
      <c r="H85" s="150"/>
      <c r="I85" s="151"/>
      <c r="J85" s="41" t="str">
        <f aca="false">IF($E85="","",$E85&amp;"|"&amp;COUNTIF($E$5:$E85,$E85))</f>
        <v/>
      </c>
      <c r="K85" s="40" t="str">
        <f aca="false">IF($I85="","",LEN($I85))</f>
        <v/>
      </c>
      <c r="L85" s="13"/>
      <c r="M85" s="13"/>
      <c r="N85" s="13"/>
      <c r="O85" s="13"/>
      <c r="P85" s="152"/>
      <c r="Q85" s="149"/>
      <c r="R85" s="152"/>
      <c r="S85" s="152"/>
      <c r="T85" s="62" t="str">
        <f aca="false">IF(OR($C85="",R85=""),"",IF(R85/IF($R$2="",100,$R$2)&gt;=設定!$I$28,設定!$G$8,IF(R85/IF($R$2="",100,$R$2)&lt;設定!$I$29,設定!$G$10,設定!$G$9)))</f>
        <v/>
      </c>
      <c r="U85" s="62" t="str">
        <f aca="false">IF(OR($C85="",S85=""),"",IF(S85/IF($S$2="",100,$S$2)&gt;=設定!$I$28,設定!$G$8,IF(S85/IF($S$2="",100,$S$2)&lt;設定!$I$29,設定!$G$10,設定!$G$9)))</f>
        <v/>
      </c>
    </row>
    <row r="86" customFormat="false" ht="21" hidden="false" customHeight="true" outlineLevel="0" collapsed="false">
      <c r="A86" s="91" t="str">
        <f aca="false">IF(名簿!$D86="","",名簿!$B86&amp;"")</f>
        <v/>
      </c>
      <c r="B86" s="91" t="str">
        <f aca="false">IF(名簿!$D86="","",名簿!$C86)</f>
        <v/>
      </c>
      <c r="C86" s="59" t="str">
        <f aca="false">IF(名簿!$D86="","",名簿!$D86&amp;IF(名簿!$F86="転出","（転出）",""))</f>
        <v/>
      </c>
      <c r="D86" s="149"/>
      <c r="E86" s="61" t="str">
        <f aca="false">IF(OR($C86="",名簿!$F86="転出"),"",IF($C$2="学級ごと",$A86,IF($C$2="前の単元と同じ",単元09!$E86&amp;"",$D86&amp;"")))</f>
        <v/>
      </c>
      <c r="F86" s="150"/>
      <c r="G86" s="150"/>
      <c r="H86" s="150"/>
      <c r="I86" s="151"/>
      <c r="J86" s="41" t="str">
        <f aca="false">IF($E86="","",$E86&amp;"|"&amp;COUNTIF($E$5:$E86,$E86))</f>
        <v/>
      </c>
      <c r="K86" s="40" t="str">
        <f aca="false">IF($I86="","",LEN($I86))</f>
        <v/>
      </c>
      <c r="L86" s="13"/>
      <c r="M86" s="13"/>
      <c r="N86" s="13"/>
      <c r="O86" s="13"/>
      <c r="P86" s="152"/>
      <c r="Q86" s="149"/>
      <c r="R86" s="152"/>
      <c r="S86" s="152"/>
      <c r="T86" s="62" t="str">
        <f aca="false">IF(OR($C86="",R86=""),"",IF(R86/IF($R$2="",100,$R$2)&gt;=設定!$I$28,設定!$G$8,IF(R86/IF($R$2="",100,$R$2)&lt;設定!$I$29,設定!$G$10,設定!$G$9)))</f>
        <v/>
      </c>
      <c r="U86" s="62" t="str">
        <f aca="false">IF(OR($C86="",S86=""),"",IF(S86/IF($S$2="",100,$S$2)&gt;=設定!$I$28,設定!$G$8,IF(S86/IF($S$2="",100,$S$2)&lt;設定!$I$29,設定!$G$10,設定!$G$9)))</f>
        <v/>
      </c>
    </row>
    <row r="87" customFormat="false" ht="21" hidden="false" customHeight="true" outlineLevel="0" collapsed="false">
      <c r="A87" s="91" t="str">
        <f aca="false">IF(名簿!$D87="","",名簿!$B87&amp;"")</f>
        <v/>
      </c>
      <c r="B87" s="91" t="str">
        <f aca="false">IF(名簿!$D87="","",名簿!$C87)</f>
        <v/>
      </c>
      <c r="C87" s="59" t="str">
        <f aca="false">IF(名簿!$D87="","",名簿!$D87&amp;IF(名簿!$F87="転出","（転出）",""))</f>
        <v/>
      </c>
      <c r="D87" s="149"/>
      <c r="E87" s="61" t="str">
        <f aca="false">IF(OR($C87="",名簿!$F87="転出"),"",IF($C$2="学級ごと",$A87,IF($C$2="前の単元と同じ",単元09!$E87&amp;"",$D87&amp;"")))</f>
        <v/>
      </c>
      <c r="F87" s="150"/>
      <c r="G87" s="150"/>
      <c r="H87" s="150"/>
      <c r="I87" s="151"/>
      <c r="J87" s="41" t="str">
        <f aca="false">IF($E87="","",$E87&amp;"|"&amp;COUNTIF($E$5:$E87,$E87))</f>
        <v/>
      </c>
      <c r="K87" s="40" t="str">
        <f aca="false">IF($I87="","",LEN($I87))</f>
        <v/>
      </c>
      <c r="L87" s="13"/>
      <c r="M87" s="13"/>
      <c r="N87" s="13"/>
      <c r="O87" s="13"/>
      <c r="P87" s="152"/>
      <c r="Q87" s="149"/>
      <c r="R87" s="152"/>
      <c r="S87" s="152"/>
      <c r="T87" s="62" t="str">
        <f aca="false">IF(OR($C87="",R87=""),"",IF(R87/IF($R$2="",100,$R$2)&gt;=設定!$I$28,設定!$G$8,IF(R87/IF($R$2="",100,$R$2)&lt;設定!$I$29,設定!$G$10,設定!$G$9)))</f>
        <v/>
      </c>
      <c r="U87" s="62" t="str">
        <f aca="false">IF(OR($C87="",S87=""),"",IF(S87/IF($S$2="",100,$S$2)&gt;=設定!$I$28,設定!$G$8,IF(S87/IF($S$2="",100,$S$2)&lt;設定!$I$29,設定!$G$10,設定!$G$9)))</f>
        <v/>
      </c>
    </row>
    <row r="88" customFormat="false" ht="21" hidden="false" customHeight="true" outlineLevel="0" collapsed="false">
      <c r="A88" s="91" t="str">
        <f aca="false">IF(名簿!$D88="","",名簿!$B88&amp;"")</f>
        <v/>
      </c>
      <c r="B88" s="91" t="str">
        <f aca="false">IF(名簿!$D88="","",名簿!$C88)</f>
        <v/>
      </c>
      <c r="C88" s="59" t="str">
        <f aca="false">IF(名簿!$D88="","",名簿!$D88&amp;IF(名簿!$F88="転出","（転出）",""))</f>
        <v/>
      </c>
      <c r="D88" s="149"/>
      <c r="E88" s="61" t="str">
        <f aca="false">IF(OR($C88="",名簿!$F88="転出"),"",IF($C$2="学級ごと",$A88,IF($C$2="前の単元と同じ",単元09!$E88&amp;"",$D88&amp;"")))</f>
        <v/>
      </c>
      <c r="F88" s="150"/>
      <c r="G88" s="150"/>
      <c r="H88" s="150"/>
      <c r="I88" s="151"/>
      <c r="J88" s="41" t="str">
        <f aca="false">IF($E88="","",$E88&amp;"|"&amp;COUNTIF($E$5:$E88,$E88))</f>
        <v/>
      </c>
      <c r="K88" s="40" t="str">
        <f aca="false">IF($I88="","",LEN($I88))</f>
        <v/>
      </c>
      <c r="L88" s="13"/>
      <c r="M88" s="13"/>
      <c r="N88" s="13"/>
      <c r="O88" s="13"/>
      <c r="P88" s="152"/>
      <c r="Q88" s="149"/>
      <c r="R88" s="152"/>
      <c r="S88" s="152"/>
      <c r="T88" s="62" t="str">
        <f aca="false">IF(OR($C88="",R88=""),"",IF(R88/IF($R$2="",100,$R$2)&gt;=設定!$I$28,設定!$G$8,IF(R88/IF($R$2="",100,$R$2)&lt;設定!$I$29,設定!$G$10,設定!$G$9)))</f>
        <v/>
      </c>
      <c r="U88" s="62" t="str">
        <f aca="false">IF(OR($C88="",S88=""),"",IF(S88/IF($S$2="",100,$S$2)&gt;=設定!$I$28,設定!$G$8,IF(S88/IF($S$2="",100,$S$2)&lt;設定!$I$29,設定!$G$10,設定!$G$9)))</f>
        <v/>
      </c>
    </row>
    <row r="89" customFormat="false" ht="21" hidden="false" customHeight="true" outlineLevel="0" collapsed="false">
      <c r="A89" s="91" t="str">
        <f aca="false">IF(名簿!$D89="","",名簿!$B89&amp;"")</f>
        <v/>
      </c>
      <c r="B89" s="91" t="str">
        <f aca="false">IF(名簿!$D89="","",名簿!$C89)</f>
        <v/>
      </c>
      <c r="C89" s="59" t="str">
        <f aca="false">IF(名簿!$D89="","",名簿!$D89&amp;IF(名簿!$F89="転出","（転出）",""))</f>
        <v/>
      </c>
      <c r="D89" s="149"/>
      <c r="E89" s="61" t="str">
        <f aca="false">IF(OR($C89="",名簿!$F89="転出"),"",IF($C$2="学級ごと",$A89,IF($C$2="前の単元と同じ",単元09!$E89&amp;"",$D89&amp;"")))</f>
        <v/>
      </c>
      <c r="F89" s="150"/>
      <c r="G89" s="150"/>
      <c r="H89" s="150"/>
      <c r="I89" s="151"/>
      <c r="J89" s="41" t="str">
        <f aca="false">IF($E89="","",$E89&amp;"|"&amp;COUNTIF($E$5:$E89,$E89))</f>
        <v/>
      </c>
      <c r="K89" s="40" t="str">
        <f aca="false">IF($I89="","",LEN($I89))</f>
        <v/>
      </c>
      <c r="L89" s="13"/>
      <c r="M89" s="13"/>
      <c r="N89" s="13"/>
      <c r="O89" s="13"/>
      <c r="P89" s="152"/>
      <c r="Q89" s="149"/>
      <c r="R89" s="152"/>
      <c r="S89" s="152"/>
      <c r="T89" s="62" t="str">
        <f aca="false">IF(OR($C89="",R89=""),"",IF(R89/IF($R$2="",100,$R$2)&gt;=設定!$I$28,設定!$G$8,IF(R89/IF($R$2="",100,$R$2)&lt;設定!$I$29,設定!$G$10,設定!$G$9)))</f>
        <v/>
      </c>
      <c r="U89" s="62" t="str">
        <f aca="false">IF(OR($C89="",S89=""),"",IF(S89/IF($S$2="",100,$S$2)&gt;=設定!$I$28,設定!$G$8,IF(S89/IF($S$2="",100,$S$2)&lt;設定!$I$29,設定!$G$10,設定!$G$9)))</f>
        <v/>
      </c>
    </row>
    <row r="90" customFormat="false" ht="21" hidden="false" customHeight="true" outlineLevel="0" collapsed="false">
      <c r="A90" s="91" t="str">
        <f aca="false">IF(名簿!$D90="","",名簿!$B90&amp;"")</f>
        <v/>
      </c>
      <c r="B90" s="91" t="str">
        <f aca="false">IF(名簿!$D90="","",名簿!$C90)</f>
        <v/>
      </c>
      <c r="C90" s="59" t="str">
        <f aca="false">IF(名簿!$D90="","",名簿!$D90&amp;IF(名簿!$F90="転出","（転出）",""))</f>
        <v/>
      </c>
      <c r="D90" s="149"/>
      <c r="E90" s="61" t="str">
        <f aca="false">IF(OR($C90="",名簿!$F90="転出"),"",IF($C$2="学級ごと",$A90,IF($C$2="前の単元と同じ",単元09!$E90&amp;"",$D90&amp;"")))</f>
        <v/>
      </c>
      <c r="F90" s="150"/>
      <c r="G90" s="150"/>
      <c r="H90" s="150"/>
      <c r="I90" s="151"/>
      <c r="J90" s="41" t="str">
        <f aca="false">IF($E90="","",$E90&amp;"|"&amp;COUNTIF($E$5:$E90,$E90))</f>
        <v/>
      </c>
      <c r="K90" s="40" t="str">
        <f aca="false">IF($I90="","",LEN($I90))</f>
        <v/>
      </c>
      <c r="L90" s="13"/>
      <c r="M90" s="13"/>
      <c r="N90" s="13"/>
      <c r="O90" s="13"/>
      <c r="P90" s="152"/>
      <c r="Q90" s="149"/>
      <c r="R90" s="152"/>
      <c r="S90" s="152"/>
      <c r="T90" s="62" t="str">
        <f aca="false">IF(OR($C90="",R90=""),"",IF(R90/IF($R$2="",100,$R$2)&gt;=設定!$I$28,設定!$G$8,IF(R90/IF($R$2="",100,$R$2)&lt;設定!$I$29,設定!$G$10,設定!$G$9)))</f>
        <v/>
      </c>
      <c r="U90" s="62" t="str">
        <f aca="false">IF(OR($C90="",S90=""),"",IF(S90/IF($S$2="",100,$S$2)&gt;=設定!$I$28,設定!$G$8,IF(S90/IF($S$2="",100,$S$2)&lt;設定!$I$29,設定!$G$10,設定!$G$9)))</f>
        <v/>
      </c>
    </row>
    <row r="91" customFormat="false" ht="21" hidden="false" customHeight="true" outlineLevel="0" collapsed="false">
      <c r="A91" s="91" t="str">
        <f aca="false">IF(名簿!$D91="","",名簿!$B91&amp;"")</f>
        <v/>
      </c>
      <c r="B91" s="91" t="str">
        <f aca="false">IF(名簿!$D91="","",名簿!$C91)</f>
        <v/>
      </c>
      <c r="C91" s="59" t="str">
        <f aca="false">IF(名簿!$D91="","",名簿!$D91&amp;IF(名簿!$F91="転出","（転出）",""))</f>
        <v/>
      </c>
      <c r="D91" s="149"/>
      <c r="E91" s="61" t="str">
        <f aca="false">IF(OR($C91="",名簿!$F91="転出"),"",IF($C$2="学級ごと",$A91,IF($C$2="前の単元と同じ",単元09!$E91&amp;"",$D91&amp;"")))</f>
        <v/>
      </c>
      <c r="F91" s="150"/>
      <c r="G91" s="150"/>
      <c r="H91" s="150"/>
      <c r="I91" s="151"/>
      <c r="J91" s="41" t="str">
        <f aca="false">IF($E91="","",$E91&amp;"|"&amp;COUNTIF($E$5:$E91,$E91))</f>
        <v/>
      </c>
      <c r="K91" s="40" t="str">
        <f aca="false">IF($I91="","",LEN($I91))</f>
        <v/>
      </c>
      <c r="L91" s="13"/>
      <c r="M91" s="13"/>
      <c r="N91" s="13"/>
      <c r="O91" s="13"/>
      <c r="P91" s="152"/>
      <c r="Q91" s="149"/>
      <c r="R91" s="152"/>
      <c r="S91" s="152"/>
      <c r="T91" s="62" t="str">
        <f aca="false">IF(OR($C91="",R91=""),"",IF(R91/IF($R$2="",100,$R$2)&gt;=設定!$I$28,設定!$G$8,IF(R91/IF($R$2="",100,$R$2)&lt;設定!$I$29,設定!$G$10,設定!$G$9)))</f>
        <v/>
      </c>
      <c r="U91" s="62" t="str">
        <f aca="false">IF(OR($C91="",S91=""),"",IF(S91/IF($S$2="",100,$S$2)&gt;=設定!$I$28,設定!$G$8,IF(S91/IF($S$2="",100,$S$2)&lt;設定!$I$29,設定!$G$10,設定!$G$9)))</f>
        <v/>
      </c>
    </row>
    <row r="92" customFormat="false" ht="21" hidden="false" customHeight="true" outlineLevel="0" collapsed="false">
      <c r="A92" s="91" t="str">
        <f aca="false">IF(名簿!$D92="","",名簿!$B92&amp;"")</f>
        <v/>
      </c>
      <c r="B92" s="91" t="str">
        <f aca="false">IF(名簿!$D92="","",名簿!$C92)</f>
        <v/>
      </c>
      <c r="C92" s="59" t="str">
        <f aca="false">IF(名簿!$D92="","",名簿!$D92&amp;IF(名簿!$F92="転出","（転出）",""))</f>
        <v/>
      </c>
      <c r="D92" s="149"/>
      <c r="E92" s="61" t="str">
        <f aca="false">IF(OR($C92="",名簿!$F92="転出"),"",IF($C$2="学級ごと",$A92,IF($C$2="前の単元と同じ",単元09!$E92&amp;"",$D92&amp;"")))</f>
        <v/>
      </c>
      <c r="F92" s="150"/>
      <c r="G92" s="150"/>
      <c r="H92" s="150"/>
      <c r="I92" s="151"/>
      <c r="J92" s="41" t="str">
        <f aca="false">IF($E92="","",$E92&amp;"|"&amp;COUNTIF($E$5:$E92,$E92))</f>
        <v/>
      </c>
      <c r="K92" s="40" t="str">
        <f aca="false">IF($I92="","",LEN($I92))</f>
        <v/>
      </c>
      <c r="L92" s="13"/>
      <c r="M92" s="13"/>
      <c r="N92" s="13"/>
      <c r="O92" s="13"/>
      <c r="P92" s="152"/>
      <c r="Q92" s="149"/>
      <c r="R92" s="152"/>
      <c r="S92" s="152"/>
      <c r="T92" s="62" t="str">
        <f aca="false">IF(OR($C92="",R92=""),"",IF(R92/IF($R$2="",100,$R$2)&gt;=設定!$I$28,設定!$G$8,IF(R92/IF($R$2="",100,$R$2)&lt;設定!$I$29,設定!$G$10,設定!$G$9)))</f>
        <v/>
      </c>
      <c r="U92" s="62" t="str">
        <f aca="false">IF(OR($C92="",S92=""),"",IF(S92/IF($S$2="",100,$S$2)&gt;=設定!$I$28,設定!$G$8,IF(S92/IF($S$2="",100,$S$2)&lt;設定!$I$29,設定!$G$10,設定!$G$9)))</f>
        <v/>
      </c>
    </row>
    <row r="93" customFormat="false" ht="21" hidden="false" customHeight="true" outlineLevel="0" collapsed="false">
      <c r="A93" s="91" t="str">
        <f aca="false">IF(名簿!$D93="","",名簿!$B93&amp;"")</f>
        <v/>
      </c>
      <c r="B93" s="91" t="str">
        <f aca="false">IF(名簿!$D93="","",名簿!$C93)</f>
        <v/>
      </c>
      <c r="C93" s="59" t="str">
        <f aca="false">IF(名簿!$D93="","",名簿!$D93&amp;IF(名簿!$F93="転出","（転出）",""))</f>
        <v/>
      </c>
      <c r="D93" s="149"/>
      <c r="E93" s="61" t="str">
        <f aca="false">IF(OR($C93="",名簿!$F93="転出"),"",IF($C$2="学級ごと",$A93,IF($C$2="前の単元と同じ",単元09!$E93&amp;"",$D93&amp;"")))</f>
        <v/>
      </c>
      <c r="F93" s="150"/>
      <c r="G93" s="150"/>
      <c r="H93" s="150"/>
      <c r="I93" s="151"/>
      <c r="J93" s="41" t="str">
        <f aca="false">IF($E93="","",$E93&amp;"|"&amp;COUNTIF($E$5:$E93,$E93))</f>
        <v/>
      </c>
      <c r="K93" s="40" t="str">
        <f aca="false">IF($I93="","",LEN($I93))</f>
        <v/>
      </c>
      <c r="L93" s="13"/>
      <c r="M93" s="13"/>
      <c r="N93" s="13"/>
      <c r="O93" s="13"/>
      <c r="P93" s="152"/>
      <c r="Q93" s="149"/>
      <c r="R93" s="152"/>
      <c r="S93" s="152"/>
      <c r="T93" s="62" t="str">
        <f aca="false">IF(OR($C93="",R93=""),"",IF(R93/IF($R$2="",100,$R$2)&gt;=設定!$I$28,設定!$G$8,IF(R93/IF($R$2="",100,$R$2)&lt;設定!$I$29,設定!$G$10,設定!$G$9)))</f>
        <v/>
      </c>
      <c r="U93" s="62" t="str">
        <f aca="false">IF(OR($C93="",S93=""),"",IF(S93/IF($S$2="",100,$S$2)&gt;=設定!$I$28,設定!$G$8,IF(S93/IF($S$2="",100,$S$2)&lt;設定!$I$29,設定!$G$10,設定!$G$9)))</f>
        <v/>
      </c>
    </row>
    <row r="94" customFormat="false" ht="21" hidden="false" customHeight="true" outlineLevel="0" collapsed="false">
      <c r="A94" s="91" t="str">
        <f aca="false">IF(名簿!$D94="","",名簿!$B94&amp;"")</f>
        <v/>
      </c>
      <c r="B94" s="91" t="str">
        <f aca="false">IF(名簿!$D94="","",名簿!$C94)</f>
        <v/>
      </c>
      <c r="C94" s="59" t="str">
        <f aca="false">IF(名簿!$D94="","",名簿!$D94&amp;IF(名簿!$F94="転出","（転出）",""))</f>
        <v/>
      </c>
      <c r="D94" s="149"/>
      <c r="E94" s="61" t="str">
        <f aca="false">IF(OR($C94="",名簿!$F94="転出"),"",IF($C$2="学級ごと",$A94,IF($C$2="前の単元と同じ",単元09!$E94&amp;"",$D94&amp;"")))</f>
        <v/>
      </c>
      <c r="F94" s="150"/>
      <c r="G94" s="150"/>
      <c r="H94" s="150"/>
      <c r="I94" s="151"/>
      <c r="J94" s="41" t="str">
        <f aca="false">IF($E94="","",$E94&amp;"|"&amp;COUNTIF($E$5:$E94,$E94))</f>
        <v/>
      </c>
      <c r="K94" s="40" t="str">
        <f aca="false">IF($I94="","",LEN($I94))</f>
        <v/>
      </c>
      <c r="L94" s="13"/>
      <c r="M94" s="13"/>
      <c r="N94" s="13"/>
      <c r="O94" s="13"/>
      <c r="P94" s="152"/>
      <c r="Q94" s="149"/>
      <c r="R94" s="152"/>
      <c r="S94" s="152"/>
      <c r="T94" s="62" t="str">
        <f aca="false">IF(OR($C94="",R94=""),"",IF(R94/IF($R$2="",100,$R$2)&gt;=設定!$I$28,設定!$G$8,IF(R94/IF($R$2="",100,$R$2)&lt;設定!$I$29,設定!$G$10,設定!$G$9)))</f>
        <v/>
      </c>
      <c r="U94" s="62" t="str">
        <f aca="false">IF(OR($C94="",S94=""),"",IF(S94/IF($S$2="",100,$S$2)&gt;=設定!$I$28,設定!$G$8,IF(S94/IF($S$2="",100,$S$2)&lt;設定!$I$29,設定!$G$10,設定!$G$9)))</f>
        <v/>
      </c>
    </row>
    <row r="95" customFormat="false" ht="21" hidden="false" customHeight="true" outlineLevel="0" collapsed="false">
      <c r="A95" s="91" t="str">
        <f aca="false">IF(名簿!$D95="","",名簿!$B95&amp;"")</f>
        <v/>
      </c>
      <c r="B95" s="91" t="str">
        <f aca="false">IF(名簿!$D95="","",名簿!$C95)</f>
        <v/>
      </c>
      <c r="C95" s="59" t="str">
        <f aca="false">IF(名簿!$D95="","",名簿!$D95&amp;IF(名簿!$F95="転出","（転出）",""))</f>
        <v/>
      </c>
      <c r="D95" s="149"/>
      <c r="E95" s="61" t="str">
        <f aca="false">IF(OR($C95="",名簿!$F95="転出"),"",IF($C$2="学級ごと",$A95,IF($C$2="前の単元と同じ",単元09!$E95&amp;"",$D95&amp;"")))</f>
        <v/>
      </c>
      <c r="F95" s="150"/>
      <c r="G95" s="150"/>
      <c r="H95" s="150"/>
      <c r="I95" s="151"/>
      <c r="J95" s="41" t="str">
        <f aca="false">IF($E95="","",$E95&amp;"|"&amp;COUNTIF($E$5:$E95,$E95))</f>
        <v/>
      </c>
      <c r="K95" s="40" t="str">
        <f aca="false">IF($I95="","",LEN($I95))</f>
        <v/>
      </c>
      <c r="L95" s="13"/>
      <c r="M95" s="13"/>
      <c r="N95" s="13"/>
      <c r="O95" s="13"/>
      <c r="P95" s="152"/>
      <c r="Q95" s="149"/>
      <c r="R95" s="152"/>
      <c r="S95" s="152"/>
      <c r="T95" s="62" t="str">
        <f aca="false">IF(OR($C95="",R95=""),"",IF(R95/IF($R$2="",100,$R$2)&gt;=設定!$I$28,設定!$G$8,IF(R95/IF($R$2="",100,$R$2)&lt;設定!$I$29,設定!$G$10,設定!$G$9)))</f>
        <v/>
      </c>
      <c r="U95" s="62" t="str">
        <f aca="false">IF(OR($C95="",S95=""),"",IF(S95/IF($S$2="",100,$S$2)&gt;=設定!$I$28,設定!$G$8,IF(S95/IF($S$2="",100,$S$2)&lt;設定!$I$29,設定!$G$10,設定!$G$9)))</f>
        <v/>
      </c>
    </row>
    <row r="96" customFormat="false" ht="21" hidden="false" customHeight="true" outlineLevel="0" collapsed="false">
      <c r="A96" s="91" t="str">
        <f aca="false">IF(名簿!$D96="","",名簿!$B96&amp;"")</f>
        <v/>
      </c>
      <c r="B96" s="91" t="str">
        <f aca="false">IF(名簿!$D96="","",名簿!$C96)</f>
        <v/>
      </c>
      <c r="C96" s="59" t="str">
        <f aca="false">IF(名簿!$D96="","",名簿!$D96&amp;IF(名簿!$F96="転出","（転出）",""))</f>
        <v/>
      </c>
      <c r="D96" s="149"/>
      <c r="E96" s="61" t="str">
        <f aca="false">IF(OR($C96="",名簿!$F96="転出"),"",IF($C$2="学級ごと",$A96,IF($C$2="前の単元と同じ",単元09!$E96&amp;"",$D96&amp;"")))</f>
        <v/>
      </c>
      <c r="F96" s="150"/>
      <c r="G96" s="150"/>
      <c r="H96" s="150"/>
      <c r="I96" s="151"/>
      <c r="J96" s="41" t="str">
        <f aca="false">IF($E96="","",$E96&amp;"|"&amp;COUNTIF($E$5:$E96,$E96))</f>
        <v/>
      </c>
      <c r="K96" s="40" t="str">
        <f aca="false">IF($I96="","",LEN($I96))</f>
        <v/>
      </c>
      <c r="L96" s="13"/>
      <c r="M96" s="13"/>
      <c r="N96" s="13"/>
      <c r="O96" s="13"/>
      <c r="P96" s="152"/>
      <c r="Q96" s="149"/>
      <c r="R96" s="152"/>
      <c r="S96" s="152"/>
      <c r="T96" s="62" t="str">
        <f aca="false">IF(OR($C96="",R96=""),"",IF(R96/IF($R$2="",100,$R$2)&gt;=設定!$I$28,設定!$G$8,IF(R96/IF($R$2="",100,$R$2)&lt;設定!$I$29,設定!$G$10,設定!$G$9)))</f>
        <v/>
      </c>
      <c r="U96" s="62" t="str">
        <f aca="false">IF(OR($C96="",S96=""),"",IF(S96/IF($S$2="",100,$S$2)&gt;=設定!$I$28,設定!$G$8,IF(S96/IF($S$2="",100,$S$2)&lt;設定!$I$29,設定!$G$10,設定!$G$9)))</f>
        <v/>
      </c>
    </row>
    <row r="97" customFormat="false" ht="21" hidden="false" customHeight="true" outlineLevel="0" collapsed="false">
      <c r="A97" s="91" t="str">
        <f aca="false">IF(名簿!$D97="","",名簿!$B97&amp;"")</f>
        <v/>
      </c>
      <c r="B97" s="91" t="str">
        <f aca="false">IF(名簿!$D97="","",名簿!$C97)</f>
        <v/>
      </c>
      <c r="C97" s="59" t="str">
        <f aca="false">IF(名簿!$D97="","",名簿!$D97&amp;IF(名簿!$F97="転出","（転出）",""))</f>
        <v/>
      </c>
      <c r="D97" s="149"/>
      <c r="E97" s="61" t="str">
        <f aca="false">IF(OR($C97="",名簿!$F97="転出"),"",IF($C$2="学級ごと",$A97,IF($C$2="前の単元と同じ",単元09!$E97&amp;"",$D97&amp;"")))</f>
        <v/>
      </c>
      <c r="F97" s="150"/>
      <c r="G97" s="150"/>
      <c r="H97" s="150"/>
      <c r="I97" s="151"/>
      <c r="J97" s="41" t="str">
        <f aca="false">IF($E97="","",$E97&amp;"|"&amp;COUNTIF($E$5:$E97,$E97))</f>
        <v/>
      </c>
      <c r="K97" s="40" t="str">
        <f aca="false">IF($I97="","",LEN($I97))</f>
        <v/>
      </c>
      <c r="L97" s="13"/>
      <c r="M97" s="13"/>
      <c r="N97" s="13"/>
      <c r="O97" s="13"/>
      <c r="P97" s="152"/>
      <c r="Q97" s="149"/>
      <c r="R97" s="152"/>
      <c r="S97" s="152"/>
      <c r="T97" s="62" t="str">
        <f aca="false">IF(OR($C97="",R97=""),"",IF(R97/IF($R$2="",100,$R$2)&gt;=設定!$I$28,設定!$G$8,IF(R97/IF($R$2="",100,$R$2)&lt;設定!$I$29,設定!$G$10,設定!$G$9)))</f>
        <v/>
      </c>
      <c r="U97" s="62" t="str">
        <f aca="false">IF(OR($C97="",S97=""),"",IF(S97/IF($S$2="",100,$S$2)&gt;=設定!$I$28,設定!$G$8,IF(S97/IF($S$2="",100,$S$2)&lt;設定!$I$29,設定!$G$10,設定!$G$9)))</f>
        <v/>
      </c>
    </row>
    <row r="98" customFormat="false" ht="21" hidden="false" customHeight="true" outlineLevel="0" collapsed="false">
      <c r="A98" s="91" t="str">
        <f aca="false">IF(名簿!$D98="","",名簿!$B98&amp;"")</f>
        <v/>
      </c>
      <c r="B98" s="91" t="str">
        <f aca="false">IF(名簿!$D98="","",名簿!$C98)</f>
        <v/>
      </c>
      <c r="C98" s="59" t="str">
        <f aca="false">IF(名簿!$D98="","",名簿!$D98&amp;IF(名簿!$F98="転出","（転出）",""))</f>
        <v/>
      </c>
      <c r="D98" s="149"/>
      <c r="E98" s="61" t="str">
        <f aca="false">IF(OR($C98="",名簿!$F98="転出"),"",IF($C$2="学級ごと",$A98,IF($C$2="前の単元と同じ",単元09!$E98&amp;"",$D98&amp;"")))</f>
        <v/>
      </c>
      <c r="F98" s="150"/>
      <c r="G98" s="150"/>
      <c r="H98" s="150"/>
      <c r="I98" s="151"/>
      <c r="J98" s="41" t="str">
        <f aca="false">IF($E98="","",$E98&amp;"|"&amp;COUNTIF($E$5:$E98,$E98))</f>
        <v/>
      </c>
      <c r="K98" s="40" t="str">
        <f aca="false">IF($I98="","",LEN($I98))</f>
        <v/>
      </c>
      <c r="L98" s="13"/>
      <c r="M98" s="13"/>
      <c r="N98" s="13"/>
      <c r="O98" s="13"/>
      <c r="P98" s="152"/>
      <c r="Q98" s="149"/>
      <c r="R98" s="152"/>
      <c r="S98" s="152"/>
      <c r="T98" s="62" t="str">
        <f aca="false">IF(OR($C98="",R98=""),"",IF(R98/IF($R$2="",100,$R$2)&gt;=設定!$I$28,設定!$G$8,IF(R98/IF($R$2="",100,$R$2)&lt;設定!$I$29,設定!$G$10,設定!$G$9)))</f>
        <v/>
      </c>
      <c r="U98" s="62" t="str">
        <f aca="false">IF(OR($C98="",S98=""),"",IF(S98/IF($S$2="",100,$S$2)&gt;=設定!$I$28,設定!$G$8,IF(S98/IF($S$2="",100,$S$2)&lt;設定!$I$29,設定!$G$10,設定!$G$9)))</f>
        <v/>
      </c>
    </row>
    <row r="99" customFormat="false" ht="21" hidden="false" customHeight="true" outlineLevel="0" collapsed="false">
      <c r="A99" s="91" t="str">
        <f aca="false">IF(名簿!$D99="","",名簿!$B99&amp;"")</f>
        <v/>
      </c>
      <c r="B99" s="91" t="str">
        <f aca="false">IF(名簿!$D99="","",名簿!$C99)</f>
        <v/>
      </c>
      <c r="C99" s="59" t="str">
        <f aca="false">IF(名簿!$D99="","",名簿!$D99&amp;IF(名簿!$F99="転出","（転出）",""))</f>
        <v/>
      </c>
      <c r="D99" s="149"/>
      <c r="E99" s="61" t="str">
        <f aca="false">IF(OR($C99="",名簿!$F99="転出"),"",IF($C$2="学級ごと",$A99,IF($C$2="前の単元と同じ",単元09!$E99&amp;"",$D99&amp;"")))</f>
        <v/>
      </c>
      <c r="F99" s="150"/>
      <c r="G99" s="150"/>
      <c r="H99" s="150"/>
      <c r="I99" s="151"/>
      <c r="J99" s="41" t="str">
        <f aca="false">IF($E99="","",$E99&amp;"|"&amp;COUNTIF($E$5:$E99,$E99))</f>
        <v/>
      </c>
      <c r="K99" s="40" t="str">
        <f aca="false">IF($I99="","",LEN($I99))</f>
        <v/>
      </c>
      <c r="L99" s="13"/>
      <c r="M99" s="13"/>
      <c r="N99" s="13"/>
      <c r="O99" s="13"/>
      <c r="P99" s="152"/>
      <c r="Q99" s="149"/>
      <c r="R99" s="152"/>
      <c r="S99" s="152"/>
      <c r="T99" s="62" t="str">
        <f aca="false">IF(OR($C99="",R99=""),"",IF(R99/IF($R$2="",100,$R$2)&gt;=設定!$I$28,設定!$G$8,IF(R99/IF($R$2="",100,$R$2)&lt;設定!$I$29,設定!$G$10,設定!$G$9)))</f>
        <v/>
      </c>
      <c r="U99" s="62" t="str">
        <f aca="false">IF(OR($C99="",S99=""),"",IF(S99/IF($S$2="",100,$S$2)&gt;=設定!$I$28,設定!$G$8,IF(S99/IF($S$2="",100,$S$2)&lt;設定!$I$29,設定!$G$10,設定!$G$9)))</f>
        <v/>
      </c>
    </row>
    <row r="100" customFormat="false" ht="21" hidden="false" customHeight="true" outlineLevel="0" collapsed="false">
      <c r="A100" s="91" t="str">
        <f aca="false">IF(名簿!$D100="","",名簿!$B100&amp;"")</f>
        <v/>
      </c>
      <c r="B100" s="91" t="str">
        <f aca="false">IF(名簿!$D100="","",名簿!$C100)</f>
        <v/>
      </c>
      <c r="C100" s="59" t="str">
        <f aca="false">IF(名簿!$D100="","",名簿!$D100&amp;IF(名簿!$F100="転出","（転出）",""))</f>
        <v/>
      </c>
      <c r="D100" s="149"/>
      <c r="E100" s="61" t="str">
        <f aca="false">IF(OR($C100="",名簿!$F100="転出"),"",IF($C$2="学級ごと",$A100,IF($C$2="前の単元と同じ",単元09!$E100&amp;"",$D100&amp;"")))</f>
        <v/>
      </c>
      <c r="F100" s="150"/>
      <c r="G100" s="150"/>
      <c r="H100" s="150"/>
      <c r="I100" s="151"/>
      <c r="J100" s="41" t="str">
        <f aca="false">IF($E100="","",$E100&amp;"|"&amp;COUNTIF($E$5:$E100,$E100))</f>
        <v/>
      </c>
      <c r="K100" s="40" t="str">
        <f aca="false">IF($I100="","",LEN($I100))</f>
        <v/>
      </c>
      <c r="L100" s="13"/>
      <c r="M100" s="13"/>
      <c r="N100" s="13"/>
      <c r="O100" s="13"/>
      <c r="P100" s="152"/>
      <c r="Q100" s="149"/>
      <c r="R100" s="152"/>
      <c r="S100" s="152"/>
      <c r="T100" s="62" t="str">
        <f aca="false">IF(OR($C100="",R100=""),"",IF(R100/IF($R$2="",100,$R$2)&gt;=設定!$I$28,設定!$G$8,IF(R100/IF($R$2="",100,$R$2)&lt;設定!$I$29,設定!$G$10,設定!$G$9)))</f>
        <v/>
      </c>
      <c r="U100" s="62" t="str">
        <f aca="false">IF(OR($C100="",S100=""),"",IF(S100/IF($S$2="",100,$S$2)&gt;=設定!$I$28,設定!$G$8,IF(S100/IF($S$2="",100,$S$2)&lt;設定!$I$29,設定!$G$10,設定!$G$9)))</f>
        <v/>
      </c>
    </row>
    <row r="101" customFormat="false" ht="21" hidden="false" customHeight="true" outlineLevel="0" collapsed="false">
      <c r="A101" s="91" t="str">
        <f aca="false">IF(名簿!$D101="","",名簿!$B101&amp;"")</f>
        <v/>
      </c>
      <c r="B101" s="91" t="str">
        <f aca="false">IF(名簿!$D101="","",名簿!$C101)</f>
        <v/>
      </c>
      <c r="C101" s="59" t="str">
        <f aca="false">IF(名簿!$D101="","",名簿!$D101&amp;IF(名簿!$F101="転出","（転出）",""))</f>
        <v/>
      </c>
      <c r="D101" s="149"/>
      <c r="E101" s="61" t="str">
        <f aca="false">IF(OR($C101="",名簿!$F101="転出"),"",IF($C$2="学級ごと",$A101,IF($C$2="前の単元と同じ",単元09!$E101&amp;"",$D101&amp;"")))</f>
        <v/>
      </c>
      <c r="F101" s="150"/>
      <c r="G101" s="150"/>
      <c r="H101" s="150"/>
      <c r="I101" s="151"/>
      <c r="J101" s="41" t="str">
        <f aca="false">IF($E101="","",$E101&amp;"|"&amp;COUNTIF($E$5:$E101,$E101))</f>
        <v/>
      </c>
      <c r="K101" s="40" t="str">
        <f aca="false">IF($I101="","",LEN($I101))</f>
        <v/>
      </c>
      <c r="L101" s="13"/>
      <c r="M101" s="13"/>
      <c r="N101" s="13"/>
      <c r="O101" s="13"/>
      <c r="P101" s="152"/>
      <c r="Q101" s="149"/>
      <c r="R101" s="152"/>
      <c r="S101" s="152"/>
      <c r="T101" s="62" t="str">
        <f aca="false">IF(OR($C101="",R101=""),"",IF(R101/IF($R$2="",100,$R$2)&gt;=設定!$I$28,設定!$G$8,IF(R101/IF($R$2="",100,$R$2)&lt;設定!$I$29,設定!$G$10,設定!$G$9)))</f>
        <v/>
      </c>
      <c r="U101" s="62" t="str">
        <f aca="false">IF(OR($C101="",S101=""),"",IF(S101/IF($S$2="",100,$S$2)&gt;=設定!$I$28,設定!$G$8,IF(S101/IF($S$2="",100,$S$2)&lt;設定!$I$29,設定!$G$10,設定!$G$9)))</f>
        <v/>
      </c>
    </row>
    <row r="102" customFormat="false" ht="21" hidden="false" customHeight="true" outlineLevel="0" collapsed="false">
      <c r="A102" s="91" t="str">
        <f aca="false">IF(名簿!$D102="","",名簿!$B102&amp;"")</f>
        <v/>
      </c>
      <c r="B102" s="91" t="str">
        <f aca="false">IF(名簿!$D102="","",名簿!$C102)</f>
        <v/>
      </c>
      <c r="C102" s="59" t="str">
        <f aca="false">IF(名簿!$D102="","",名簿!$D102&amp;IF(名簿!$F102="転出","（転出）",""))</f>
        <v/>
      </c>
      <c r="D102" s="149"/>
      <c r="E102" s="61" t="str">
        <f aca="false">IF(OR($C102="",名簿!$F102="転出"),"",IF($C$2="学級ごと",$A102,IF($C$2="前の単元と同じ",単元09!$E102&amp;"",$D102&amp;"")))</f>
        <v/>
      </c>
      <c r="F102" s="150"/>
      <c r="G102" s="150"/>
      <c r="H102" s="150"/>
      <c r="I102" s="151"/>
      <c r="J102" s="41" t="str">
        <f aca="false">IF($E102="","",$E102&amp;"|"&amp;COUNTIF($E$5:$E102,$E102))</f>
        <v/>
      </c>
      <c r="K102" s="40" t="str">
        <f aca="false">IF($I102="","",LEN($I102))</f>
        <v/>
      </c>
      <c r="L102" s="13"/>
      <c r="M102" s="13"/>
      <c r="N102" s="13"/>
      <c r="O102" s="13"/>
      <c r="P102" s="152"/>
      <c r="Q102" s="149"/>
      <c r="R102" s="152"/>
      <c r="S102" s="152"/>
      <c r="T102" s="62" t="str">
        <f aca="false">IF(OR($C102="",R102=""),"",IF(R102/IF($R$2="",100,$R$2)&gt;=設定!$I$28,設定!$G$8,IF(R102/IF($R$2="",100,$R$2)&lt;設定!$I$29,設定!$G$10,設定!$G$9)))</f>
        <v/>
      </c>
      <c r="U102" s="62" t="str">
        <f aca="false">IF(OR($C102="",S102=""),"",IF(S102/IF($S$2="",100,$S$2)&gt;=設定!$I$28,設定!$G$8,IF(S102/IF($S$2="",100,$S$2)&lt;設定!$I$29,設定!$G$10,設定!$G$9)))</f>
        <v/>
      </c>
    </row>
    <row r="103" customFormat="false" ht="21" hidden="false" customHeight="true" outlineLevel="0" collapsed="false">
      <c r="A103" s="91" t="str">
        <f aca="false">IF(名簿!$D103="","",名簿!$B103&amp;"")</f>
        <v/>
      </c>
      <c r="B103" s="91" t="str">
        <f aca="false">IF(名簿!$D103="","",名簿!$C103)</f>
        <v/>
      </c>
      <c r="C103" s="59" t="str">
        <f aca="false">IF(名簿!$D103="","",名簿!$D103&amp;IF(名簿!$F103="転出","（転出）",""))</f>
        <v/>
      </c>
      <c r="D103" s="149"/>
      <c r="E103" s="61" t="str">
        <f aca="false">IF(OR($C103="",名簿!$F103="転出"),"",IF($C$2="学級ごと",$A103,IF($C$2="前の単元と同じ",単元09!$E103&amp;"",$D103&amp;"")))</f>
        <v/>
      </c>
      <c r="F103" s="150"/>
      <c r="G103" s="150"/>
      <c r="H103" s="150"/>
      <c r="I103" s="151"/>
      <c r="J103" s="41" t="str">
        <f aca="false">IF($E103="","",$E103&amp;"|"&amp;COUNTIF($E$5:$E103,$E103))</f>
        <v/>
      </c>
      <c r="K103" s="40" t="str">
        <f aca="false">IF($I103="","",LEN($I103))</f>
        <v/>
      </c>
      <c r="L103" s="13"/>
      <c r="M103" s="13"/>
      <c r="N103" s="13"/>
      <c r="O103" s="13"/>
      <c r="P103" s="152"/>
      <c r="Q103" s="149"/>
      <c r="R103" s="152"/>
      <c r="S103" s="152"/>
      <c r="T103" s="62" t="str">
        <f aca="false">IF(OR($C103="",R103=""),"",IF(R103/IF($R$2="",100,$R$2)&gt;=設定!$I$28,設定!$G$8,IF(R103/IF($R$2="",100,$R$2)&lt;設定!$I$29,設定!$G$10,設定!$G$9)))</f>
        <v/>
      </c>
      <c r="U103" s="62" t="str">
        <f aca="false">IF(OR($C103="",S103=""),"",IF(S103/IF($S$2="",100,$S$2)&gt;=設定!$I$28,設定!$G$8,IF(S103/IF($S$2="",100,$S$2)&lt;設定!$I$29,設定!$G$10,設定!$G$9)))</f>
        <v/>
      </c>
    </row>
    <row r="104" customFormat="false" ht="21" hidden="false" customHeight="true" outlineLevel="0" collapsed="false">
      <c r="A104" s="91" t="str">
        <f aca="false">IF(名簿!$D104="","",名簿!$B104&amp;"")</f>
        <v/>
      </c>
      <c r="B104" s="91" t="str">
        <f aca="false">IF(名簿!$D104="","",名簿!$C104)</f>
        <v/>
      </c>
      <c r="C104" s="59" t="str">
        <f aca="false">IF(名簿!$D104="","",名簿!$D104&amp;IF(名簿!$F104="転出","（転出）",""))</f>
        <v/>
      </c>
      <c r="D104" s="149"/>
      <c r="E104" s="61" t="str">
        <f aca="false">IF(OR($C104="",名簿!$F104="転出"),"",IF($C$2="学級ごと",$A104,IF($C$2="前の単元と同じ",単元09!$E104&amp;"",$D104&amp;"")))</f>
        <v/>
      </c>
      <c r="F104" s="150"/>
      <c r="G104" s="150"/>
      <c r="H104" s="150"/>
      <c r="I104" s="151"/>
      <c r="J104" s="41" t="str">
        <f aca="false">IF($E104="","",$E104&amp;"|"&amp;COUNTIF($E$5:$E104,$E104))</f>
        <v/>
      </c>
      <c r="K104" s="40" t="str">
        <f aca="false">IF($I104="","",LEN($I104))</f>
        <v/>
      </c>
      <c r="L104" s="13"/>
      <c r="M104" s="13"/>
      <c r="N104" s="13"/>
      <c r="O104" s="13"/>
      <c r="P104" s="152"/>
      <c r="Q104" s="149"/>
      <c r="R104" s="152"/>
      <c r="S104" s="152"/>
      <c r="T104" s="62" t="str">
        <f aca="false">IF(OR($C104="",R104=""),"",IF(R104/IF($R$2="",100,$R$2)&gt;=設定!$I$28,設定!$G$8,IF(R104/IF($R$2="",100,$R$2)&lt;設定!$I$29,設定!$G$10,設定!$G$9)))</f>
        <v/>
      </c>
      <c r="U104" s="62" t="str">
        <f aca="false">IF(OR($C104="",S104=""),"",IF(S104/IF($S$2="",100,$S$2)&gt;=設定!$I$28,設定!$G$8,IF(S104/IF($S$2="",100,$S$2)&lt;設定!$I$29,設定!$G$10,設定!$G$9)))</f>
        <v/>
      </c>
    </row>
    <row r="105" customFormat="false" ht="21" hidden="false" customHeight="true" outlineLevel="0" collapsed="false">
      <c r="A105" s="91" t="str">
        <f aca="false">IF(名簿!$D105="","",名簿!$B105&amp;"")</f>
        <v/>
      </c>
      <c r="B105" s="91" t="str">
        <f aca="false">IF(名簿!$D105="","",名簿!$C105)</f>
        <v/>
      </c>
      <c r="C105" s="59" t="str">
        <f aca="false">IF(名簿!$D105="","",名簿!$D105&amp;IF(名簿!$F105="転出","（転出）",""))</f>
        <v/>
      </c>
      <c r="D105" s="149"/>
      <c r="E105" s="61" t="str">
        <f aca="false">IF(OR($C105="",名簿!$F105="転出"),"",IF($C$2="学級ごと",$A105,IF($C$2="前の単元と同じ",単元09!$E105&amp;"",$D105&amp;"")))</f>
        <v/>
      </c>
      <c r="F105" s="150"/>
      <c r="G105" s="150"/>
      <c r="H105" s="150"/>
      <c r="I105" s="151"/>
      <c r="J105" s="41" t="str">
        <f aca="false">IF($E105="","",$E105&amp;"|"&amp;COUNTIF($E$5:$E105,$E105))</f>
        <v/>
      </c>
      <c r="K105" s="40" t="str">
        <f aca="false">IF($I105="","",LEN($I105))</f>
        <v/>
      </c>
      <c r="L105" s="13"/>
      <c r="M105" s="13"/>
      <c r="N105" s="13"/>
      <c r="O105" s="13"/>
      <c r="P105" s="152"/>
      <c r="Q105" s="149"/>
      <c r="R105" s="152"/>
      <c r="S105" s="152"/>
      <c r="T105" s="62" t="str">
        <f aca="false">IF(OR($C105="",R105=""),"",IF(R105/IF($R$2="",100,$R$2)&gt;=設定!$I$28,設定!$G$8,IF(R105/IF($R$2="",100,$R$2)&lt;設定!$I$29,設定!$G$10,設定!$G$9)))</f>
        <v/>
      </c>
      <c r="U105" s="62" t="str">
        <f aca="false">IF(OR($C105="",S105=""),"",IF(S105/IF($S$2="",100,$S$2)&gt;=設定!$I$28,設定!$G$8,IF(S105/IF($S$2="",100,$S$2)&lt;設定!$I$29,設定!$G$10,設定!$G$9)))</f>
        <v/>
      </c>
    </row>
    <row r="106" customFormat="false" ht="21" hidden="false" customHeight="true" outlineLevel="0" collapsed="false">
      <c r="A106" s="91" t="str">
        <f aca="false">IF(名簿!$D106="","",名簿!$B106&amp;"")</f>
        <v/>
      </c>
      <c r="B106" s="91" t="str">
        <f aca="false">IF(名簿!$D106="","",名簿!$C106)</f>
        <v/>
      </c>
      <c r="C106" s="59" t="str">
        <f aca="false">IF(名簿!$D106="","",名簿!$D106&amp;IF(名簿!$F106="転出","（転出）",""))</f>
        <v/>
      </c>
      <c r="D106" s="149"/>
      <c r="E106" s="61" t="str">
        <f aca="false">IF(OR($C106="",名簿!$F106="転出"),"",IF($C$2="学級ごと",$A106,IF($C$2="前の単元と同じ",単元09!$E106&amp;"",$D106&amp;"")))</f>
        <v/>
      </c>
      <c r="F106" s="150"/>
      <c r="G106" s="150"/>
      <c r="H106" s="150"/>
      <c r="I106" s="151"/>
      <c r="J106" s="41" t="str">
        <f aca="false">IF($E106="","",$E106&amp;"|"&amp;COUNTIF($E$5:$E106,$E106))</f>
        <v/>
      </c>
      <c r="K106" s="40" t="str">
        <f aca="false">IF($I106="","",LEN($I106))</f>
        <v/>
      </c>
      <c r="L106" s="13"/>
      <c r="M106" s="13"/>
      <c r="N106" s="13"/>
      <c r="O106" s="13"/>
      <c r="P106" s="152"/>
      <c r="Q106" s="149"/>
      <c r="R106" s="152"/>
      <c r="S106" s="152"/>
      <c r="T106" s="62" t="str">
        <f aca="false">IF(OR($C106="",R106=""),"",IF(R106/IF($R$2="",100,$R$2)&gt;=設定!$I$28,設定!$G$8,IF(R106/IF($R$2="",100,$R$2)&lt;設定!$I$29,設定!$G$10,設定!$G$9)))</f>
        <v/>
      </c>
      <c r="U106" s="62" t="str">
        <f aca="false">IF(OR($C106="",S106=""),"",IF(S106/IF($S$2="",100,$S$2)&gt;=設定!$I$28,設定!$G$8,IF(S106/IF($S$2="",100,$S$2)&lt;設定!$I$29,設定!$G$10,設定!$G$9)))</f>
        <v/>
      </c>
    </row>
    <row r="107" customFormat="false" ht="21" hidden="false" customHeight="true" outlineLevel="0" collapsed="false">
      <c r="A107" s="91" t="str">
        <f aca="false">IF(名簿!$D107="","",名簿!$B107&amp;"")</f>
        <v/>
      </c>
      <c r="B107" s="91" t="str">
        <f aca="false">IF(名簿!$D107="","",名簿!$C107)</f>
        <v/>
      </c>
      <c r="C107" s="59" t="str">
        <f aca="false">IF(名簿!$D107="","",名簿!$D107&amp;IF(名簿!$F107="転出","（転出）",""))</f>
        <v/>
      </c>
      <c r="D107" s="149"/>
      <c r="E107" s="61" t="str">
        <f aca="false">IF(OR($C107="",名簿!$F107="転出"),"",IF($C$2="学級ごと",$A107,IF($C$2="前の単元と同じ",単元09!$E107&amp;"",$D107&amp;"")))</f>
        <v/>
      </c>
      <c r="F107" s="150"/>
      <c r="G107" s="150"/>
      <c r="H107" s="150"/>
      <c r="I107" s="151"/>
      <c r="J107" s="41" t="str">
        <f aca="false">IF($E107="","",$E107&amp;"|"&amp;COUNTIF($E$5:$E107,$E107))</f>
        <v/>
      </c>
      <c r="K107" s="40" t="str">
        <f aca="false">IF($I107="","",LEN($I107))</f>
        <v/>
      </c>
      <c r="L107" s="13"/>
      <c r="M107" s="13"/>
      <c r="N107" s="13"/>
      <c r="O107" s="13"/>
      <c r="P107" s="152"/>
      <c r="Q107" s="149"/>
      <c r="R107" s="152"/>
      <c r="S107" s="152"/>
      <c r="T107" s="62" t="str">
        <f aca="false">IF(OR($C107="",R107=""),"",IF(R107/IF($R$2="",100,$R$2)&gt;=設定!$I$28,設定!$G$8,IF(R107/IF($R$2="",100,$R$2)&lt;設定!$I$29,設定!$G$10,設定!$G$9)))</f>
        <v/>
      </c>
      <c r="U107" s="62" t="str">
        <f aca="false">IF(OR($C107="",S107=""),"",IF(S107/IF($S$2="",100,$S$2)&gt;=設定!$I$28,設定!$G$8,IF(S107/IF($S$2="",100,$S$2)&lt;設定!$I$29,設定!$G$10,設定!$G$9)))</f>
        <v/>
      </c>
    </row>
    <row r="108" customFormat="false" ht="21" hidden="false" customHeight="true" outlineLevel="0" collapsed="false">
      <c r="A108" s="91" t="str">
        <f aca="false">IF(名簿!$D108="","",名簿!$B108&amp;"")</f>
        <v/>
      </c>
      <c r="B108" s="91" t="str">
        <f aca="false">IF(名簿!$D108="","",名簿!$C108)</f>
        <v/>
      </c>
      <c r="C108" s="59" t="str">
        <f aca="false">IF(名簿!$D108="","",名簿!$D108&amp;IF(名簿!$F108="転出","（転出）",""))</f>
        <v/>
      </c>
      <c r="D108" s="149"/>
      <c r="E108" s="61" t="str">
        <f aca="false">IF(OR($C108="",名簿!$F108="転出"),"",IF($C$2="学級ごと",$A108,IF($C$2="前の単元と同じ",単元09!$E108&amp;"",$D108&amp;"")))</f>
        <v/>
      </c>
      <c r="F108" s="150"/>
      <c r="G108" s="150"/>
      <c r="H108" s="150"/>
      <c r="I108" s="151"/>
      <c r="J108" s="41" t="str">
        <f aca="false">IF($E108="","",$E108&amp;"|"&amp;COUNTIF($E$5:$E108,$E108))</f>
        <v/>
      </c>
      <c r="K108" s="40" t="str">
        <f aca="false">IF($I108="","",LEN($I108))</f>
        <v/>
      </c>
      <c r="L108" s="13"/>
      <c r="M108" s="13"/>
      <c r="N108" s="13"/>
      <c r="O108" s="13"/>
      <c r="P108" s="152"/>
      <c r="Q108" s="149"/>
      <c r="R108" s="152"/>
      <c r="S108" s="152"/>
      <c r="T108" s="62" t="str">
        <f aca="false">IF(OR($C108="",R108=""),"",IF(R108/IF($R$2="",100,$R$2)&gt;=設定!$I$28,設定!$G$8,IF(R108/IF($R$2="",100,$R$2)&lt;設定!$I$29,設定!$G$10,設定!$G$9)))</f>
        <v/>
      </c>
      <c r="U108" s="62" t="str">
        <f aca="false">IF(OR($C108="",S108=""),"",IF(S108/IF($S$2="",100,$S$2)&gt;=設定!$I$28,設定!$G$8,IF(S108/IF($S$2="",100,$S$2)&lt;設定!$I$29,設定!$G$10,設定!$G$9)))</f>
        <v/>
      </c>
    </row>
    <row r="109" customFormat="false" ht="21" hidden="false" customHeight="true" outlineLevel="0" collapsed="false">
      <c r="A109" s="91" t="str">
        <f aca="false">IF(名簿!$D109="","",名簿!$B109&amp;"")</f>
        <v/>
      </c>
      <c r="B109" s="91" t="str">
        <f aca="false">IF(名簿!$D109="","",名簿!$C109)</f>
        <v/>
      </c>
      <c r="C109" s="59" t="str">
        <f aca="false">IF(名簿!$D109="","",名簿!$D109&amp;IF(名簿!$F109="転出","（転出）",""))</f>
        <v/>
      </c>
      <c r="D109" s="149"/>
      <c r="E109" s="61" t="str">
        <f aca="false">IF(OR($C109="",名簿!$F109="転出"),"",IF($C$2="学級ごと",$A109,IF($C$2="前の単元と同じ",単元09!$E109&amp;"",$D109&amp;"")))</f>
        <v/>
      </c>
      <c r="F109" s="150"/>
      <c r="G109" s="150"/>
      <c r="H109" s="150"/>
      <c r="I109" s="151"/>
      <c r="J109" s="41" t="str">
        <f aca="false">IF($E109="","",$E109&amp;"|"&amp;COUNTIF($E$5:$E109,$E109))</f>
        <v/>
      </c>
      <c r="K109" s="40" t="str">
        <f aca="false">IF($I109="","",LEN($I109))</f>
        <v/>
      </c>
      <c r="L109" s="13"/>
      <c r="M109" s="13"/>
      <c r="N109" s="13"/>
      <c r="O109" s="13"/>
      <c r="P109" s="152"/>
      <c r="Q109" s="149"/>
      <c r="R109" s="152"/>
      <c r="S109" s="152"/>
      <c r="T109" s="62" t="str">
        <f aca="false">IF(OR($C109="",R109=""),"",IF(R109/IF($R$2="",100,$R$2)&gt;=設定!$I$28,設定!$G$8,IF(R109/IF($R$2="",100,$R$2)&lt;設定!$I$29,設定!$G$10,設定!$G$9)))</f>
        <v/>
      </c>
      <c r="U109" s="62" t="str">
        <f aca="false">IF(OR($C109="",S109=""),"",IF(S109/IF($S$2="",100,$S$2)&gt;=設定!$I$28,設定!$G$8,IF(S109/IF($S$2="",100,$S$2)&lt;設定!$I$29,設定!$G$10,設定!$G$9)))</f>
        <v/>
      </c>
    </row>
    <row r="110" customFormat="false" ht="21" hidden="false" customHeight="true" outlineLevel="0" collapsed="false">
      <c r="A110" s="91" t="str">
        <f aca="false">IF(名簿!$D110="","",名簿!$B110&amp;"")</f>
        <v/>
      </c>
      <c r="B110" s="91" t="str">
        <f aca="false">IF(名簿!$D110="","",名簿!$C110)</f>
        <v/>
      </c>
      <c r="C110" s="59" t="str">
        <f aca="false">IF(名簿!$D110="","",名簿!$D110&amp;IF(名簿!$F110="転出","（転出）",""))</f>
        <v/>
      </c>
      <c r="D110" s="149"/>
      <c r="E110" s="61" t="str">
        <f aca="false">IF(OR($C110="",名簿!$F110="転出"),"",IF($C$2="学級ごと",$A110,IF($C$2="前の単元と同じ",単元09!$E110&amp;"",$D110&amp;"")))</f>
        <v/>
      </c>
      <c r="F110" s="150"/>
      <c r="G110" s="150"/>
      <c r="H110" s="150"/>
      <c r="I110" s="151"/>
      <c r="J110" s="41" t="str">
        <f aca="false">IF($E110="","",$E110&amp;"|"&amp;COUNTIF($E$5:$E110,$E110))</f>
        <v/>
      </c>
      <c r="K110" s="40" t="str">
        <f aca="false">IF($I110="","",LEN($I110))</f>
        <v/>
      </c>
      <c r="L110" s="13"/>
      <c r="M110" s="13"/>
      <c r="N110" s="13"/>
      <c r="O110" s="13"/>
      <c r="P110" s="152"/>
      <c r="Q110" s="149"/>
      <c r="R110" s="152"/>
      <c r="S110" s="152"/>
      <c r="T110" s="62" t="str">
        <f aca="false">IF(OR($C110="",R110=""),"",IF(R110/IF($R$2="",100,$R$2)&gt;=設定!$I$28,設定!$G$8,IF(R110/IF($R$2="",100,$R$2)&lt;設定!$I$29,設定!$G$10,設定!$G$9)))</f>
        <v/>
      </c>
      <c r="U110" s="62" t="str">
        <f aca="false">IF(OR($C110="",S110=""),"",IF(S110/IF($S$2="",100,$S$2)&gt;=設定!$I$28,設定!$G$8,IF(S110/IF($S$2="",100,$S$2)&lt;設定!$I$29,設定!$G$10,設定!$G$9)))</f>
        <v/>
      </c>
    </row>
    <row r="111" customFormat="false" ht="21" hidden="false" customHeight="true" outlineLevel="0" collapsed="false">
      <c r="A111" s="91" t="str">
        <f aca="false">IF(名簿!$D111="","",名簿!$B111&amp;"")</f>
        <v/>
      </c>
      <c r="B111" s="91" t="str">
        <f aca="false">IF(名簿!$D111="","",名簿!$C111)</f>
        <v/>
      </c>
      <c r="C111" s="59" t="str">
        <f aca="false">IF(名簿!$D111="","",名簿!$D111&amp;IF(名簿!$F111="転出","（転出）",""))</f>
        <v/>
      </c>
      <c r="D111" s="149"/>
      <c r="E111" s="61" t="str">
        <f aca="false">IF(OR($C111="",名簿!$F111="転出"),"",IF($C$2="学級ごと",$A111,IF($C$2="前の単元と同じ",単元09!$E111&amp;"",$D111&amp;"")))</f>
        <v/>
      </c>
      <c r="F111" s="150"/>
      <c r="G111" s="150"/>
      <c r="H111" s="150"/>
      <c r="I111" s="151"/>
      <c r="J111" s="41" t="str">
        <f aca="false">IF($E111="","",$E111&amp;"|"&amp;COUNTIF($E$5:$E111,$E111))</f>
        <v/>
      </c>
      <c r="K111" s="40" t="str">
        <f aca="false">IF($I111="","",LEN($I111))</f>
        <v/>
      </c>
      <c r="L111" s="13"/>
      <c r="M111" s="13"/>
      <c r="N111" s="13"/>
      <c r="O111" s="13"/>
      <c r="P111" s="152"/>
      <c r="Q111" s="149"/>
      <c r="R111" s="152"/>
      <c r="S111" s="152"/>
      <c r="T111" s="62" t="str">
        <f aca="false">IF(OR($C111="",R111=""),"",IF(R111/IF($R$2="",100,$R$2)&gt;=設定!$I$28,設定!$G$8,IF(R111/IF($R$2="",100,$R$2)&lt;設定!$I$29,設定!$G$10,設定!$G$9)))</f>
        <v/>
      </c>
      <c r="U111" s="62" t="str">
        <f aca="false">IF(OR($C111="",S111=""),"",IF(S111/IF($S$2="",100,$S$2)&gt;=設定!$I$28,設定!$G$8,IF(S111/IF($S$2="",100,$S$2)&lt;設定!$I$29,設定!$G$10,設定!$G$9)))</f>
        <v/>
      </c>
    </row>
    <row r="112" customFormat="false" ht="21" hidden="false" customHeight="true" outlineLevel="0" collapsed="false">
      <c r="A112" s="91" t="str">
        <f aca="false">IF(名簿!$D112="","",名簿!$B112&amp;"")</f>
        <v/>
      </c>
      <c r="B112" s="91" t="str">
        <f aca="false">IF(名簿!$D112="","",名簿!$C112)</f>
        <v/>
      </c>
      <c r="C112" s="59" t="str">
        <f aca="false">IF(名簿!$D112="","",名簿!$D112&amp;IF(名簿!$F112="転出","（転出）",""))</f>
        <v/>
      </c>
      <c r="D112" s="149"/>
      <c r="E112" s="61" t="str">
        <f aca="false">IF(OR($C112="",名簿!$F112="転出"),"",IF($C$2="学級ごと",$A112,IF($C$2="前の単元と同じ",単元09!$E112&amp;"",$D112&amp;"")))</f>
        <v/>
      </c>
      <c r="F112" s="150"/>
      <c r="G112" s="150"/>
      <c r="H112" s="150"/>
      <c r="I112" s="151"/>
      <c r="J112" s="41" t="str">
        <f aca="false">IF($E112="","",$E112&amp;"|"&amp;COUNTIF($E$5:$E112,$E112))</f>
        <v/>
      </c>
      <c r="K112" s="40" t="str">
        <f aca="false">IF($I112="","",LEN($I112))</f>
        <v/>
      </c>
      <c r="L112" s="13"/>
      <c r="M112" s="13"/>
      <c r="N112" s="13"/>
      <c r="O112" s="13"/>
      <c r="P112" s="152"/>
      <c r="Q112" s="149"/>
      <c r="R112" s="152"/>
      <c r="S112" s="152"/>
      <c r="T112" s="62" t="str">
        <f aca="false">IF(OR($C112="",R112=""),"",IF(R112/IF($R$2="",100,$R$2)&gt;=設定!$I$28,設定!$G$8,IF(R112/IF($R$2="",100,$R$2)&lt;設定!$I$29,設定!$G$10,設定!$G$9)))</f>
        <v/>
      </c>
      <c r="U112" s="62" t="str">
        <f aca="false">IF(OR($C112="",S112=""),"",IF(S112/IF($S$2="",100,$S$2)&gt;=設定!$I$28,設定!$G$8,IF(S112/IF($S$2="",100,$S$2)&lt;設定!$I$29,設定!$G$10,設定!$G$9)))</f>
        <v/>
      </c>
    </row>
    <row r="113" customFormat="false" ht="21" hidden="false" customHeight="true" outlineLevel="0" collapsed="false">
      <c r="A113" s="91" t="str">
        <f aca="false">IF(名簿!$D113="","",名簿!$B113&amp;"")</f>
        <v/>
      </c>
      <c r="B113" s="91" t="str">
        <f aca="false">IF(名簿!$D113="","",名簿!$C113)</f>
        <v/>
      </c>
      <c r="C113" s="59" t="str">
        <f aca="false">IF(名簿!$D113="","",名簿!$D113&amp;IF(名簿!$F113="転出","（転出）",""))</f>
        <v/>
      </c>
      <c r="D113" s="149"/>
      <c r="E113" s="61" t="str">
        <f aca="false">IF(OR($C113="",名簿!$F113="転出"),"",IF($C$2="学級ごと",$A113,IF($C$2="前の単元と同じ",単元09!$E113&amp;"",$D113&amp;"")))</f>
        <v/>
      </c>
      <c r="F113" s="150"/>
      <c r="G113" s="150"/>
      <c r="H113" s="150"/>
      <c r="I113" s="151"/>
      <c r="J113" s="41" t="str">
        <f aca="false">IF($E113="","",$E113&amp;"|"&amp;COUNTIF($E$5:$E113,$E113))</f>
        <v/>
      </c>
      <c r="K113" s="40" t="str">
        <f aca="false">IF($I113="","",LEN($I113))</f>
        <v/>
      </c>
      <c r="L113" s="13"/>
      <c r="M113" s="13"/>
      <c r="N113" s="13"/>
      <c r="O113" s="13"/>
      <c r="P113" s="152"/>
      <c r="Q113" s="149"/>
      <c r="R113" s="152"/>
      <c r="S113" s="152"/>
      <c r="T113" s="62" t="str">
        <f aca="false">IF(OR($C113="",R113=""),"",IF(R113/IF($R$2="",100,$R$2)&gt;=設定!$I$28,設定!$G$8,IF(R113/IF($R$2="",100,$R$2)&lt;設定!$I$29,設定!$G$10,設定!$G$9)))</f>
        <v/>
      </c>
      <c r="U113" s="62" t="str">
        <f aca="false">IF(OR($C113="",S113=""),"",IF(S113/IF($S$2="",100,$S$2)&gt;=設定!$I$28,設定!$G$8,IF(S113/IF($S$2="",100,$S$2)&lt;設定!$I$29,設定!$G$10,設定!$G$9)))</f>
        <v/>
      </c>
    </row>
    <row r="114" customFormat="false" ht="21" hidden="false" customHeight="true" outlineLevel="0" collapsed="false">
      <c r="A114" s="91" t="str">
        <f aca="false">IF(名簿!$D114="","",名簿!$B114&amp;"")</f>
        <v/>
      </c>
      <c r="B114" s="91" t="str">
        <f aca="false">IF(名簿!$D114="","",名簿!$C114)</f>
        <v/>
      </c>
      <c r="C114" s="59" t="str">
        <f aca="false">IF(名簿!$D114="","",名簿!$D114&amp;IF(名簿!$F114="転出","（転出）",""))</f>
        <v/>
      </c>
      <c r="D114" s="149"/>
      <c r="E114" s="61" t="str">
        <f aca="false">IF(OR($C114="",名簿!$F114="転出"),"",IF($C$2="学級ごと",$A114,IF($C$2="前の単元と同じ",単元09!$E114&amp;"",$D114&amp;"")))</f>
        <v/>
      </c>
      <c r="F114" s="150"/>
      <c r="G114" s="150"/>
      <c r="H114" s="150"/>
      <c r="I114" s="151"/>
      <c r="J114" s="41" t="str">
        <f aca="false">IF($E114="","",$E114&amp;"|"&amp;COUNTIF($E$5:$E114,$E114))</f>
        <v/>
      </c>
      <c r="K114" s="40" t="str">
        <f aca="false">IF($I114="","",LEN($I114))</f>
        <v/>
      </c>
      <c r="L114" s="13"/>
      <c r="M114" s="13"/>
      <c r="N114" s="13"/>
      <c r="O114" s="13"/>
      <c r="P114" s="152"/>
      <c r="Q114" s="149"/>
      <c r="R114" s="152"/>
      <c r="S114" s="152"/>
      <c r="T114" s="62" t="str">
        <f aca="false">IF(OR($C114="",R114=""),"",IF(R114/IF($R$2="",100,$R$2)&gt;=設定!$I$28,設定!$G$8,IF(R114/IF($R$2="",100,$R$2)&lt;設定!$I$29,設定!$G$10,設定!$G$9)))</f>
        <v/>
      </c>
      <c r="U114" s="62" t="str">
        <f aca="false">IF(OR($C114="",S114=""),"",IF(S114/IF($S$2="",100,$S$2)&gt;=設定!$I$28,設定!$G$8,IF(S114/IF($S$2="",100,$S$2)&lt;設定!$I$29,設定!$G$10,設定!$G$9)))</f>
        <v/>
      </c>
    </row>
    <row r="115" customFormat="false" ht="21" hidden="false" customHeight="true" outlineLevel="0" collapsed="false">
      <c r="A115" s="91" t="str">
        <f aca="false">IF(名簿!$D115="","",名簿!$B115&amp;"")</f>
        <v/>
      </c>
      <c r="B115" s="91" t="str">
        <f aca="false">IF(名簿!$D115="","",名簿!$C115)</f>
        <v/>
      </c>
      <c r="C115" s="59" t="str">
        <f aca="false">IF(名簿!$D115="","",名簿!$D115&amp;IF(名簿!$F115="転出","（転出）",""))</f>
        <v/>
      </c>
      <c r="D115" s="149"/>
      <c r="E115" s="61" t="str">
        <f aca="false">IF(OR($C115="",名簿!$F115="転出"),"",IF($C$2="学級ごと",$A115,IF($C$2="前の単元と同じ",単元09!$E115&amp;"",$D115&amp;"")))</f>
        <v/>
      </c>
      <c r="F115" s="150"/>
      <c r="G115" s="150"/>
      <c r="H115" s="150"/>
      <c r="I115" s="151"/>
      <c r="J115" s="41" t="str">
        <f aca="false">IF($E115="","",$E115&amp;"|"&amp;COUNTIF($E$5:$E115,$E115))</f>
        <v/>
      </c>
      <c r="K115" s="40" t="str">
        <f aca="false">IF($I115="","",LEN($I115))</f>
        <v/>
      </c>
      <c r="L115" s="13"/>
      <c r="M115" s="13"/>
      <c r="N115" s="13"/>
      <c r="O115" s="13"/>
      <c r="P115" s="152"/>
      <c r="Q115" s="149"/>
      <c r="R115" s="152"/>
      <c r="S115" s="152"/>
      <c r="T115" s="62" t="str">
        <f aca="false">IF(OR($C115="",R115=""),"",IF(R115/IF($R$2="",100,$R$2)&gt;=設定!$I$28,設定!$G$8,IF(R115/IF($R$2="",100,$R$2)&lt;設定!$I$29,設定!$G$10,設定!$G$9)))</f>
        <v/>
      </c>
      <c r="U115" s="62" t="str">
        <f aca="false">IF(OR($C115="",S115=""),"",IF(S115/IF($S$2="",100,$S$2)&gt;=設定!$I$28,設定!$G$8,IF(S115/IF($S$2="",100,$S$2)&lt;設定!$I$29,設定!$G$10,設定!$G$9)))</f>
        <v/>
      </c>
    </row>
    <row r="116" customFormat="false" ht="21" hidden="false" customHeight="true" outlineLevel="0" collapsed="false">
      <c r="A116" s="91" t="str">
        <f aca="false">IF(名簿!$D116="","",名簿!$B116&amp;"")</f>
        <v/>
      </c>
      <c r="B116" s="91" t="str">
        <f aca="false">IF(名簿!$D116="","",名簿!$C116)</f>
        <v/>
      </c>
      <c r="C116" s="59" t="str">
        <f aca="false">IF(名簿!$D116="","",名簿!$D116&amp;IF(名簿!$F116="転出","（転出）",""))</f>
        <v/>
      </c>
      <c r="D116" s="149"/>
      <c r="E116" s="61" t="str">
        <f aca="false">IF(OR($C116="",名簿!$F116="転出"),"",IF($C$2="学級ごと",$A116,IF($C$2="前の単元と同じ",単元09!$E116&amp;"",$D116&amp;"")))</f>
        <v/>
      </c>
      <c r="F116" s="150"/>
      <c r="G116" s="150"/>
      <c r="H116" s="150"/>
      <c r="I116" s="151"/>
      <c r="J116" s="41" t="str">
        <f aca="false">IF($E116="","",$E116&amp;"|"&amp;COUNTIF($E$5:$E116,$E116))</f>
        <v/>
      </c>
      <c r="K116" s="40" t="str">
        <f aca="false">IF($I116="","",LEN($I116))</f>
        <v/>
      </c>
      <c r="L116" s="13"/>
      <c r="M116" s="13"/>
      <c r="N116" s="13"/>
      <c r="O116" s="13"/>
      <c r="P116" s="152"/>
      <c r="Q116" s="149"/>
      <c r="R116" s="152"/>
      <c r="S116" s="152"/>
      <c r="T116" s="62" t="str">
        <f aca="false">IF(OR($C116="",R116=""),"",IF(R116/IF($R$2="",100,$R$2)&gt;=設定!$I$28,設定!$G$8,IF(R116/IF($R$2="",100,$R$2)&lt;設定!$I$29,設定!$G$10,設定!$G$9)))</f>
        <v/>
      </c>
      <c r="U116" s="62" t="str">
        <f aca="false">IF(OR($C116="",S116=""),"",IF(S116/IF($S$2="",100,$S$2)&gt;=設定!$I$28,設定!$G$8,IF(S116/IF($S$2="",100,$S$2)&lt;設定!$I$29,設定!$G$10,設定!$G$9)))</f>
        <v/>
      </c>
    </row>
    <row r="117" customFormat="false" ht="21" hidden="false" customHeight="true" outlineLevel="0" collapsed="false">
      <c r="A117" s="91" t="str">
        <f aca="false">IF(名簿!$D117="","",名簿!$B117&amp;"")</f>
        <v/>
      </c>
      <c r="B117" s="91" t="str">
        <f aca="false">IF(名簿!$D117="","",名簿!$C117)</f>
        <v/>
      </c>
      <c r="C117" s="59" t="str">
        <f aca="false">IF(名簿!$D117="","",名簿!$D117&amp;IF(名簿!$F117="転出","（転出）",""))</f>
        <v/>
      </c>
      <c r="D117" s="149"/>
      <c r="E117" s="61" t="str">
        <f aca="false">IF(OR($C117="",名簿!$F117="転出"),"",IF($C$2="学級ごと",$A117,IF($C$2="前の単元と同じ",単元09!$E117&amp;"",$D117&amp;"")))</f>
        <v/>
      </c>
      <c r="F117" s="150"/>
      <c r="G117" s="150"/>
      <c r="H117" s="150"/>
      <c r="I117" s="151"/>
      <c r="J117" s="41" t="str">
        <f aca="false">IF($E117="","",$E117&amp;"|"&amp;COUNTIF($E$5:$E117,$E117))</f>
        <v/>
      </c>
      <c r="K117" s="40" t="str">
        <f aca="false">IF($I117="","",LEN($I117))</f>
        <v/>
      </c>
      <c r="L117" s="13"/>
      <c r="M117" s="13"/>
      <c r="N117" s="13"/>
      <c r="O117" s="13"/>
      <c r="P117" s="152"/>
      <c r="Q117" s="149"/>
      <c r="R117" s="152"/>
      <c r="S117" s="152"/>
      <c r="T117" s="62" t="str">
        <f aca="false">IF(OR($C117="",R117=""),"",IF(R117/IF($R$2="",100,$R$2)&gt;=設定!$I$28,設定!$G$8,IF(R117/IF($R$2="",100,$R$2)&lt;設定!$I$29,設定!$G$10,設定!$G$9)))</f>
        <v/>
      </c>
      <c r="U117" s="62" t="str">
        <f aca="false">IF(OR($C117="",S117=""),"",IF(S117/IF($S$2="",100,$S$2)&gt;=設定!$I$28,設定!$G$8,IF(S117/IF($S$2="",100,$S$2)&lt;設定!$I$29,設定!$G$10,設定!$G$9)))</f>
        <v/>
      </c>
    </row>
    <row r="118" customFormat="false" ht="21" hidden="false" customHeight="true" outlineLevel="0" collapsed="false">
      <c r="A118" s="91" t="str">
        <f aca="false">IF(名簿!$D118="","",名簿!$B118&amp;"")</f>
        <v/>
      </c>
      <c r="B118" s="91" t="str">
        <f aca="false">IF(名簿!$D118="","",名簿!$C118)</f>
        <v/>
      </c>
      <c r="C118" s="59" t="str">
        <f aca="false">IF(名簿!$D118="","",名簿!$D118&amp;IF(名簿!$F118="転出","（転出）",""))</f>
        <v/>
      </c>
      <c r="D118" s="149"/>
      <c r="E118" s="61" t="str">
        <f aca="false">IF(OR($C118="",名簿!$F118="転出"),"",IF($C$2="学級ごと",$A118,IF($C$2="前の単元と同じ",単元09!$E118&amp;"",$D118&amp;"")))</f>
        <v/>
      </c>
      <c r="F118" s="150"/>
      <c r="G118" s="150"/>
      <c r="H118" s="150"/>
      <c r="I118" s="151"/>
      <c r="J118" s="41" t="str">
        <f aca="false">IF($E118="","",$E118&amp;"|"&amp;COUNTIF($E$5:$E118,$E118))</f>
        <v/>
      </c>
      <c r="K118" s="40" t="str">
        <f aca="false">IF($I118="","",LEN($I118))</f>
        <v/>
      </c>
      <c r="L118" s="13"/>
      <c r="M118" s="13"/>
      <c r="N118" s="13"/>
      <c r="O118" s="13"/>
      <c r="P118" s="152"/>
      <c r="Q118" s="149"/>
      <c r="R118" s="152"/>
      <c r="S118" s="152"/>
      <c r="T118" s="62" t="str">
        <f aca="false">IF(OR($C118="",R118=""),"",IF(R118/IF($R$2="",100,$R$2)&gt;=設定!$I$28,設定!$G$8,IF(R118/IF($R$2="",100,$R$2)&lt;設定!$I$29,設定!$G$10,設定!$G$9)))</f>
        <v/>
      </c>
      <c r="U118" s="62" t="str">
        <f aca="false">IF(OR($C118="",S118=""),"",IF(S118/IF($S$2="",100,$S$2)&gt;=設定!$I$28,設定!$G$8,IF(S118/IF($S$2="",100,$S$2)&lt;設定!$I$29,設定!$G$10,設定!$G$9)))</f>
        <v/>
      </c>
    </row>
    <row r="119" customFormat="false" ht="21" hidden="false" customHeight="true" outlineLevel="0" collapsed="false">
      <c r="A119" s="91" t="str">
        <f aca="false">IF(名簿!$D119="","",名簿!$B119&amp;"")</f>
        <v/>
      </c>
      <c r="B119" s="91" t="str">
        <f aca="false">IF(名簿!$D119="","",名簿!$C119)</f>
        <v/>
      </c>
      <c r="C119" s="59" t="str">
        <f aca="false">IF(名簿!$D119="","",名簿!$D119&amp;IF(名簿!$F119="転出","（転出）",""))</f>
        <v/>
      </c>
      <c r="D119" s="149"/>
      <c r="E119" s="61" t="str">
        <f aca="false">IF(OR($C119="",名簿!$F119="転出"),"",IF($C$2="学級ごと",$A119,IF($C$2="前の単元と同じ",単元09!$E119&amp;"",$D119&amp;"")))</f>
        <v/>
      </c>
      <c r="F119" s="150"/>
      <c r="G119" s="150"/>
      <c r="H119" s="150"/>
      <c r="I119" s="151"/>
      <c r="J119" s="41" t="str">
        <f aca="false">IF($E119="","",$E119&amp;"|"&amp;COUNTIF($E$5:$E119,$E119))</f>
        <v/>
      </c>
      <c r="K119" s="40" t="str">
        <f aca="false">IF($I119="","",LEN($I119))</f>
        <v/>
      </c>
      <c r="L119" s="13"/>
      <c r="M119" s="13"/>
      <c r="N119" s="13"/>
      <c r="O119" s="13"/>
      <c r="P119" s="152"/>
      <c r="Q119" s="149"/>
      <c r="R119" s="152"/>
      <c r="S119" s="152"/>
      <c r="T119" s="62" t="str">
        <f aca="false">IF(OR($C119="",R119=""),"",IF(R119/IF($R$2="",100,$R$2)&gt;=設定!$I$28,設定!$G$8,IF(R119/IF($R$2="",100,$R$2)&lt;設定!$I$29,設定!$G$10,設定!$G$9)))</f>
        <v/>
      </c>
      <c r="U119" s="62" t="str">
        <f aca="false">IF(OR($C119="",S119=""),"",IF(S119/IF($S$2="",100,$S$2)&gt;=設定!$I$28,設定!$G$8,IF(S119/IF($S$2="",100,$S$2)&lt;設定!$I$29,設定!$G$10,設定!$G$9)))</f>
        <v/>
      </c>
    </row>
    <row r="120" customFormat="false" ht="21" hidden="false" customHeight="true" outlineLevel="0" collapsed="false">
      <c r="A120" s="91" t="str">
        <f aca="false">IF(名簿!$D120="","",名簿!$B120&amp;"")</f>
        <v/>
      </c>
      <c r="B120" s="91" t="str">
        <f aca="false">IF(名簿!$D120="","",名簿!$C120)</f>
        <v/>
      </c>
      <c r="C120" s="59" t="str">
        <f aca="false">IF(名簿!$D120="","",名簿!$D120&amp;IF(名簿!$F120="転出","（転出）",""))</f>
        <v/>
      </c>
      <c r="D120" s="149"/>
      <c r="E120" s="61" t="str">
        <f aca="false">IF(OR($C120="",名簿!$F120="転出"),"",IF($C$2="学級ごと",$A120,IF($C$2="前の単元と同じ",単元09!$E120&amp;"",$D120&amp;"")))</f>
        <v/>
      </c>
      <c r="F120" s="150"/>
      <c r="G120" s="150"/>
      <c r="H120" s="150"/>
      <c r="I120" s="151"/>
      <c r="J120" s="41" t="str">
        <f aca="false">IF($E120="","",$E120&amp;"|"&amp;COUNTIF($E$5:$E120,$E120))</f>
        <v/>
      </c>
      <c r="K120" s="40" t="str">
        <f aca="false">IF($I120="","",LEN($I120))</f>
        <v/>
      </c>
      <c r="L120" s="13"/>
      <c r="M120" s="13"/>
      <c r="N120" s="13"/>
      <c r="O120" s="13"/>
      <c r="P120" s="152"/>
      <c r="Q120" s="149"/>
      <c r="R120" s="152"/>
      <c r="S120" s="152"/>
      <c r="T120" s="62" t="str">
        <f aca="false">IF(OR($C120="",R120=""),"",IF(R120/IF($R$2="",100,$R$2)&gt;=設定!$I$28,設定!$G$8,IF(R120/IF($R$2="",100,$R$2)&lt;設定!$I$29,設定!$G$10,設定!$G$9)))</f>
        <v/>
      </c>
      <c r="U120" s="62" t="str">
        <f aca="false">IF(OR($C120="",S120=""),"",IF(S120/IF($S$2="",100,$S$2)&gt;=設定!$I$28,設定!$G$8,IF(S120/IF($S$2="",100,$S$2)&lt;設定!$I$29,設定!$G$10,設定!$G$9)))</f>
        <v/>
      </c>
    </row>
    <row r="121" customFormat="false" ht="21" hidden="false" customHeight="true" outlineLevel="0" collapsed="false">
      <c r="A121" s="91" t="str">
        <f aca="false">IF(名簿!$D121="","",名簿!$B121&amp;"")</f>
        <v/>
      </c>
      <c r="B121" s="91" t="str">
        <f aca="false">IF(名簿!$D121="","",名簿!$C121)</f>
        <v/>
      </c>
      <c r="C121" s="59" t="str">
        <f aca="false">IF(名簿!$D121="","",名簿!$D121&amp;IF(名簿!$F121="転出","（転出）",""))</f>
        <v/>
      </c>
      <c r="D121" s="149"/>
      <c r="E121" s="61" t="str">
        <f aca="false">IF(OR($C121="",名簿!$F121="転出"),"",IF($C$2="学級ごと",$A121,IF($C$2="前の単元と同じ",単元09!$E121&amp;"",$D121&amp;"")))</f>
        <v/>
      </c>
      <c r="F121" s="150"/>
      <c r="G121" s="150"/>
      <c r="H121" s="150"/>
      <c r="I121" s="151"/>
      <c r="J121" s="41" t="str">
        <f aca="false">IF($E121="","",$E121&amp;"|"&amp;COUNTIF($E$5:$E121,$E121))</f>
        <v/>
      </c>
      <c r="K121" s="40" t="str">
        <f aca="false">IF($I121="","",LEN($I121))</f>
        <v/>
      </c>
      <c r="L121" s="13"/>
      <c r="M121" s="13"/>
      <c r="N121" s="13"/>
      <c r="O121" s="13"/>
      <c r="P121" s="152"/>
      <c r="Q121" s="149"/>
      <c r="R121" s="152"/>
      <c r="S121" s="152"/>
      <c r="T121" s="62" t="str">
        <f aca="false">IF(OR($C121="",R121=""),"",IF(R121/IF($R$2="",100,$R$2)&gt;=設定!$I$28,設定!$G$8,IF(R121/IF($R$2="",100,$R$2)&lt;設定!$I$29,設定!$G$10,設定!$G$9)))</f>
        <v/>
      </c>
      <c r="U121" s="62" t="str">
        <f aca="false">IF(OR($C121="",S121=""),"",IF(S121/IF($S$2="",100,$S$2)&gt;=設定!$I$28,設定!$G$8,IF(S121/IF($S$2="",100,$S$2)&lt;設定!$I$29,設定!$G$10,設定!$G$9)))</f>
        <v/>
      </c>
    </row>
    <row r="122" customFormat="false" ht="21" hidden="false" customHeight="true" outlineLevel="0" collapsed="false">
      <c r="A122" s="91" t="str">
        <f aca="false">IF(名簿!$D122="","",名簿!$B122&amp;"")</f>
        <v/>
      </c>
      <c r="B122" s="91" t="str">
        <f aca="false">IF(名簿!$D122="","",名簿!$C122)</f>
        <v/>
      </c>
      <c r="C122" s="59" t="str">
        <f aca="false">IF(名簿!$D122="","",名簿!$D122&amp;IF(名簿!$F122="転出","（転出）",""))</f>
        <v/>
      </c>
      <c r="D122" s="149"/>
      <c r="E122" s="61" t="str">
        <f aca="false">IF(OR($C122="",名簿!$F122="転出"),"",IF($C$2="学級ごと",$A122,IF($C$2="前の単元と同じ",単元09!$E122&amp;"",$D122&amp;"")))</f>
        <v/>
      </c>
      <c r="F122" s="150"/>
      <c r="G122" s="150"/>
      <c r="H122" s="150"/>
      <c r="I122" s="151"/>
      <c r="J122" s="41" t="str">
        <f aca="false">IF($E122="","",$E122&amp;"|"&amp;COUNTIF($E$5:$E122,$E122))</f>
        <v/>
      </c>
      <c r="K122" s="40" t="str">
        <f aca="false">IF($I122="","",LEN($I122))</f>
        <v/>
      </c>
      <c r="L122" s="13"/>
      <c r="M122" s="13"/>
      <c r="N122" s="13"/>
      <c r="O122" s="13"/>
      <c r="P122" s="152"/>
      <c r="Q122" s="149"/>
      <c r="R122" s="152"/>
      <c r="S122" s="152"/>
      <c r="T122" s="62" t="str">
        <f aca="false">IF(OR($C122="",R122=""),"",IF(R122/IF($R$2="",100,$R$2)&gt;=設定!$I$28,設定!$G$8,IF(R122/IF($R$2="",100,$R$2)&lt;設定!$I$29,設定!$G$10,設定!$G$9)))</f>
        <v/>
      </c>
      <c r="U122" s="62" t="str">
        <f aca="false">IF(OR($C122="",S122=""),"",IF(S122/IF($S$2="",100,$S$2)&gt;=設定!$I$28,設定!$G$8,IF(S122/IF($S$2="",100,$S$2)&lt;設定!$I$29,設定!$G$10,設定!$G$9)))</f>
        <v/>
      </c>
    </row>
    <row r="123" customFormat="false" ht="21" hidden="false" customHeight="true" outlineLevel="0" collapsed="false">
      <c r="A123" s="91" t="str">
        <f aca="false">IF(名簿!$D123="","",名簿!$B123&amp;"")</f>
        <v/>
      </c>
      <c r="B123" s="91" t="str">
        <f aca="false">IF(名簿!$D123="","",名簿!$C123)</f>
        <v/>
      </c>
      <c r="C123" s="59" t="str">
        <f aca="false">IF(名簿!$D123="","",名簿!$D123&amp;IF(名簿!$F123="転出","（転出）",""))</f>
        <v/>
      </c>
      <c r="D123" s="149"/>
      <c r="E123" s="61" t="str">
        <f aca="false">IF(OR($C123="",名簿!$F123="転出"),"",IF($C$2="学級ごと",$A123,IF($C$2="前の単元と同じ",単元09!$E123&amp;"",$D123&amp;"")))</f>
        <v/>
      </c>
      <c r="F123" s="150"/>
      <c r="G123" s="150"/>
      <c r="H123" s="150"/>
      <c r="I123" s="151"/>
      <c r="J123" s="41" t="str">
        <f aca="false">IF($E123="","",$E123&amp;"|"&amp;COUNTIF($E$5:$E123,$E123))</f>
        <v/>
      </c>
      <c r="K123" s="40" t="str">
        <f aca="false">IF($I123="","",LEN($I123))</f>
        <v/>
      </c>
      <c r="L123" s="13"/>
      <c r="M123" s="13"/>
      <c r="N123" s="13"/>
      <c r="O123" s="13"/>
      <c r="P123" s="152"/>
      <c r="Q123" s="149"/>
      <c r="R123" s="152"/>
      <c r="S123" s="152"/>
      <c r="T123" s="62" t="str">
        <f aca="false">IF(OR($C123="",R123=""),"",IF(R123/IF($R$2="",100,$R$2)&gt;=設定!$I$28,設定!$G$8,IF(R123/IF($R$2="",100,$R$2)&lt;設定!$I$29,設定!$G$10,設定!$G$9)))</f>
        <v/>
      </c>
      <c r="U123" s="62" t="str">
        <f aca="false">IF(OR($C123="",S123=""),"",IF(S123/IF($S$2="",100,$S$2)&gt;=設定!$I$28,設定!$G$8,IF(S123/IF($S$2="",100,$S$2)&lt;設定!$I$29,設定!$G$10,設定!$G$9)))</f>
        <v/>
      </c>
    </row>
    <row r="124" customFormat="false" ht="21" hidden="false" customHeight="true" outlineLevel="0" collapsed="false">
      <c r="A124" s="91" t="str">
        <f aca="false">IF(名簿!$D124="","",名簿!$B124&amp;"")</f>
        <v/>
      </c>
      <c r="B124" s="91" t="str">
        <f aca="false">IF(名簿!$D124="","",名簿!$C124)</f>
        <v/>
      </c>
      <c r="C124" s="59" t="str">
        <f aca="false">IF(名簿!$D124="","",名簿!$D124&amp;IF(名簿!$F124="転出","（転出）",""))</f>
        <v/>
      </c>
      <c r="D124" s="149"/>
      <c r="E124" s="61" t="str">
        <f aca="false">IF(OR($C124="",名簿!$F124="転出"),"",IF($C$2="学級ごと",$A124,IF($C$2="前の単元と同じ",単元09!$E124&amp;"",$D124&amp;"")))</f>
        <v/>
      </c>
      <c r="F124" s="150"/>
      <c r="G124" s="150"/>
      <c r="H124" s="150"/>
      <c r="I124" s="151"/>
      <c r="J124" s="41" t="str">
        <f aca="false">IF($E124="","",$E124&amp;"|"&amp;COUNTIF($E$5:$E124,$E124))</f>
        <v/>
      </c>
      <c r="K124" s="40" t="str">
        <f aca="false">IF($I124="","",LEN($I124))</f>
        <v/>
      </c>
      <c r="L124" s="13"/>
      <c r="M124" s="13"/>
      <c r="N124" s="13"/>
      <c r="O124" s="13"/>
      <c r="P124" s="152"/>
      <c r="Q124" s="149"/>
      <c r="R124" s="152"/>
      <c r="S124" s="152"/>
      <c r="T124" s="62" t="str">
        <f aca="false">IF(OR($C124="",R124=""),"",IF(R124/IF($R$2="",100,$R$2)&gt;=設定!$I$28,設定!$G$8,IF(R124/IF($R$2="",100,$R$2)&lt;設定!$I$29,設定!$G$10,設定!$G$9)))</f>
        <v/>
      </c>
      <c r="U124" s="62" t="str">
        <f aca="false">IF(OR($C124="",S124=""),"",IF(S124/IF($S$2="",100,$S$2)&gt;=設定!$I$28,設定!$G$8,IF(S124/IF($S$2="",100,$S$2)&lt;設定!$I$29,設定!$G$10,設定!$G$9)))</f>
        <v/>
      </c>
    </row>
    <row r="125" customFormat="false" ht="21" hidden="false" customHeight="true" outlineLevel="0" collapsed="false">
      <c r="A125" s="91" t="str">
        <f aca="false">IF(名簿!$D125="","",名簿!$B125&amp;"")</f>
        <v/>
      </c>
      <c r="B125" s="91" t="str">
        <f aca="false">IF(名簿!$D125="","",名簿!$C125)</f>
        <v/>
      </c>
      <c r="C125" s="59" t="str">
        <f aca="false">IF(名簿!$D125="","",名簿!$D125&amp;IF(名簿!$F125="転出","（転出）",""))</f>
        <v/>
      </c>
      <c r="D125" s="149"/>
      <c r="E125" s="61" t="str">
        <f aca="false">IF(OR($C125="",名簿!$F125="転出"),"",IF($C$2="学級ごと",$A125,IF($C$2="前の単元と同じ",単元09!$E125&amp;"",$D125&amp;"")))</f>
        <v/>
      </c>
      <c r="F125" s="150"/>
      <c r="G125" s="150"/>
      <c r="H125" s="150"/>
      <c r="I125" s="151"/>
      <c r="J125" s="41" t="str">
        <f aca="false">IF($E125="","",$E125&amp;"|"&amp;COUNTIF($E$5:$E125,$E125))</f>
        <v/>
      </c>
      <c r="K125" s="40" t="str">
        <f aca="false">IF($I125="","",LEN($I125))</f>
        <v/>
      </c>
      <c r="L125" s="13"/>
      <c r="M125" s="13"/>
      <c r="N125" s="13"/>
      <c r="O125" s="13"/>
      <c r="P125" s="152"/>
      <c r="Q125" s="149"/>
      <c r="R125" s="152"/>
      <c r="S125" s="152"/>
      <c r="T125" s="62" t="str">
        <f aca="false">IF(OR($C125="",R125=""),"",IF(R125/IF($R$2="",100,$R$2)&gt;=設定!$I$28,設定!$G$8,IF(R125/IF($R$2="",100,$R$2)&lt;設定!$I$29,設定!$G$10,設定!$G$9)))</f>
        <v/>
      </c>
      <c r="U125" s="62" t="str">
        <f aca="false">IF(OR($C125="",S125=""),"",IF(S125/IF($S$2="",100,$S$2)&gt;=設定!$I$28,設定!$G$8,IF(S125/IF($S$2="",100,$S$2)&lt;設定!$I$29,設定!$G$10,設定!$G$9)))</f>
        <v/>
      </c>
    </row>
    <row r="126" customFormat="false" ht="21" hidden="false" customHeight="true" outlineLevel="0" collapsed="false">
      <c r="A126" s="91" t="str">
        <f aca="false">IF(名簿!$D126="","",名簿!$B126&amp;"")</f>
        <v/>
      </c>
      <c r="B126" s="91" t="str">
        <f aca="false">IF(名簿!$D126="","",名簿!$C126)</f>
        <v/>
      </c>
      <c r="C126" s="59" t="str">
        <f aca="false">IF(名簿!$D126="","",名簿!$D126&amp;IF(名簿!$F126="転出","（転出）",""))</f>
        <v/>
      </c>
      <c r="D126" s="149"/>
      <c r="E126" s="61" t="str">
        <f aca="false">IF(OR($C126="",名簿!$F126="転出"),"",IF($C$2="学級ごと",$A126,IF($C$2="前の単元と同じ",単元09!$E126&amp;"",$D126&amp;"")))</f>
        <v/>
      </c>
      <c r="F126" s="150"/>
      <c r="G126" s="150"/>
      <c r="H126" s="150"/>
      <c r="I126" s="151"/>
      <c r="J126" s="41" t="str">
        <f aca="false">IF($E126="","",$E126&amp;"|"&amp;COUNTIF($E$5:$E126,$E126))</f>
        <v/>
      </c>
      <c r="K126" s="40" t="str">
        <f aca="false">IF($I126="","",LEN($I126))</f>
        <v/>
      </c>
      <c r="L126" s="13"/>
      <c r="M126" s="13"/>
      <c r="N126" s="13"/>
      <c r="O126" s="13"/>
      <c r="P126" s="152"/>
      <c r="Q126" s="149"/>
      <c r="R126" s="152"/>
      <c r="S126" s="152"/>
      <c r="T126" s="62" t="str">
        <f aca="false">IF(OR($C126="",R126=""),"",IF(R126/IF($R$2="",100,$R$2)&gt;=設定!$I$28,設定!$G$8,IF(R126/IF($R$2="",100,$R$2)&lt;設定!$I$29,設定!$G$10,設定!$G$9)))</f>
        <v/>
      </c>
      <c r="U126" s="62" t="str">
        <f aca="false">IF(OR($C126="",S126=""),"",IF(S126/IF($S$2="",100,$S$2)&gt;=設定!$I$28,設定!$G$8,IF(S126/IF($S$2="",100,$S$2)&lt;設定!$I$29,設定!$G$10,設定!$G$9)))</f>
        <v/>
      </c>
    </row>
    <row r="127" customFormat="false" ht="21" hidden="false" customHeight="true" outlineLevel="0" collapsed="false">
      <c r="A127" s="91" t="str">
        <f aca="false">IF(名簿!$D127="","",名簿!$B127&amp;"")</f>
        <v/>
      </c>
      <c r="B127" s="91" t="str">
        <f aca="false">IF(名簿!$D127="","",名簿!$C127)</f>
        <v/>
      </c>
      <c r="C127" s="59" t="str">
        <f aca="false">IF(名簿!$D127="","",名簿!$D127&amp;IF(名簿!$F127="転出","（転出）",""))</f>
        <v/>
      </c>
      <c r="D127" s="149"/>
      <c r="E127" s="61" t="str">
        <f aca="false">IF(OR($C127="",名簿!$F127="転出"),"",IF($C$2="学級ごと",$A127,IF($C$2="前の単元と同じ",単元09!$E127&amp;"",$D127&amp;"")))</f>
        <v/>
      </c>
      <c r="F127" s="150"/>
      <c r="G127" s="150"/>
      <c r="H127" s="150"/>
      <c r="I127" s="151"/>
      <c r="J127" s="41" t="str">
        <f aca="false">IF($E127="","",$E127&amp;"|"&amp;COUNTIF($E$5:$E127,$E127))</f>
        <v/>
      </c>
      <c r="K127" s="40" t="str">
        <f aca="false">IF($I127="","",LEN($I127))</f>
        <v/>
      </c>
      <c r="L127" s="13"/>
      <c r="M127" s="13"/>
      <c r="N127" s="13"/>
      <c r="O127" s="13"/>
      <c r="P127" s="152"/>
      <c r="Q127" s="149"/>
      <c r="R127" s="152"/>
      <c r="S127" s="152"/>
      <c r="T127" s="62" t="str">
        <f aca="false">IF(OR($C127="",R127=""),"",IF(R127/IF($R$2="",100,$R$2)&gt;=設定!$I$28,設定!$G$8,IF(R127/IF($R$2="",100,$R$2)&lt;設定!$I$29,設定!$G$10,設定!$G$9)))</f>
        <v/>
      </c>
      <c r="U127" s="62" t="str">
        <f aca="false">IF(OR($C127="",S127=""),"",IF(S127/IF($S$2="",100,$S$2)&gt;=設定!$I$28,設定!$G$8,IF(S127/IF($S$2="",100,$S$2)&lt;設定!$I$29,設定!$G$10,設定!$G$9)))</f>
        <v/>
      </c>
    </row>
    <row r="128" customFormat="false" ht="21" hidden="false" customHeight="true" outlineLevel="0" collapsed="false">
      <c r="A128" s="91" t="str">
        <f aca="false">IF(名簿!$D128="","",名簿!$B128&amp;"")</f>
        <v/>
      </c>
      <c r="B128" s="91" t="str">
        <f aca="false">IF(名簿!$D128="","",名簿!$C128)</f>
        <v/>
      </c>
      <c r="C128" s="59" t="str">
        <f aca="false">IF(名簿!$D128="","",名簿!$D128&amp;IF(名簿!$F128="転出","（転出）",""))</f>
        <v/>
      </c>
      <c r="D128" s="149"/>
      <c r="E128" s="61" t="str">
        <f aca="false">IF(OR($C128="",名簿!$F128="転出"),"",IF($C$2="学級ごと",$A128,IF($C$2="前の単元と同じ",単元09!$E128&amp;"",$D128&amp;"")))</f>
        <v/>
      </c>
      <c r="F128" s="150"/>
      <c r="G128" s="150"/>
      <c r="H128" s="150"/>
      <c r="I128" s="151"/>
      <c r="J128" s="41" t="str">
        <f aca="false">IF($E128="","",$E128&amp;"|"&amp;COUNTIF($E$5:$E128,$E128))</f>
        <v/>
      </c>
      <c r="K128" s="40" t="str">
        <f aca="false">IF($I128="","",LEN($I128))</f>
        <v/>
      </c>
      <c r="L128" s="13"/>
      <c r="M128" s="13"/>
      <c r="N128" s="13"/>
      <c r="O128" s="13"/>
      <c r="P128" s="152"/>
      <c r="Q128" s="149"/>
      <c r="R128" s="152"/>
      <c r="S128" s="152"/>
      <c r="T128" s="62" t="str">
        <f aca="false">IF(OR($C128="",R128=""),"",IF(R128/IF($R$2="",100,$R$2)&gt;=設定!$I$28,設定!$G$8,IF(R128/IF($R$2="",100,$R$2)&lt;設定!$I$29,設定!$G$10,設定!$G$9)))</f>
        <v/>
      </c>
      <c r="U128" s="62" t="str">
        <f aca="false">IF(OR($C128="",S128=""),"",IF(S128/IF($S$2="",100,$S$2)&gt;=設定!$I$28,設定!$G$8,IF(S128/IF($S$2="",100,$S$2)&lt;設定!$I$29,設定!$G$10,設定!$G$9)))</f>
        <v/>
      </c>
    </row>
    <row r="129" customFormat="false" ht="21" hidden="false" customHeight="true" outlineLevel="0" collapsed="false">
      <c r="A129" s="91" t="str">
        <f aca="false">IF(名簿!$D129="","",名簿!$B129&amp;"")</f>
        <v/>
      </c>
      <c r="B129" s="91" t="str">
        <f aca="false">IF(名簿!$D129="","",名簿!$C129)</f>
        <v/>
      </c>
      <c r="C129" s="59" t="str">
        <f aca="false">IF(名簿!$D129="","",名簿!$D129&amp;IF(名簿!$F129="転出","（転出）",""))</f>
        <v/>
      </c>
      <c r="D129" s="149"/>
      <c r="E129" s="61" t="str">
        <f aca="false">IF(OR($C129="",名簿!$F129="転出"),"",IF($C$2="学級ごと",$A129,IF($C$2="前の単元と同じ",単元09!$E129&amp;"",$D129&amp;"")))</f>
        <v/>
      </c>
      <c r="F129" s="150"/>
      <c r="G129" s="150"/>
      <c r="H129" s="150"/>
      <c r="I129" s="151"/>
      <c r="J129" s="41" t="str">
        <f aca="false">IF($E129="","",$E129&amp;"|"&amp;COUNTIF($E$5:$E129,$E129))</f>
        <v/>
      </c>
      <c r="K129" s="40" t="str">
        <f aca="false">IF($I129="","",LEN($I129))</f>
        <v/>
      </c>
      <c r="L129" s="13"/>
      <c r="M129" s="13"/>
      <c r="N129" s="13"/>
      <c r="O129" s="13"/>
      <c r="P129" s="152"/>
      <c r="Q129" s="149"/>
      <c r="R129" s="152"/>
      <c r="S129" s="152"/>
      <c r="T129" s="62" t="str">
        <f aca="false">IF(OR($C129="",R129=""),"",IF(R129/IF($R$2="",100,$R$2)&gt;=設定!$I$28,設定!$G$8,IF(R129/IF($R$2="",100,$R$2)&lt;設定!$I$29,設定!$G$10,設定!$G$9)))</f>
        <v/>
      </c>
      <c r="U129" s="62" t="str">
        <f aca="false">IF(OR($C129="",S129=""),"",IF(S129/IF($S$2="",100,$S$2)&gt;=設定!$I$28,設定!$G$8,IF(S129/IF($S$2="",100,$S$2)&lt;設定!$I$29,設定!$G$10,設定!$G$9)))</f>
        <v/>
      </c>
    </row>
    <row r="130" customFormat="false" ht="21" hidden="false" customHeight="true" outlineLevel="0" collapsed="false">
      <c r="A130" s="91" t="str">
        <f aca="false">IF(名簿!$D130="","",名簿!$B130&amp;"")</f>
        <v/>
      </c>
      <c r="B130" s="91" t="str">
        <f aca="false">IF(名簿!$D130="","",名簿!$C130)</f>
        <v/>
      </c>
      <c r="C130" s="59" t="str">
        <f aca="false">IF(名簿!$D130="","",名簿!$D130&amp;IF(名簿!$F130="転出","（転出）",""))</f>
        <v/>
      </c>
      <c r="D130" s="149"/>
      <c r="E130" s="61" t="str">
        <f aca="false">IF(OR($C130="",名簿!$F130="転出"),"",IF($C$2="学級ごと",$A130,IF($C$2="前の単元と同じ",単元09!$E130&amp;"",$D130&amp;"")))</f>
        <v/>
      </c>
      <c r="F130" s="150"/>
      <c r="G130" s="150"/>
      <c r="H130" s="150"/>
      <c r="I130" s="151"/>
      <c r="J130" s="41" t="str">
        <f aca="false">IF($E130="","",$E130&amp;"|"&amp;COUNTIF($E$5:$E130,$E130))</f>
        <v/>
      </c>
      <c r="K130" s="40" t="str">
        <f aca="false">IF($I130="","",LEN($I130))</f>
        <v/>
      </c>
      <c r="L130" s="13"/>
      <c r="M130" s="13"/>
      <c r="N130" s="13"/>
      <c r="O130" s="13"/>
      <c r="P130" s="152"/>
      <c r="Q130" s="149"/>
      <c r="R130" s="152"/>
      <c r="S130" s="152"/>
      <c r="T130" s="62" t="str">
        <f aca="false">IF(OR($C130="",R130=""),"",IF(R130/IF($R$2="",100,$R$2)&gt;=設定!$I$28,設定!$G$8,IF(R130/IF($R$2="",100,$R$2)&lt;設定!$I$29,設定!$G$10,設定!$G$9)))</f>
        <v/>
      </c>
      <c r="U130" s="62" t="str">
        <f aca="false">IF(OR($C130="",S130=""),"",IF(S130/IF($S$2="",100,$S$2)&gt;=設定!$I$28,設定!$G$8,IF(S130/IF($S$2="",100,$S$2)&lt;設定!$I$29,設定!$G$10,設定!$G$9)))</f>
        <v/>
      </c>
    </row>
    <row r="131" customFormat="false" ht="21" hidden="false" customHeight="true" outlineLevel="0" collapsed="false">
      <c r="A131" s="91" t="str">
        <f aca="false">IF(名簿!$D131="","",名簿!$B131&amp;"")</f>
        <v/>
      </c>
      <c r="B131" s="91" t="str">
        <f aca="false">IF(名簿!$D131="","",名簿!$C131)</f>
        <v/>
      </c>
      <c r="C131" s="59" t="str">
        <f aca="false">IF(名簿!$D131="","",名簿!$D131&amp;IF(名簿!$F131="転出","（転出）",""))</f>
        <v/>
      </c>
      <c r="D131" s="149"/>
      <c r="E131" s="61" t="str">
        <f aca="false">IF(OR($C131="",名簿!$F131="転出"),"",IF($C$2="学級ごと",$A131,IF($C$2="前の単元と同じ",単元09!$E131&amp;"",$D131&amp;"")))</f>
        <v/>
      </c>
      <c r="F131" s="150"/>
      <c r="G131" s="150"/>
      <c r="H131" s="150"/>
      <c r="I131" s="151"/>
      <c r="J131" s="41" t="str">
        <f aca="false">IF($E131="","",$E131&amp;"|"&amp;COUNTIF($E$5:$E131,$E131))</f>
        <v/>
      </c>
      <c r="K131" s="40" t="str">
        <f aca="false">IF($I131="","",LEN($I131))</f>
        <v/>
      </c>
      <c r="L131" s="13"/>
      <c r="M131" s="13"/>
      <c r="N131" s="13"/>
      <c r="O131" s="13"/>
      <c r="P131" s="152"/>
      <c r="Q131" s="149"/>
      <c r="R131" s="152"/>
      <c r="S131" s="152"/>
      <c r="T131" s="62" t="str">
        <f aca="false">IF(OR($C131="",R131=""),"",IF(R131/IF($R$2="",100,$R$2)&gt;=設定!$I$28,設定!$G$8,IF(R131/IF($R$2="",100,$R$2)&lt;設定!$I$29,設定!$G$10,設定!$G$9)))</f>
        <v/>
      </c>
      <c r="U131" s="62" t="str">
        <f aca="false">IF(OR($C131="",S131=""),"",IF(S131/IF($S$2="",100,$S$2)&gt;=設定!$I$28,設定!$G$8,IF(S131/IF($S$2="",100,$S$2)&lt;設定!$I$29,設定!$G$10,設定!$G$9)))</f>
        <v/>
      </c>
    </row>
    <row r="132" customFormat="false" ht="21" hidden="false" customHeight="true" outlineLevel="0" collapsed="false">
      <c r="A132" s="91" t="str">
        <f aca="false">IF(名簿!$D132="","",名簿!$B132&amp;"")</f>
        <v/>
      </c>
      <c r="B132" s="91" t="str">
        <f aca="false">IF(名簿!$D132="","",名簿!$C132)</f>
        <v/>
      </c>
      <c r="C132" s="59" t="str">
        <f aca="false">IF(名簿!$D132="","",名簿!$D132&amp;IF(名簿!$F132="転出","（転出）",""))</f>
        <v/>
      </c>
      <c r="D132" s="149"/>
      <c r="E132" s="61" t="str">
        <f aca="false">IF(OR($C132="",名簿!$F132="転出"),"",IF($C$2="学級ごと",$A132,IF($C$2="前の単元と同じ",単元09!$E132&amp;"",$D132&amp;"")))</f>
        <v/>
      </c>
      <c r="F132" s="150"/>
      <c r="G132" s="150"/>
      <c r="H132" s="150"/>
      <c r="I132" s="151"/>
      <c r="J132" s="41" t="str">
        <f aca="false">IF($E132="","",$E132&amp;"|"&amp;COUNTIF($E$5:$E132,$E132))</f>
        <v/>
      </c>
      <c r="K132" s="40" t="str">
        <f aca="false">IF($I132="","",LEN($I132))</f>
        <v/>
      </c>
      <c r="L132" s="13"/>
      <c r="M132" s="13"/>
      <c r="N132" s="13"/>
      <c r="O132" s="13"/>
      <c r="P132" s="152"/>
      <c r="Q132" s="149"/>
      <c r="R132" s="152"/>
      <c r="S132" s="152"/>
      <c r="T132" s="62" t="str">
        <f aca="false">IF(OR($C132="",R132=""),"",IF(R132/IF($R$2="",100,$R$2)&gt;=設定!$I$28,設定!$G$8,IF(R132/IF($R$2="",100,$R$2)&lt;設定!$I$29,設定!$G$10,設定!$G$9)))</f>
        <v/>
      </c>
      <c r="U132" s="62" t="str">
        <f aca="false">IF(OR($C132="",S132=""),"",IF(S132/IF($S$2="",100,$S$2)&gt;=設定!$I$28,設定!$G$8,IF(S132/IF($S$2="",100,$S$2)&lt;設定!$I$29,設定!$G$10,設定!$G$9)))</f>
        <v/>
      </c>
    </row>
    <row r="133" customFormat="false" ht="21" hidden="false" customHeight="true" outlineLevel="0" collapsed="false">
      <c r="A133" s="91" t="str">
        <f aca="false">IF(名簿!$D133="","",名簿!$B133&amp;"")</f>
        <v/>
      </c>
      <c r="B133" s="91" t="str">
        <f aca="false">IF(名簿!$D133="","",名簿!$C133)</f>
        <v/>
      </c>
      <c r="C133" s="59" t="str">
        <f aca="false">IF(名簿!$D133="","",名簿!$D133&amp;IF(名簿!$F133="転出","（転出）",""))</f>
        <v/>
      </c>
      <c r="D133" s="149"/>
      <c r="E133" s="61" t="str">
        <f aca="false">IF(OR($C133="",名簿!$F133="転出"),"",IF($C$2="学級ごと",$A133,IF($C$2="前の単元と同じ",単元09!$E133&amp;"",$D133&amp;"")))</f>
        <v/>
      </c>
      <c r="F133" s="150"/>
      <c r="G133" s="150"/>
      <c r="H133" s="150"/>
      <c r="I133" s="151"/>
      <c r="J133" s="41" t="str">
        <f aca="false">IF($E133="","",$E133&amp;"|"&amp;COUNTIF($E$5:$E133,$E133))</f>
        <v/>
      </c>
      <c r="K133" s="40" t="str">
        <f aca="false">IF($I133="","",LEN($I133))</f>
        <v/>
      </c>
      <c r="L133" s="13"/>
      <c r="M133" s="13"/>
      <c r="N133" s="13"/>
      <c r="O133" s="13"/>
      <c r="P133" s="152"/>
      <c r="Q133" s="149"/>
      <c r="R133" s="152"/>
      <c r="S133" s="152"/>
      <c r="T133" s="62" t="str">
        <f aca="false">IF(OR($C133="",R133=""),"",IF(R133/IF($R$2="",100,$R$2)&gt;=設定!$I$28,設定!$G$8,IF(R133/IF($R$2="",100,$R$2)&lt;設定!$I$29,設定!$G$10,設定!$G$9)))</f>
        <v/>
      </c>
      <c r="U133" s="62" t="str">
        <f aca="false">IF(OR($C133="",S133=""),"",IF(S133/IF($S$2="",100,$S$2)&gt;=設定!$I$28,設定!$G$8,IF(S133/IF($S$2="",100,$S$2)&lt;設定!$I$29,設定!$G$10,設定!$G$9)))</f>
        <v/>
      </c>
    </row>
    <row r="134" customFormat="false" ht="21" hidden="false" customHeight="true" outlineLevel="0" collapsed="false">
      <c r="A134" s="91" t="str">
        <f aca="false">IF(名簿!$D134="","",名簿!$B134&amp;"")</f>
        <v/>
      </c>
      <c r="B134" s="91" t="str">
        <f aca="false">IF(名簿!$D134="","",名簿!$C134)</f>
        <v/>
      </c>
      <c r="C134" s="59" t="str">
        <f aca="false">IF(名簿!$D134="","",名簿!$D134&amp;IF(名簿!$F134="転出","（転出）",""))</f>
        <v/>
      </c>
      <c r="D134" s="149"/>
      <c r="E134" s="61" t="str">
        <f aca="false">IF(OR($C134="",名簿!$F134="転出"),"",IF($C$2="学級ごと",$A134,IF($C$2="前の単元と同じ",単元09!$E134&amp;"",$D134&amp;"")))</f>
        <v/>
      </c>
      <c r="F134" s="150"/>
      <c r="G134" s="150"/>
      <c r="H134" s="150"/>
      <c r="I134" s="151"/>
      <c r="J134" s="41" t="str">
        <f aca="false">IF($E134="","",$E134&amp;"|"&amp;COUNTIF($E$5:$E134,$E134))</f>
        <v/>
      </c>
      <c r="K134" s="40" t="str">
        <f aca="false">IF($I134="","",LEN($I134))</f>
        <v/>
      </c>
      <c r="L134" s="13"/>
      <c r="M134" s="13"/>
      <c r="N134" s="13"/>
      <c r="O134" s="13"/>
      <c r="P134" s="152"/>
      <c r="Q134" s="149"/>
      <c r="R134" s="152"/>
      <c r="S134" s="152"/>
      <c r="T134" s="62" t="str">
        <f aca="false">IF(OR($C134="",R134=""),"",IF(R134/IF($R$2="",100,$R$2)&gt;=設定!$I$28,設定!$G$8,IF(R134/IF($R$2="",100,$R$2)&lt;設定!$I$29,設定!$G$10,設定!$G$9)))</f>
        <v/>
      </c>
      <c r="U134" s="62" t="str">
        <f aca="false">IF(OR($C134="",S134=""),"",IF(S134/IF($S$2="",100,$S$2)&gt;=設定!$I$28,設定!$G$8,IF(S134/IF($S$2="",100,$S$2)&lt;設定!$I$29,設定!$G$10,設定!$G$9)))</f>
        <v/>
      </c>
    </row>
    <row r="135" customFormat="false" ht="21" hidden="false" customHeight="true" outlineLevel="0" collapsed="false">
      <c r="A135" s="91" t="str">
        <f aca="false">IF(名簿!$D135="","",名簿!$B135&amp;"")</f>
        <v/>
      </c>
      <c r="B135" s="91" t="str">
        <f aca="false">IF(名簿!$D135="","",名簿!$C135)</f>
        <v/>
      </c>
      <c r="C135" s="59" t="str">
        <f aca="false">IF(名簿!$D135="","",名簿!$D135&amp;IF(名簿!$F135="転出","（転出）",""))</f>
        <v/>
      </c>
      <c r="D135" s="149"/>
      <c r="E135" s="61" t="str">
        <f aca="false">IF(OR($C135="",名簿!$F135="転出"),"",IF($C$2="学級ごと",$A135,IF($C$2="前の単元と同じ",単元09!$E135&amp;"",$D135&amp;"")))</f>
        <v/>
      </c>
      <c r="F135" s="150"/>
      <c r="G135" s="150"/>
      <c r="H135" s="150"/>
      <c r="I135" s="151"/>
      <c r="J135" s="41" t="str">
        <f aca="false">IF($E135="","",$E135&amp;"|"&amp;COUNTIF($E$5:$E135,$E135))</f>
        <v/>
      </c>
      <c r="K135" s="40" t="str">
        <f aca="false">IF($I135="","",LEN($I135))</f>
        <v/>
      </c>
      <c r="L135" s="13"/>
      <c r="M135" s="13"/>
      <c r="N135" s="13"/>
      <c r="O135" s="13"/>
      <c r="P135" s="152"/>
      <c r="Q135" s="149"/>
      <c r="R135" s="152"/>
      <c r="S135" s="152"/>
      <c r="T135" s="62" t="str">
        <f aca="false">IF(OR($C135="",R135=""),"",IF(R135/IF($R$2="",100,$R$2)&gt;=設定!$I$28,設定!$G$8,IF(R135/IF($R$2="",100,$R$2)&lt;設定!$I$29,設定!$G$10,設定!$G$9)))</f>
        <v/>
      </c>
      <c r="U135" s="62" t="str">
        <f aca="false">IF(OR($C135="",S135=""),"",IF(S135/IF($S$2="",100,$S$2)&gt;=設定!$I$28,設定!$G$8,IF(S135/IF($S$2="",100,$S$2)&lt;設定!$I$29,設定!$G$10,設定!$G$9)))</f>
        <v/>
      </c>
    </row>
    <row r="136" customFormat="false" ht="21" hidden="false" customHeight="true" outlineLevel="0" collapsed="false">
      <c r="A136" s="91" t="str">
        <f aca="false">IF(名簿!$D136="","",名簿!$B136&amp;"")</f>
        <v/>
      </c>
      <c r="B136" s="91" t="str">
        <f aca="false">IF(名簿!$D136="","",名簿!$C136)</f>
        <v/>
      </c>
      <c r="C136" s="59" t="str">
        <f aca="false">IF(名簿!$D136="","",名簿!$D136&amp;IF(名簿!$F136="転出","（転出）",""))</f>
        <v/>
      </c>
      <c r="D136" s="149"/>
      <c r="E136" s="61" t="str">
        <f aca="false">IF(OR($C136="",名簿!$F136="転出"),"",IF($C$2="学級ごと",$A136,IF($C$2="前の単元と同じ",単元09!$E136&amp;"",$D136&amp;"")))</f>
        <v/>
      </c>
      <c r="F136" s="150"/>
      <c r="G136" s="150"/>
      <c r="H136" s="150"/>
      <c r="I136" s="151"/>
      <c r="J136" s="41" t="str">
        <f aca="false">IF($E136="","",$E136&amp;"|"&amp;COUNTIF($E$5:$E136,$E136))</f>
        <v/>
      </c>
      <c r="K136" s="40" t="str">
        <f aca="false">IF($I136="","",LEN($I136))</f>
        <v/>
      </c>
      <c r="L136" s="13"/>
      <c r="M136" s="13"/>
      <c r="N136" s="13"/>
      <c r="O136" s="13"/>
      <c r="P136" s="152"/>
      <c r="Q136" s="149"/>
      <c r="R136" s="152"/>
      <c r="S136" s="152"/>
      <c r="T136" s="62" t="str">
        <f aca="false">IF(OR($C136="",R136=""),"",IF(R136/IF($R$2="",100,$R$2)&gt;=設定!$I$28,設定!$G$8,IF(R136/IF($R$2="",100,$R$2)&lt;設定!$I$29,設定!$G$10,設定!$G$9)))</f>
        <v/>
      </c>
      <c r="U136" s="62" t="str">
        <f aca="false">IF(OR($C136="",S136=""),"",IF(S136/IF($S$2="",100,$S$2)&gt;=設定!$I$28,設定!$G$8,IF(S136/IF($S$2="",100,$S$2)&lt;設定!$I$29,設定!$G$10,設定!$G$9)))</f>
        <v/>
      </c>
    </row>
    <row r="137" customFormat="false" ht="21" hidden="false" customHeight="true" outlineLevel="0" collapsed="false">
      <c r="A137" s="91" t="str">
        <f aca="false">IF(名簿!$D137="","",名簿!$B137&amp;"")</f>
        <v/>
      </c>
      <c r="B137" s="91" t="str">
        <f aca="false">IF(名簿!$D137="","",名簿!$C137)</f>
        <v/>
      </c>
      <c r="C137" s="59" t="str">
        <f aca="false">IF(名簿!$D137="","",名簿!$D137&amp;IF(名簿!$F137="転出","（転出）",""))</f>
        <v/>
      </c>
      <c r="D137" s="149"/>
      <c r="E137" s="61" t="str">
        <f aca="false">IF(OR($C137="",名簿!$F137="転出"),"",IF($C$2="学級ごと",$A137,IF($C$2="前の単元と同じ",単元09!$E137&amp;"",$D137&amp;"")))</f>
        <v/>
      </c>
      <c r="F137" s="150"/>
      <c r="G137" s="150"/>
      <c r="H137" s="150"/>
      <c r="I137" s="151"/>
      <c r="J137" s="41" t="str">
        <f aca="false">IF($E137="","",$E137&amp;"|"&amp;COUNTIF($E$5:$E137,$E137))</f>
        <v/>
      </c>
      <c r="K137" s="40" t="str">
        <f aca="false">IF($I137="","",LEN($I137))</f>
        <v/>
      </c>
      <c r="L137" s="13"/>
      <c r="M137" s="13"/>
      <c r="N137" s="13"/>
      <c r="O137" s="13"/>
      <c r="P137" s="152"/>
      <c r="Q137" s="149"/>
      <c r="R137" s="152"/>
      <c r="S137" s="152"/>
      <c r="T137" s="62" t="str">
        <f aca="false">IF(OR($C137="",R137=""),"",IF(R137/IF($R$2="",100,$R$2)&gt;=設定!$I$28,設定!$G$8,IF(R137/IF($R$2="",100,$R$2)&lt;設定!$I$29,設定!$G$10,設定!$G$9)))</f>
        <v/>
      </c>
      <c r="U137" s="62" t="str">
        <f aca="false">IF(OR($C137="",S137=""),"",IF(S137/IF($S$2="",100,$S$2)&gt;=設定!$I$28,設定!$G$8,IF(S137/IF($S$2="",100,$S$2)&lt;設定!$I$29,設定!$G$10,設定!$G$9)))</f>
        <v/>
      </c>
    </row>
    <row r="138" customFormat="false" ht="21" hidden="false" customHeight="true" outlineLevel="0" collapsed="false">
      <c r="A138" s="91" t="str">
        <f aca="false">IF(名簿!$D138="","",名簿!$B138&amp;"")</f>
        <v/>
      </c>
      <c r="B138" s="91" t="str">
        <f aca="false">IF(名簿!$D138="","",名簿!$C138)</f>
        <v/>
      </c>
      <c r="C138" s="59" t="str">
        <f aca="false">IF(名簿!$D138="","",名簿!$D138&amp;IF(名簿!$F138="転出","（転出）",""))</f>
        <v/>
      </c>
      <c r="D138" s="149"/>
      <c r="E138" s="61" t="str">
        <f aca="false">IF(OR($C138="",名簿!$F138="転出"),"",IF($C$2="学級ごと",$A138,IF($C$2="前の単元と同じ",単元09!$E138&amp;"",$D138&amp;"")))</f>
        <v/>
      </c>
      <c r="F138" s="150"/>
      <c r="G138" s="150"/>
      <c r="H138" s="150"/>
      <c r="I138" s="151"/>
      <c r="J138" s="41" t="str">
        <f aca="false">IF($E138="","",$E138&amp;"|"&amp;COUNTIF($E$5:$E138,$E138))</f>
        <v/>
      </c>
      <c r="K138" s="40" t="str">
        <f aca="false">IF($I138="","",LEN($I138))</f>
        <v/>
      </c>
      <c r="L138" s="13"/>
      <c r="M138" s="13"/>
      <c r="N138" s="13"/>
      <c r="O138" s="13"/>
      <c r="P138" s="152"/>
      <c r="Q138" s="149"/>
      <c r="R138" s="152"/>
      <c r="S138" s="152"/>
      <c r="T138" s="62" t="str">
        <f aca="false">IF(OR($C138="",R138=""),"",IF(R138/IF($R$2="",100,$R$2)&gt;=設定!$I$28,設定!$G$8,IF(R138/IF($R$2="",100,$R$2)&lt;設定!$I$29,設定!$G$10,設定!$G$9)))</f>
        <v/>
      </c>
      <c r="U138" s="62" t="str">
        <f aca="false">IF(OR($C138="",S138=""),"",IF(S138/IF($S$2="",100,$S$2)&gt;=設定!$I$28,設定!$G$8,IF(S138/IF($S$2="",100,$S$2)&lt;設定!$I$29,設定!$G$10,設定!$G$9)))</f>
        <v/>
      </c>
    </row>
    <row r="139" customFormat="false" ht="21" hidden="false" customHeight="true" outlineLevel="0" collapsed="false">
      <c r="A139" s="91" t="str">
        <f aca="false">IF(名簿!$D139="","",名簿!$B139&amp;"")</f>
        <v/>
      </c>
      <c r="B139" s="91" t="str">
        <f aca="false">IF(名簿!$D139="","",名簿!$C139)</f>
        <v/>
      </c>
      <c r="C139" s="59" t="str">
        <f aca="false">IF(名簿!$D139="","",名簿!$D139&amp;IF(名簿!$F139="転出","（転出）",""))</f>
        <v/>
      </c>
      <c r="D139" s="149"/>
      <c r="E139" s="61" t="str">
        <f aca="false">IF(OR($C139="",名簿!$F139="転出"),"",IF($C$2="学級ごと",$A139,IF($C$2="前の単元と同じ",単元09!$E139&amp;"",$D139&amp;"")))</f>
        <v/>
      </c>
      <c r="F139" s="150"/>
      <c r="G139" s="150"/>
      <c r="H139" s="150"/>
      <c r="I139" s="151"/>
      <c r="J139" s="41" t="str">
        <f aca="false">IF($E139="","",$E139&amp;"|"&amp;COUNTIF($E$5:$E139,$E139))</f>
        <v/>
      </c>
      <c r="K139" s="40" t="str">
        <f aca="false">IF($I139="","",LEN($I139))</f>
        <v/>
      </c>
      <c r="L139" s="13"/>
      <c r="M139" s="13"/>
      <c r="N139" s="13"/>
      <c r="O139" s="13"/>
      <c r="P139" s="152"/>
      <c r="Q139" s="149"/>
      <c r="R139" s="152"/>
      <c r="S139" s="152"/>
      <c r="T139" s="62" t="str">
        <f aca="false">IF(OR($C139="",R139=""),"",IF(R139/IF($R$2="",100,$R$2)&gt;=設定!$I$28,設定!$G$8,IF(R139/IF($R$2="",100,$R$2)&lt;設定!$I$29,設定!$G$10,設定!$G$9)))</f>
        <v/>
      </c>
      <c r="U139" s="62" t="str">
        <f aca="false">IF(OR($C139="",S139=""),"",IF(S139/IF($S$2="",100,$S$2)&gt;=設定!$I$28,設定!$G$8,IF(S139/IF($S$2="",100,$S$2)&lt;設定!$I$29,設定!$G$10,設定!$G$9)))</f>
        <v/>
      </c>
    </row>
    <row r="140" customFormat="false" ht="21" hidden="false" customHeight="true" outlineLevel="0" collapsed="false">
      <c r="A140" s="91" t="str">
        <f aca="false">IF(名簿!$D140="","",名簿!$B140&amp;"")</f>
        <v/>
      </c>
      <c r="B140" s="91" t="str">
        <f aca="false">IF(名簿!$D140="","",名簿!$C140)</f>
        <v/>
      </c>
      <c r="C140" s="59" t="str">
        <f aca="false">IF(名簿!$D140="","",名簿!$D140&amp;IF(名簿!$F140="転出","（転出）",""))</f>
        <v/>
      </c>
      <c r="D140" s="149"/>
      <c r="E140" s="61" t="str">
        <f aca="false">IF(OR($C140="",名簿!$F140="転出"),"",IF($C$2="学級ごと",$A140,IF($C$2="前の単元と同じ",単元09!$E140&amp;"",$D140&amp;"")))</f>
        <v/>
      </c>
      <c r="F140" s="150"/>
      <c r="G140" s="150"/>
      <c r="H140" s="150"/>
      <c r="I140" s="151"/>
      <c r="J140" s="41" t="str">
        <f aca="false">IF($E140="","",$E140&amp;"|"&amp;COUNTIF($E$5:$E140,$E140))</f>
        <v/>
      </c>
      <c r="K140" s="40" t="str">
        <f aca="false">IF($I140="","",LEN($I140))</f>
        <v/>
      </c>
      <c r="L140" s="13"/>
      <c r="M140" s="13"/>
      <c r="N140" s="13"/>
      <c r="O140" s="13"/>
      <c r="P140" s="152"/>
      <c r="Q140" s="149"/>
      <c r="R140" s="152"/>
      <c r="S140" s="152"/>
      <c r="T140" s="62" t="str">
        <f aca="false">IF(OR($C140="",R140=""),"",IF(R140/IF($R$2="",100,$R$2)&gt;=設定!$I$28,設定!$G$8,IF(R140/IF($R$2="",100,$R$2)&lt;設定!$I$29,設定!$G$10,設定!$G$9)))</f>
        <v/>
      </c>
      <c r="U140" s="62" t="str">
        <f aca="false">IF(OR($C140="",S140=""),"",IF(S140/IF($S$2="",100,$S$2)&gt;=設定!$I$28,設定!$G$8,IF(S140/IF($S$2="",100,$S$2)&lt;設定!$I$29,設定!$G$10,設定!$G$9)))</f>
        <v/>
      </c>
    </row>
    <row r="141" customFormat="false" ht="21" hidden="false" customHeight="true" outlineLevel="0" collapsed="false">
      <c r="A141" s="91" t="str">
        <f aca="false">IF(名簿!$D141="","",名簿!$B141&amp;"")</f>
        <v/>
      </c>
      <c r="B141" s="91" t="str">
        <f aca="false">IF(名簿!$D141="","",名簿!$C141)</f>
        <v/>
      </c>
      <c r="C141" s="59" t="str">
        <f aca="false">IF(名簿!$D141="","",名簿!$D141&amp;IF(名簿!$F141="転出","（転出）",""))</f>
        <v/>
      </c>
      <c r="D141" s="149"/>
      <c r="E141" s="61" t="str">
        <f aca="false">IF(OR($C141="",名簿!$F141="転出"),"",IF($C$2="学級ごと",$A141,IF($C$2="前の単元と同じ",単元09!$E141&amp;"",$D141&amp;"")))</f>
        <v/>
      </c>
      <c r="F141" s="150"/>
      <c r="G141" s="150"/>
      <c r="H141" s="150"/>
      <c r="I141" s="151"/>
      <c r="J141" s="41" t="str">
        <f aca="false">IF($E141="","",$E141&amp;"|"&amp;COUNTIF($E$5:$E141,$E141))</f>
        <v/>
      </c>
      <c r="K141" s="40" t="str">
        <f aca="false">IF($I141="","",LEN($I141))</f>
        <v/>
      </c>
      <c r="L141" s="13"/>
      <c r="M141" s="13"/>
      <c r="N141" s="13"/>
      <c r="O141" s="13"/>
      <c r="P141" s="152"/>
      <c r="Q141" s="149"/>
      <c r="R141" s="152"/>
      <c r="S141" s="152"/>
      <c r="T141" s="62" t="str">
        <f aca="false">IF(OR($C141="",R141=""),"",IF(R141/IF($R$2="",100,$R$2)&gt;=設定!$I$28,設定!$G$8,IF(R141/IF($R$2="",100,$R$2)&lt;設定!$I$29,設定!$G$10,設定!$G$9)))</f>
        <v/>
      </c>
      <c r="U141" s="62" t="str">
        <f aca="false">IF(OR($C141="",S141=""),"",IF(S141/IF($S$2="",100,$S$2)&gt;=設定!$I$28,設定!$G$8,IF(S141/IF($S$2="",100,$S$2)&lt;設定!$I$29,設定!$G$10,設定!$G$9)))</f>
        <v/>
      </c>
    </row>
    <row r="142" customFormat="false" ht="21" hidden="false" customHeight="true" outlineLevel="0" collapsed="false">
      <c r="A142" s="91" t="str">
        <f aca="false">IF(名簿!$D142="","",名簿!$B142&amp;"")</f>
        <v/>
      </c>
      <c r="B142" s="91" t="str">
        <f aca="false">IF(名簿!$D142="","",名簿!$C142)</f>
        <v/>
      </c>
      <c r="C142" s="59" t="str">
        <f aca="false">IF(名簿!$D142="","",名簿!$D142&amp;IF(名簿!$F142="転出","（転出）",""))</f>
        <v/>
      </c>
      <c r="D142" s="149"/>
      <c r="E142" s="61" t="str">
        <f aca="false">IF(OR($C142="",名簿!$F142="転出"),"",IF($C$2="学級ごと",$A142,IF($C$2="前の単元と同じ",単元09!$E142&amp;"",$D142&amp;"")))</f>
        <v/>
      </c>
      <c r="F142" s="150"/>
      <c r="G142" s="150"/>
      <c r="H142" s="150"/>
      <c r="I142" s="151"/>
      <c r="J142" s="41" t="str">
        <f aca="false">IF($E142="","",$E142&amp;"|"&amp;COUNTIF($E$5:$E142,$E142))</f>
        <v/>
      </c>
      <c r="K142" s="40" t="str">
        <f aca="false">IF($I142="","",LEN($I142))</f>
        <v/>
      </c>
      <c r="L142" s="13"/>
      <c r="M142" s="13"/>
      <c r="N142" s="13"/>
      <c r="O142" s="13"/>
      <c r="P142" s="152"/>
      <c r="Q142" s="149"/>
      <c r="R142" s="152"/>
      <c r="S142" s="152"/>
      <c r="T142" s="62" t="str">
        <f aca="false">IF(OR($C142="",R142=""),"",IF(R142/IF($R$2="",100,$R$2)&gt;=設定!$I$28,設定!$G$8,IF(R142/IF($R$2="",100,$R$2)&lt;設定!$I$29,設定!$G$10,設定!$G$9)))</f>
        <v/>
      </c>
      <c r="U142" s="62" t="str">
        <f aca="false">IF(OR($C142="",S142=""),"",IF(S142/IF($S$2="",100,$S$2)&gt;=設定!$I$28,設定!$G$8,IF(S142/IF($S$2="",100,$S$2)&lt;設定!$I$29,設定!$G$10,設定!$G$9)))</f>
        <v/>
      </c>
    </row>
    <row r="143" customFormat="false" ht="21" hidden="false" customHeight="true" outlineLevel="0" collapsed="false">
      <c r="A143" s="91" t="str">
        <f aca="false">IF(名簿!$D143="","",名簿!$B143&amp;"")</f>
        <v/>
      </c>
      <c r="B143" s="91" t="str">
        <f aca="false">IF(名簿!$D143="","",名簿!$C143)</f>
        <v/>
      </c>
      <c r="C143" s="59" t="str">
        <f aca="false">IF(名簿!$D143="","",名簿!$D143&amp;IF(名簿!$F143="転出","（転出）",""))</f>
        <v/>
      </c>
      <c r="D143" s="149"/>
      <c r="E143" s="61" t="str">
        <f aca="false">IF(OR($C143="",名簿!$F143="転出"),"",IF($C$2="学級ごと",$A143,IF($C$2="前の単元と同じ",単元09!$E143&amp;"",$D143&amp;"")))</f>
        <v/>
      </c>
      <c r="F143" s="150"/>
      <c r="G143" s="150"/>
      <c r="H143" s="150"/>
      <c r="I143" s="151"/>
      <c r="J143" s="41" t="str">
        <f aca="false">IF($E143="","",$E143&amp;"|"&amp;COUNTIF($E$5:$E143,$E143))</f>
        <v/>
      </c>
      <c r="K143" s="40" t="str">
        <f aca="false">IF($I143="","",LEN($I143))</f>
        <v/>
      </c>
      <c r="L143" s="13"/>
      <c r="M143" s="13"/>
      <c r="N143" s="13"/>
      <c r="O143" s="13"/>
      <c r="P143" s="152"/>
      <c r="Q143" s="149"/>
      <c r="R143" s="152"/>
      <c r="S143" s="152"/>
      <c r="T143" s="62" t="str">
        <f aca="false">IF(OR($C143="",R143=""),"",IF(R143/IF($R$2="",100,$R$2)&gt;=設定!$I$28,設定!$G$8,IF(R143/IF($R$2="",100,$R$2)&lt;設定!$I$29,設定!$G$10,設定!$G$9)))</f>
        <v/>
      </c>
      <c r="U143" s="62" t="str">
        <f aca="false">IF(OR($C143="",S143=""),"",IF(S143/IF($S$2="",100,$S$2)&gt;=設定!$I$28,設定!$G$8,IF(S143/IF($S$2="",100,$S$2)&lt;設定!$I$29,設定!$G$10,設定!$G$9)))</f>
        <v/>
      </c>
    </row>
    <row r="144" customFormat="false" ht="21" hidden="false" customHeight="true" outlineLevel="0" collapsed="false">
      <c r="A144" s="91" t="str">
        <f aca="false">IF(名簿!$D144="","",名簿!$B144&amp;"")</f>
        <v/>
      </c>
      <c r="B144" s="91" t="str">
        <f aca="false">IF(名簿!$D144="","",名簿!$C144)</f>
        <v/>
      </c>
      <c r="C144" s="59" t="str">
        <f aca="false">IF(名簿!$D144="","",名簿!$D144&amp;IF(名簿!$F144="転出","（転出）",""))</f>
        <v/>
      </c>
      <c r="D144" s="149"/>
      <c r="E144" s="61" t="str">
        <f aca="false">IF(OR($C144="",名簿!$F144="転出"),"",IF($C$2="学級ごと",$A144,IF($C$2="前の単元と同じ",単元09!$E144&amp;"",$D144&amp;"")))</f>
        <v/>
      </c>
      <c r="F144" s="150"/>
      <c r="G144" s="150"/>
      <c r="H144" s="150"/>
      <c r="I144" s="151"/>
      <c r="J144" s="41" t="str">
        <f aca="false">IF($E144="","",$E144&amp;"|"&amp;COUNTIF($E$5:$E144,$E144))</f>
        <v/>
      </c>
      <c r="K144" s="40" t="str">
        <f aca="false">IF($I144="","",LEN($I144))</f>
        <v/>
      </c>
      <c r="L144" s="13"/>
      <c r="M144" s="13"/>
      <c r="N144" s="13"/>
      <c r="O144" s="13"/>
      <c r="P144" s="152"/>
      <c r="Q144" s="149"/>
      <c r="R144" s="152"/>
      <c r="S144" s="152"/>
      <c r="T144" s="62" t="str">
        <f aca="false">IF(OR($C144="",R144=""),"",IF(R144/IF($R$2="",100,$R$2)&gt;=設定!$I$28,設定!$G$8,IF(R144/IF($R$2="",100,$R$2)&lt;設定!$I$29,設定!$G$10,設定!$G$9)))</f>
        <v/>
      </c>
      <c r="U144" s="62" t="str">
        <f aca="false">IF(OR($C144="",S144=""),"",IF(S144/IF($S$2="",100,$S$2)&gt;=設定!$I$28,設定!$G$8,IF(S144/IF($S$2="",100,$S$2)&lt;設定!$I$29,設定!$G$10,設定!$G$9)))</f>
        <v/>
      </c>
    </row>
    <row r="145" customFormat="false" ht="21" hidden="false" customHeight="true" outlineLevel="0" collapsed="false">
      <c r="A145" s="91" t="str">
        <f aca="false">IF(名簿!$D145="","",名簿!$B145&amp;"")</f>
        <v/>
      </c>
      <c r="B145" s="91" t="str">
        <f aca="false">IF(名簿!$D145="","",名簿!$C145)</f>
        <v/>
      </c>
      <c r="C145" s="59" t="str">
        <f aca="false">IF(名簿!$D145="","",名簿!$D145&amp;IF(名簿!$F145="転出","（転出）",""))</f>
        <v/>
      </c>
      <c r="D145" s="149"/>
      <c r="E145" s="61" t="str">
        <f aca="false">IF(OR($C145="",名簿!$F145="転出"),"",IF($C$2="学級ごと",$A145,IF($C$2="前の単元と同じ",単元09!$E145&amp;"",$D145&amp;"")))</f>
        <v/>
      </c>
      <c r="F145" s="150"/>
      <c r="G145" s="150"/>
      <c r="H145" s="150"/>
      <c r="I145" s="151"/>
      <c r="J145" s="41" t="str">
        <f aca="false">IF($E145="","",$E145&amp;"|"&amp;COUNTIF($E$5:$E145,$E145))</f>
        <v/>
      </c>
      <c r="K145" s="40" t="str">
        <f aca="false">IF($I145="","",LEN($I145))</f>
        <v/>
      </c>
      <c r="L145" s="13"/>
      <c r="M145" s="13"/>
      <c r="N145" s="13"/>
      <c r="O145" s="13"/>
      <c r="P145" s="152"/>
      <c r="Q145" s="149"/>
      <c r="R145" s="152"/>
      <c r="S145" s="152"/>
      <c r="T145" s="62" t="str">
        <f aca="false">IF(OR($C145="",R145=""),"",IF(R145/IF($R$2="",100,$R$2)&gt;=設定!$I$28,設定!$G$8,IF(R145/IF($R$2="",100,$R$2)&lt;設定!$I$29,設定!$G$10,設定!$G$9)))</f>
        <v/>
      </c>
      <c r="U145" s="62" t="str">
        <f aca="false">IF(OR($C145="",S145=""),"",IF(S145/IF($S$2="",100,$S$2)&gt;=設定!$I$28,設定!$G$8,IF(S145/IF($S$2="",100,$S$2)&lt;設定!$I$29,設定!$G$10,設定!$G$9)))</f>
        <v/>
      </c>
    </row>
    <row r="146" customFormat="false" ht="21" hidden="false" customHeight="true" outlineLevel="0" collapsed="false">
      <c r="A146" s="91" t="str">
        <f aca="false">IF(名簿!$D146="","",名簿!$B146&amp;"")</f>
        <v/>
      </c>
      <c r="B146" s="91" t="str">
        <f aca="false">IF(名簿!$D146="","",名簿!$C146)</f>
        <v/>
      </c>
      <c r="C146" s="59" t="str">
        <f aca="false">IF(名簿!$D146="","",名簿!$D146&amp;IF(名簿!$F146="転出","（転出）",""))</f>
        <v/>
      </c>
      <c r="D146" s="149"/>
      <c r="E146" s="61" t="str">
        <f aca="false">IF(OR($C146="",名簿!$F146="転出"),"",IF($C$2="学級ごと",$A146,IF($C$2="前の単元と同じ",単元09!$E146&amp;"",$D146&amp;"")))</f>
        <v/>
      </c>
      <c r="F146" s="150"/>
      <c r="G146" s="150"/>
      <c r="H146" s="150"/>
      <c r="I146" s="151"/>
      <c r="J146" s="41" t="str">
        <f aca="false">IF($E146="","",$E146&amp;"|"&amp;COUNTIF($E$5:$E146,$E146))</f>
        <v/>
      </c>
      <c r="K146" s="40" t="str">
        <f aca="false">IF($I146="","",LEN($I146))</f>
        <v/>
      </c>
      <c r="L146" s="13"/>
      <c r="M146" s="13"/>
      <c r="N146" s="13"/>
      <c r="O146" s="13"/>
      <c r="P146" s="152"/>
      <c r="Q146" s="149"/>
      <c r="R146" s="152"/>
      <c r="S146" s="152"/>
      <c r="T146" s="62" t="str">
        <f aca="false">IF(OR($C146="",R146=""),"",IF(R146/IF($R$2="",100,$R$2)&gt;=設定!$I$28,設定!$G$8,IF(R146/IF($R$2="",100,$R$2)&lt;設定!$I$29,設定!$G$10,設定!$G$9)))</f>
        <v/>
      </c>
      <c r="U146" s="62" t="str">
        <f aca="false">IF(OR($C146="",S146=""),"",IF(S146/IF($S$2="",100,$S$2)&gt;=設定!$I$28,設定!$G$8,IF(S146/IF($S$2="",100,$S$2)&lt;設定!$I$29,設定!$G$10,設定!$G$9)))</f>
        <v/>
      </c>
    </row>
    <row r="147" customFormat="false" ht="21" hidden="false" customHeight="true" outlineLevel="0" collapsed="false">
      <c r="A147" s="91" t="str">
        <f aca="false">IF(名簿!$D147="","",名簿!$B147&amp;"")</f>
        <v/>
      </c>
      <c r="B147" s="91" t="str">
        <f aca="false">IF(名簿!$D147="","",名簿!$C147)</f>
        <v/>
      </c>
      <c r="C147" s="59" t="str">
        <f aca="false">IF(名簿!$D147="","",名簿!$D147&amp;IF(名簿!$F147="転出","（転出）",""))</f>
        <v/>
      </c>
      <c r="D147" s="149"/>
      <c r="E147" s="61" t="str">
        <f aca="false">IF(OR($C147="",名簿!$F147="転出"),"",IF($C$2="学級ごと",$A147,IF($C$2="前の単元と同じ",単元09!$E147&amp;"",$D147&amp;"")))</f>
        <v/>
      </c>
      <c r="F147" s="150"/>
      <c r="G147" s="150"/>
      <c r="H147" s="150"/>
      <c r="I147" s="151"/>
      <c r="J147" s="41" t="str">
        <f aca="false">IF($E147="","",$E147&amp;"|"&amp;COUNTIF($E$5:$E147,$E147))</f>
        <v/>
      </c>
      <c r="K147" s="40" t="str">
        <f aca="false">IF($I147="","",LEN($I147))</f>
        <v/>
      </c>
      <c r="L147" s="13"/>
      <c r="M147" s="13"/>
      <c r="N147" s="13"/>
      <c r="O147" s="13"/>
      <c r="P147" s="152"/>
      <c r="Q147" s="149"/>
      <c r="R147" s="152"/>
      <c r="S147" s="152"/>
      <c r="T147" s="62" t="str">
        <f aca="false">IF(OR($C147="",R147=""),"",IF(R147/IF($R$2="",100,$R$2)&gt;=設定!$I$28,設定!$G$8,IF(R147/IF($R$2="",100,$R$2)&lt;設定!$I$29,設定!$G$10,設定!$G$9)))</f>
        <v/>
      </c>
      <c r="U147" s="62" t="str">
        <f aca="false">IF(OR($C147="",S147=""),"",IF(S147/IF($S$2="",100,$S$2)&gt;=設定!$I$28,設定!$G$8,IF(S147/IF($S$2="",100,$S$2)&lt;設定!$I$29,設定!$G$10,設定!$G$9)))</f>
        <v/>
      </c>
    </row>
    <row r="148" customFormat="false" ht="21" hidden="false" customHeight="true" outlineLevel="0" collapsed="false">
      <c r="A148" s="91" t="str">
        <f aca="false">IF(名簿!$D148="","",名簿!$B148&amp;"")</f>
        <v/>
      </c>
      <c r="B148" s="91" t="str">
        <f aca="false">IF(名簿!$D148="","",名簿!$C148)</f>
        <v/>
      </c>
      <c r="C148" s="59" t="str">
        <f aca="false">IF(名簿!$D148="","",名簿!$D148&amp;IF(名簿!$F148="転出","（転出）",""))</f>
        <v/>
      </c>
      <c r="D148" s="149"/>
      <c r="E148" s="61" t="str">
        <f aca="false">IF(OR($C148="",名簿!$F148="転出"),"",IF($C$2="学級ごと",$A148,IF($C$2="前の単元と同じ",単元09!$E148&amp;"",$D148&amp;"")))</f>
        <v/>
      </c>
      <c r="F148" s="150"/>
      <c r="G148" s="150"/>
      <c r="H148" s="150"/>
      <c r="I148" s="151"/>
      <c r="J148" s="41" t="str">
        <f aca="false">IF($E148="","",$E148&amp;"|"&amp;COUNTIF($E$5:$E148,$E148))</f>
        <v/>
      </c>
      <c r="K148" s="40" t="str">
        <f aca="false">IF($I148="","",LEN($I148))</f>
        <v/>
      </c>
      <c r="L148" s="13"/>
      <c r="M148" s="13"/>
      <c r="N148" s="13"/>
      <c r="O148" s="13"/>
      <c r="P148" s="152"/>
      <c r="Q148" s="149"/>
      <c r="R148" s="152"/>
      <c r="S148" s="152"/>
      <c r="T148" s="62" t="str">
        <f aca="false">IF(OR($C148="",R148=""),"",IF(R148/IF($R$2="",100,$R$2)&gt;=設定!$I$28,設定!$G$8,IF(R148/IF($R$2="",100,$R$2)&lt;設定!$I$29,設定!$G$10,設定!$G$9)))</f>
        <v/>
      </c>
      <c r="U148" s="62" t="str">
        <f aca="false">IF(OR($C148="",S148=""),"",IF(S148/IF($S$2="",100,$S$2)&gt;=設定!$I$28,設定!$G$8,IF(S148/IF($S$2="",100,$S$2)&lt;設定!$I$29,設定!$G$10,設定!$G$9)))</f>
        <v/>
      </c>
    </row>
    <row r="149" customFormat="false" ht="21" hidden="false" customHeight="true" outlineLevel="0" collapsed="false">
      <c r="A149" s="91" t="str">
        <f aca="false">IF(名簿!$D149="","",名簿!$B149&amp;"")</f>
        <v/>
      </c>
      <c r="B149" s="91" t="str">
        <f aca="false">IF(名簿!$D149="","",名簿!$C149)</f>
        <v/>
      </c>
      <c r="C149" s="59" t="str">
        <f aca="false">IF(名簿!$D149="","",名簿!$D149&amp;IF(名簿!$F149="転出","（転出）",""))</f>
        <v/>
      </c>
      <c r="D149" s="149"/>
      <c r="E149" s="61" t="str">
        <f aca="false">IF(OR($C149="",名簿!$F149="転出"),"",IF($C$2="学級ごと",$A149,IF($C$2="前の単元と同じ",単元09!$E149&amp;"",$D149&amp;"")))</f>
        <v/>
      </c>
      <c r="F149" s="150"/>
      <c r="G149" s="150"/>
      <c r="H149" s="150"/>
      <c r="I149" s="151"/>
      <c r="J149" s="41" t="str">
        <f aca="false">IF($E149="","",$E149&amp;"|"&amp;COUNTIF($E$5:$E149,$E149))</f>
        <v/>
      </c>
      <c r="K149" s="40" t="str">
        <f aca="false">IF($I149="","",LEN($I149))</f>
        <v/>
      </c>
      <c r="L149" s="13"/>
      <c r="M149" s="13"/>
      <c r="N149" s="13"/>
      <c r="O149" s="13"/>
      <c r="P149" s="152"/>
      <c r="Q149" s="149"/>
      <c r="R149" s="152"/>
      <c r="S149" s="152"/>
      <c r="T149" s="62" t="str">
        <f aca="false">IF(OR($C149="",R149=""),"",IF(R149/IF($R$2="",100,$R$2)&gt;=設定!$I$28,設定!$G$8,IF(R149/IF($R$2="",100,$R$2)&lt;設定!$I$29,設定!$G$10,設定!$G$9)))</f>
        <v/>
      </c>
      <c r="U149" s="62" t="str">
        <f aca="false">IF(OR($C149="",S149=""),"",IF(S149/IF($S$2="",100,$S$2)&gt;=設定!$I$28,設定!$G$8,IF(S149/IF($S$2="",100,$S$2)&lt;設定!$I$29,設定!$G$10,設定!$G$9)))</f>
        <v/>
      </c>
    </row>
    <row r="150" customFormat="false" ht="21" hidden="false" customHeight="true" outlineLevel="0" collapsed="false">
      <c r="A150" s="91" t="str">
        <f aca="false">IF(名簿!$D150="","",名簿!$B150&amp;"")</f>
        <v/>
      </c>
      <c r="B150" s="91" t="str">
        <f aca="false">IF(名簿!$D150="","",名簿!$C150)</f>
        <v/>
      </c>
      <c r="C150" s="59" t="str">
        <f aca="false">IF(名簿!$D150="","",名簿!$D150&amp;IF(名簿!$F150="転出","（転出）",""))</f>
        <v/>
      </c>
      <c r="D150" s="149"/>
      <c r="E150" s="61" t="str">
        <f aca="false">IF(OR($C150="",名簿!$F150="転出"),"",IF($C$2="学級ごと",$A150,IF($C$2="前の単元と同じ",単元09!$E150&amp;"",$D150&amp;"")))</f>
        <v/>
      </c>
      <c r="F150" s="150"/>
      <c r="G150" s="150"/>
      <c r="H150" s="150"/>
      <c r="I150" s="151"/>
      <c r="J150" s="41" t="str">
        <f aca="false">IF($E150="","",$E150&amp;"|"&amp;COUNTIF($E$5:$E150,$E150))</f>
        <v/>
      </c>
      <c r="K150" s="40" t="str">
        <f aca="false">IF($I150="","",LEN($I150))</f>
        <v/>
      </c>
      <c r="L150" s="13"/>
      <c r="M150" s="13"/>
      <c r="N150" s="13"/>
      <c r="O150" s="13"/>
      <c r="P150" s="152"/>
      <c r="Q150" s="149"/>
      <c r="R150" s="152"/>
      <c r="S150" s="152"/>
      <c r="T150" s="62" t="str">
        <f aca="false">IF(OR($C150="",R150=""),"",IF(R150/IF($R$2="",100,$R$2)&gt;=設定!$I$28,設定!$G$8,IF(R150/IF($R$2="",100,$R$2)&lt;設定!$I$29,設定!$G$10,設定!$G$9)))</f>
        <v/>
      </c>
      <c r="U150" s="62" t="str">
        <f aca="false">IF(OR($C150="",S150=""),"",IF(S150/IF($S$2="",100,$S$2)&gt;=設定!$I$28,設定!$G$8,IF(S150/IF($S$2="",100,$S$2)&lt;設定!$I$29,設定!$G$10,設定!$G$9)))</f>
        <v/>
      </c>
    </row>
    <row r="151" customFormat="false" ht="21" hidden="false" customHeight="true" outlineLevel="0" collapsed="false">
      <c r="A151" s="91" t="str">
        <f aca="false">IF(名簿!$D151="","",名簿!$B151&amp;"")</f>
        <v/>
      </c>
      <c r="B151" s="91" t="str">
        <f aca="false">IF(名簿!$D151="","",名簿!$C151)</f>
        <v/>
      </c>
      <c r="C151" s="59" t="str">
        <f aca="false">IF(名簿!$D151="","",名簿!$D151&amp;IF(名簿!$F151="転出","（転出）",""))</f>
        <v/>
      </c>
      <c r="D151" s="149"/>
      <c r="E151" s="61" t="str">
        <f aca="false">IF(OR($C151="",名簿!$F151="転出"),"",IF($C$2="学級ごと",$A151,IF($C$2="前の単元と同じ",単元09!$E151&amp;"",$D151&amp;"")))</f>
        <v/>
      </c>
      <c r="F151" s="150"/>
      <c r="G151" s="150"/>
      <c r="H151" s="150"/>
      <c r="I151" s="151"/>
      <c r="J151" s="41" t="str">
        <f aca="false">IF($E151="","",$E151&amp;"|"&amp;COUNTIF($E$5:$E151,$E151))</f>
        <v/>
      </c>
      <c r="K151" s="40" t="str">
        <f aca="false">IF($I151="","",LEN($I151))</f>
        <v/>
      </c>
      <c r="L151" s="13"/>
      <c r="M151" s="13"/>
      <c r="N151" s="13"/>
      <c r="O151" s="13"/>
      <c r="P151" s="152"/>
      <c r="Q151" s="149"/>
      <c r="R151" s="152"/>
      <c r="S151" s="152"/>
      <c r="T151" s="62" t="str">
        <f aca="false">IF(OR($C151="",R151=""),"",IF(R151/IF($R$2="",100,$R$2)&gt;=設定!$I$28,設定!$G$8,IF(R151/IF($R$2="",100,$R$2)&lt;設定!$I$29,設定!$G$10,設定!$G$9)))</f>
        <v/>
      </c>
      <c r="U151" s="62" t="str">
        <f aca="false">IF(OR($C151="",S151=""),"",IF(S151/IF($S$2="",100,$S$2)&gt;=設定!$I$28,設定!$G$8,IF(S151/IF($S$2="",100,$S$2)&lt;設定!$I$29,設定!$G$10,設定!$G$9)))</f>
        <v/>
      </c>
    </row>
    <row r="152" customFormat="false" ht="21" hidden="false" customHeight="true" outlineLevel="0" collapsed="false">
      <c r="A152" s="91" t="str">
        <f aca="false">IF(名簿!$D152="","",名簿!$B152&amp;"")</f>
        <v/>
      </c>
      <c r="B152" s="91" t="str">
        <f aca="false">IF(名簿!$D152="","",名簿!$C152)</f>
        <v/>
      </c>
      <c r="C152" s="59" t="str">
        <f aca="false">IF(名簿!$D152="","",名簿!$D152&amp;IF(名簿!$F152="転出","（転出）",""))</f>
        <v/>
      </c>
      <c r="D152" s="149"/>
      <c r="E152" s="61" t="str">
        <f aca="false">IF(OR($C152="",名簿!$F152="転出"),"",IF($C$2="学級ごと",$A152,IF($C$2="前の単元と同じ",単元09!$E152&amp;"",$D152&amp;"")))</f>
        <v/>
      </c>
      <c r="F152" s="150"/>
      <c r="G152" s="150"/>
      <c r="H152" s="150"/>
      <c r="I152" s="151"/>
      <c r="J152" s="41" t="str">
        <f aca="false">IF($E152="","",$E152&amp;"|"&amp;COUNTIF($E$5:$E152,$E152))</f>
        <v/>
      </c>
      <c r="K152" s="40" t="str">
        <f aca="false">IF($I152="","",LEN($I152))</f>
        <v/>
      </c>
      <c r="L152" s="13"/>
      <c r="M152" s="13"/>
      <c r="N152" s="13"/>
      <c r="O152" s="13"/>
      <c r="P152" s="152"/>
      <c r="Q152" s="149"/>
      <c r="R152" s="152"/>
      <c r="S152" s="152"/>
      <c r="T152" s="62" t="str">
        <f aca="false">IF(OR($C152="",R152=""),"",IF(R152/IF($R$2="",100,$R$2)&gt;=設定!$I$28,設定!$G$8,IF(R152/IF($R$2="",100,$R$2)&lt;設定!$I$29,設定!$G$10,設定!$G$9)))</f>
        <v/>
      </c>
      <c r="U152" s="62" t="str">
        <f aca="false">IF(OR($C152="",S152=""),"",IF(S152/IF($S$2="",100,$S$2)&gt;=設定!$I$28,設定!$G$8,IF(S152/IF($S$2="",100,$S$2)&lt;設定!$I$29,設定!$G$10,設定!$G$9)))</f>
        <v/>
      </c>
    </row>
    <row r="153" customFormat="false" ht="21" hidden="false" customHeight="true" outlineLevel="0" collapsed="false">
      <c r="A153" s="91" t="str">
        <f aca="false">IF(名簿!$D153="","",名簿!$B153&amp;"")</f>
        <v/>
      </c>
      <c r="B153" s="91" t="str">
        <f aca="false">IF(名簿!$D153="","",名簿!$C153)</f>
        <v/>
      </c>
      <c r="C153" s="59" t="str">
        <f aca="false">IF(名簿!$D153="","",名簿!$D153&amp;IF(名簿!$F153="転出","（転出）",""))</f>
        <v/>
      </c>
      <c r="D153" s="149"/>
      <c r="E153" s="61" t="str">
        <f aca="false">IF(OR($C153="",名簿!$F153="転出"),"",IF($C$2="学級ごと",$A153,IF($C$2="前の単元と同じ",単元09!$E153&amp;"",$D153&amp;"")))</f>
        <v/>
      </c>
      <c r="F153" s="150"/>
      <c r="G153" s="150"/>
      <c r="H153" s="150"/>
      <c r="I153" s="151"/>
      <c r="J153" s="41" t="str">
        <f aca="false">IF($E153="","",$E153&amp;"|"&amp;COUNTIF($E$5:$E153,$E153))</f>
        <v/>
      </c>
      <c r="K153" s="40" t="str">
        <f aca="false">IF($I153="","",LEN($I153))</f>
        <v/>
      </c>
      <c r="L153" s="13"/>
      <c r="M153" s="13"/>
      <c r="N153" s="13"/>
      <c r="O153" s="13"/>
      <c r="P153" s="152"/>
      <c r="Q153" s="149"/>
      <c r="R153" s="152"/>
      <c r="S153" s="152"/>
      <c r="T153" s="62" t="str">
        <f aca="false">IF(OR($C153="",R153=""),"",IF(R153/IF($R$2="",100,$R$2)&gt;=設定!$I$28,設定!$G$8,IF(R153/IF($R$2="",100,$R$2)&lt;設定!$I$29,設定!$G$10,設定!$G$9)))</f>
        <v/>
      </c>
      <c r="U153" s="62" t="str">
        <f aca="false">IF(OR($C153="",S153=""),"",IF(S153/IF($S$2="",100,$S$2)&gt;=設定!$I$28,設定!$G$8,IF(S153/IF($S$2="",100,$S$2)&lt;設定!$I$29,設定!$G$10,設定!$G$9)))</f>
        <v/>
      </c>
    </row>
    <row r="154" customFormat="false" ht="21" hidden="false" customHeight="true" outlineLevel="0" collapsed="false">
      <c r="A154" s="91" t="str">
        <f aca="false">IF(名簿!$D154="","",名簿!$B154&amp;"")</f>
        <v/>
      </c>
      <c r="B154" s="91" t="str">
        <f aca="false">IF(名簿!$D154="","",名簿!$C154)</f>
        <v/>
      </c>
      <c r="C154" s="59" t="str">
        <f aca="false">IF(名簿!$D154="","",名簿!$D154&amp;IF(名簿!$F154="転出","（転出）",""))</f>
        <v/>
      </c>
      <c r="D154" s="149"/>
      <c r="E154" s="61" t="str">
        <f aca="false">IF(OR($C154="",名簿!$F154="転出"),"",IF($C$2="学級ごと",$A154,IF($C$2="前の単元と同じ",単元09!$E154&amp;"",$D154&amp;"")))</f>
        <v/>
      </c>
      <c r="F154" s="150"/>
      <c r="G154" s="150"/>
      <c r="H154" s="150"/>
      <c r="I154" s="151"/>
      <c r="J154" s="41" t="str">
        <f aca="false">IF($E154="","",$E154&amp;"|"&amp;COUNTIF($E$5:$E154,$E154))</f>
        <v/>
      </c>
      <c r="K154" s="40" t="str">
        <f aca="false">IF($I154="","",LEN($I154))</f>
        <v/>
      </c>
      <c r="L154" s="13"/>
      <c r="M154" s="13"/>
      <c r="N154" s="13"/>
      <c r="O154" s="13"/>
      <c r="P154" s="152"/>
      <c r="Q154" s="149"/>
      <c r="R154" s="152"/>
      <c r="S154" s="152"/>
      <c r="T154" s="62" t="str">
        <f aca="false">IF(OR($C154="",R154=""),"",IF(R154/IF($R$2="",100,$R$2)&gt;=設定!$I$28,設定!$G$8,IF(R154/IF($R$2="",100,$R$2)&lt;設定!$I$29,設定!$G$10,設定!$G$9)))</f>
        <v/>
      </c>
      <c r="U154" s="62" t="str">
        <f aca="false">IF(OR($C154="",S154=""),"",IF(S154/IF($S$2="",100,$S$2)&gt;=設定!$I$28,設定!$G$8,IF(S154/IF($S$2="",100,$S$2)&lt;設定!$I$29,設定!$G$10,設定!$G$9)))</f>
        <v/>
      </c>
    </row>
    <row r="155" customFormat="false" ht="21" hidden="false" customHeight="true" outlineLevel="0" collapsed="false">
      <c r="A155" s="91" t="str">
        <f aca="false">IF(名簿!$D155="","",名簿!$B155&amp;"")</f>
        <v/>
      </c>
      <c r="B155" s="91" t="str">
        <f aca="false">IF(名簿!$D155="","",名簿!$C155)</f>
        <v/>
      </c>
      <c r="C155" s="59" t="str">
        <f aca="false">IF(名簿!$D155="","",名簿!$D155&amp;IF(名簿!$F155="転出","（転出）",""))</f>
        <v/>
      </c>
      <c r="D155" s="149"/>
      <c r="E155" s="61" t="str">
        <f aca="false">IF(OR($C155="",名簿!$F155="転出"),"",IF($C$2="学級ごと",$A155,IF($C$2="前の単元と同じ",単元09!$E155&amp;"",$D155&amp;"")))</f>
        <v/>
      </c>
      <c r="F155" s="150"/>
      <c r="G155" s="150"/>
      <c r="H155" s="150"/>
      <c r="I155" s="151"/>
      <c r="J155" s="41" t="str">
        <f aca="false">IF($E155="","",$E155&amp;"|"&amp;COUNTIF($E$5:$E155,$E155))</f>
        <v/>
      </c>
      <c r="K155" s="40" t="str">
        <f aca="false">IF($I155="","",LEN($I155))</f>
        <v/>
      </c>
      <c r="L155" s="13"/>
      <c r="M155" s="13"/>
      <c r="N155" s="13"/>
      <c r="O155" s="13"/>
      <c r="P155" s="152"/>
      <c r="Q155" s="149"/>
      <c r="R155" s="152"/>
      <c r="S155" s="152"/>
      <c r="T155" s="62" t="str">
        <f aca="false">IF(OR($C155="",R155=""),"",IF(R155/IF($R$2="",100,$R$2)&gt;=設定!$I$28,設定!$G$8,IF(R155/IF($R$2="",100,$R$2)&lt;設定!$I$29,設定!$G$10,設定!$G$9)))</f>
        <v/>
      </c>
      <c r="U155" s="62" t="str">
        <f aca="false">IF(OR($C155="",S155=""),"",IF(S155/IF($S$2="",100,$S$2)&gt;=設定!$I$28,設定!$G$8,IF(S155/IF($S$2="",100,$S$2)&lt;設定!$I$29,設定!$G$10,設定!$G$9)))</f>
        <v/>
      </c>
    </row>
    <row r="156" customFormat="false" ht="21" hidden="false" customHeight="true" outlineLevel="0" collapsed="false">
      <c r="A156" s="91" t="str">
        <f aca="false">IF(名簿!$D156="","",名簿!$B156&amp;"")</f>
        <v/>
      </c>
      <c r="B156" s="91" t="str">
        <f aca="false">IF(名簿!$D156="","",名簿!$C156)</f>
        <v/>
      </c>
      <c r="C156" s="59" t="str">
        <f aca="false">IF(名簿!$D156="","",名簿!$D156&amp;IF(名簿!$F156="転出","（転出）",""))</f>
        <v/>
      </c>
      <c r="D156" s="149"/>
      <c r="E156" s="61" t="str">
        <f aca="false">IF(OR($C156="",名簿!$F156="転出"),"",IF($C$2="学級ごと",$A156,IF($C$2="前の単元と同じ",単元09!$E156&amp;"",$D156&amp;"")))</f>
        <v/>
      </c>
      <c r="F156" s="150"/>
      <c r="G156" s="150"/>
      <c r="H156" s="150"/>
      <c r="I156" s="151"/>
      <c r="J156" s="41" t="str">
        <f aca="false">IF($E156="","",$E156&amp;"|"&amp;COUNTIF($E$5:$E156,$E156))</f>
        <v/>
      </c>
      <c r="K156" s="40" t="str">
        <f aca="false">IF($I156="","",LEN($I156))</f>
        <v/>
      </c>
      <c r="L156" s="13"/>
      <c r="M156" s="13"/>
      <c r="N156" s="13"/>
      <c r="O156" s="13"/>
      <c r="P156" s="152"/>
      <c r="Q156" s="149"/>
      <c r="R156" s="152"/>
      <c r="S156" s="152"/>
      <c r="T156" s="62" t="str">
        <f aca="false">IF(OR($C156="",R156=""),"",IF(R156/IF($R$2="",100,$R$2)&gt;=設定!$I$28,設定!$G$8,IF(R156/IF($R$2="",100,$R$2)&lt;設定!$I$29,設定!$G$10,設定!$G$9)))</f>
        <v/>
      </c>
      <c r="U156" s="62" t="str">
        <f aca="false">IF(OR($C156="",S156=""),"",IF(S156/IF($S$2="",100,$S$2)&gt;=設定!$I$28,設定!$G$8,IF(S156/IF($S$2="",100,$S$2)&lt;設定!$I$29,設定!$G$10,設定!$G$9)))</f>
        <v/>
      </c>
    </row>
    <row r="157" customFormat="false" ht="21" hidden="false" customHeight="true" outlineLevel="0" collapsed="false">
      <c r="A157" s="91" t="str">
        <f aca="false">IF(名簿!$D157="","",名簿!$B157&amp;"")</f>
        <v/>
      </c>
      <c r="B157" s="91" t="str">
        <f aca="false">IF(名簿!$D157="","",名簿!$C157)</f>
        <v/>
      </c>
      <c r="C157" s="59" t="str">
        <f aca="false">IF(名簿!$D157="","",名簿!$D157&amp;IF(名簿!$F157="転出","（転出）",""))</f>
        <v/>
      </c>
      <c r="D157" s="149"/>
      <c r="E157" s="61" t="str">
        <f aca="false">IF(OR($C157="",名簿!$F157="転出"),"",IF($C$2="学級ごと",$A157,IF($C$2="前の単元と同じ",単元09!$E157&amp;"",$D157&amp;"")))</f>
        <v/>
      </c>
      <c r="F157" s="150"/>
      <c r="G157" s="150"/>
      <c r="H157" s="150"/>
      <c r="I157" s="151"/>
      <c r="J157" s="41" t="str">
        <f aca="false">IF($E157="","",$E157&amp;"|"&amp;COUNTIF($E$5:$E157,$E157))</f>
        <v/>
      </c>
      <c r="K157" s="40" t="str">
        <f aca="false">IF($I157="","",LEN($I157))</f>
        <v/>
      </c>
      <c r="L157" s="13"/>
      <c r="M157" s="13"/>
      <c r="N157" s="13"/>
      <c r="O157" s="13"/>
      <c r="P157" s="152"/>
      <c r="Q157" s="149"/>
      <c r="R157" s="152"/>
      <c r="S157" s="152"/>
      <c r="T157" s="62" t="str">
        <f aca="false">IF(OR($C157="",R157=""),"",IF(R157/IF($R$2="",100,$R$2)&gt;=設定!$I$28,設定!$G$8,IF(R157/IF($R$2="",100,$R$2)&lt;設定!$I$29,設定!$G$10,設定!$G$9)))</f>
        <v/>
      </c>
      <c r="U157" s="62" t="str">
        <f aca="false">IF(OR($C157="",S157=""),"",IF(S157/IF($S$2="",100,$S$2)&gt;=設定!$I$28,設定!$G$8,IF(S157/IF($S$2="",100,$S$2)&lt;設定!$I$29,設定!$G$10,設定!$G$9)))</f>
        <v/>
      </c>
    </row>
    <row r="158" customFormat="false" ht="21" hidden="false" customHeight="true" outlineLevel="0" collapsed="false">
      <c r="A158" s="91" t="str">
        <f aca="false">IF(名簿!$D158="","",名簿!$B158&amp;"")</f>
        <v/>
      </c>
      <c r="B158" s="91" t="str">
        <f aca="false">IF(名簿!$D158="","",名簿!$C158)</f>
        <v/>
      </c>
      <c r="C158" s="59" t="str">
        <f aca="false">IF(名簿!$D158="","",名簿!$D158&amp;IF(名簿!$F158="転出","（転出）",""))</f>
        <v/>
      </c>
      <c r="D158" s="149"/>
      <c r="E158" s="61" t="str">
        <f aca="false">IF(OR($C158="",名簿!$F158="転出"),"",IF($C$2="学級ごと",$A158,IF($C$2="前の単元と同じ",単元09!$E158&amp;"",$D158&amp;"")))</f>
        <v/>
      </c>
      <c r="F158" s="150"/>
      <c r="G158" s="150"/>
      <c r="H158" s="150"/>
      <c r="I158" s="151"/>
      <c r="J158" s="41" t="str">
        <f aca="false">IF($E158="","",$E158&amp;"|"&amp;COUNTIF($E$5:$E158,$E158))</f>
        <v/>
      </c>
      <c r="K158" s="40" t="str">
        <f aca="false">IF($I158="","",LEN($I158))</f>
        <v/>
      </c>
      <c r="L158" s="13"/>
      <c r="M158" s="13"/>
      <c r="N158" s="13"/>
      <c r="O158" s="13"/>
      <c r="P158" s="152"/>
      <c r="Q158" s="149"/>
      <c r="R158" s="152"/>
      <c r="S158" s="152"/>
      <c r="T158" s="62" t="str">
        <f aca="false">IF(OR($C158="",R158=""),"",IF(R158/IF($R$2="",100,$R$2)&gt;=設定!$I$28,設定!$G$8,IF(R158/IF($R$2="",100,$R$2)&lt;設定!$I$29,設定!$G$10,設定!$G$9)))</f>
        <v/>
      </c>
      <c r="U158" s="62" t="str">
        <f aca="false">IF(OR($C158="",S158=""),"",IF(S158/IF($S$2="",100,$S$2)&gt;=設定!$I$28,設定!$G$8,IF(S158/IF($S$2="",100,$S$2)&lt;設定!$I$29,設定!$G$10,設定!$G$9)))</f>
        <v/>
      </c>
    </row>
    <row r="159" customFormat="false" ht="21" hidden="false" customHeight="true" outlineLevel="0" collapsed="false">
      <c r="A159" s="91" t="str">
        <f aca="false">IF(名簿!$D159="","",名簿!$B159&amp;"")</f>
        <v/>
      </c>
      <c r="B159" s="91" t="str">
        <f aca="false">IF(名簿!$D159="","",名簿!$C159)</f>
        <v/>
      </c>
      <c r="C159" s="59" t="str">
        <f aca="false">IF(名簿!$D159="","",名簿!$D159&amp;IF(名簿!$F159="転出","（転出）",""))</f>
        <v/>
      </c>
      <c r="D159" s="149"/>
      <c r="E159" s="61" t="str">
        <f aca="false">IF(OR($C159="",名簿!$F159="転出"),"",IF($C$2="学級ごと",$A159,IF($C$2="前の単元と同じ",単元09!$E159&amp;"",$D159&amp;"")))</f>
        <v/>
      </c>
      <c r="F159" s="150"/>
      <c r="G159" s="150"/>
      <c r="H159" s="150"/>
      <c r="I159" s="151"/>
      <c r="J159" s="41" t="str">
        <f aca="false">IF($E159="","",$E159&amp;"|"&amp;COUNTIF($E$5:$E159,$E159))</f>
        <v/>
      </c>
      <c r="K159" s="40" t="str">
        <f aca="false">IF($I159="","",LEN($I159))</f>
        <v/>
      </c>
      <c r="L159" s="13"/>
      <c r="M159" s="13"/>
      <c r="N159" s="13"/>
      <c r="O159" s="13"/>
      <c r="P159" s="152"/>
      <c r="Q159" s="149"/>
      <c r="R159" s="152"/>
      <c r="S159" s="152"/>
      <c r="T159" s="62" t="str">
        <f aca="false">IF(OR($C159="",R159=""),"",IF(R159/IF($R$2="",100,$R$2)&gt;=設定!$I$28,設定!$G$8,IF(R159/IF($R$2="",100,$R$2)&lt;設定!$I$29,設定!$G$10,設定!$G$9)))</f>
        <v/>
      </c>
      <c r="U159" s="62" t="str">
        <f aca="false">IF(OR($C159="",S159=""),"",IF(S159/IF($S$2="",100,$S$2)&gt;=設定!$I$28,設定!$G$8,IF(S159/IF($S$2="",100,$S$2)&lt;設定!$I$29,設定!$G$10,設定!$G$9)))</f>
        <v/>
      </c>
    </row>
    <row r="160" customFormat="false" ht="21" hidden="false" customHeight="true" outlineLevel="0" collapsed="false">
      <c r="A160" s="91" t="str">
        <f aca="false">IF(名簿!$D160="","",名簿!$B160&amp;"")</f>
        <v/>
      </c>
      <c r="B160" s="91" t="str">
        <f aca="false">IF(名簿!$D160="","",名簿!$C160)</f>
        <v/>
      </c>
      <c r="C160" s="59" t="str">
        <f aca="false">IF(名簿!$D160="","",名簿!$D160&amp;IF(名簿!$F160="転出","（転出）",""))</f>
        <v/>
      </c>
      <c r="D160" s="149"/>
      <c r="E160" s="61" t="str">
        <f aca="false">IF(OR($C160="",名簿!$F160="転出"),"",IF($C$2="学級ごと",$A160,IF($C$2="前の単元と同じ",単元09!$E160&amp;"",$D160&amp;"")))</f>
        <v/>
      </c>
      <c r="F160" s="150"/>
      <c r="G160" s="150"/>
      <c r="H160" s="150"/>
      <c r="I160" s="151"/>
      <c r="J160" s="41" t="str">
        <f aca="false">IF($E160="","",$E160&amp;"|"&amp;COUNTIF($E$5:$E160,$E160))</f>
        <v/>
      </c>
      <c r="K160" s="40" t="str">
        <f aca="false">IF($I160="","",LEN($I160))</f>
        <v/>
      </c>
      <c r="L160" s="13"/>
      <c r="M160" s="13"/>
      <c r="N160" s="13"/>
      <c r="O160" s="13"/>
      <c r="P160" s="152"/>
      <c r="Q160" s="149"/>
      <c r="R160" s="152"/>
      <c r="S160" s="152"/>
      <c r="T160" s="62" t="str">
        <f aca="false">IF(OR($C160="",R160=""),"",IF(R160/IF($R$2="",100,$R$2)&gt;=設定!$I$28,設定!$G$8,IF(R160/IF($R$2="",100,$R$2)&lt;設定!$I$29,設定!$G$10,設定!$G$9)))</f>
        <v/>
      </c>
      <c r="U160" s="62" t="str">
        <f aca="false">IF(OR($C160="",S160=""),"",IF(S160/IF($S$2="",100,$S$2)&gt;=設定!$I$28,設定!$G$8,IF(S160/IF($S$2="",100,$S$2)&lt;設定!$I$29,設定!$G$10,設定!$G$9)))</f>
        <v/>
      </c>
    </row>
    <row r="161" customFormat="false" ht="21" hidden="false" customHeight="true" outlineLevel="0" collapsed="false">
      <c r="A161" s="91" t="str">
        <f aca="false">IF(名簿!$D161="","",名簿!$B161&amp;"")</f>
        <v/>
      </c>
      <c r="B161" s="91" t="str">
        <f aca="false">IF(名簿!$D161="","",名簿!$C161)</f>
        <v/>
      </c>
      <c r="C161" s="59" t="str">
        <f aca="false">IF(名簿!$D161="","",名簿!$D161&amp;IF(名簿!$F161="転出","（転出）",""))</f>
        <v/>
      </c>
      <c r="D161" s="149"/>
      <c r="E161" s="61" t="str">
        <f aca="false">IF(OR($C161="",名簿!$F161="転出"),"",IF($C$2="学級ごと",$A161,IF($C$2="前の単元と同じ",単元09!$E161&amp;"",$D161&amp;"")))</f>
        <v/>
      </c>
      <c r="F161" s="150"/>
      <c r="G161" s="150"/>
      <c r="H161" s="150"/>
      <c r="I161" s="151"/>
      <c r="J161" s="41" t="str">
        <f aca="false">IF($E161="","",$E161&amp;"|"&amp;COUNTIF($E$5:$E161,$E161))</f>
        <v/>
      </c>
      <c r="K161" s="40" t="str">
        <f aca="false">IF($I161="","",LEN($I161))</f>
        <v/>
      </c>
      <c r="L161" s="13"/>
      <c r="M161" s="13"/>
      <c r="N161" s="13"/>
      <c r="O161" s="13"/>
      <c r="P161" s="152"/>
      <c r="Q161" s="149"/>
      <c r="R161" s="152"/>
      <c r="S161" s="152"/>
      <c r="T161" s="62" t="str">
        <f aca="false">IF(OR($C161="",R161=""),"",IF(R161/IF($R$2="",100,$R$2)&gt;=設定!$I$28,設定!$G$8,IF(R161/IF($R$2="",100,$R$2)&lt;設定!$I$29,設定!$G$10,設定!$G$9)))</f>
        <v/>
      </c>
      <c r="U161" s="62" t="str">
        <f aca="false">IF(OR($C161="",S161=""),"",IF(S161/IF($S$2="",100,$S$2)&gt;=設定!$I$28,設定!$G$8,IF(S161/IF($S$2="",100,$S$2)&lt;設定!$I$29,設定!$G$10,設定!$G$9)))</f>
        <v/>
      </c>
    </row>
    <row r="162" customFormat="false" ht="21" hidden="false" customHeight="true" outlineLevel="0" collapsed="false">
      <c r="A162" s="91" t="str">
        <f aca="false">IF(名簿!$D162="","",名簿!$B162&amp;"")</f>
        <v/>
      </c>
      <c r="B162" s="91" t="str">
        <f aca="false">IF(名簿!$D162="","",名簿!$C162)</f>
        <v/>
      </c>
      <c r="C162" s="59" t="str">
        <f aca="false">IF(名簿!$D162="","",名簿!$D162&amp;IF(名簿!$F162="転出","（転出）",""))</f>
        <v/>
      </c>
      <c r="D162" s="149"/>
      <c r="E162" s="61" t="str">
        <f aca="false">IF(OR($C162="",名簿!$F162="転出"),"",IF($C$2="学級ごと",$A162,IF($C$2="前の単元と同じ",単元09!$E162&amp;"",$D162&amp;"")))</f>
        <v/>
      </c>
      <c r="F162" s="150"/>
      <c r="G162" s="150"/>
      <c r="H162" s="150"/>
      <c r="I162" s="151"/>
      <c r="J162" s="41" t="str">
        <f aca="false">IF($E162="","",$E162&amp;"|"&amp;COUNTIF($E$5:$E162,$E162))</f>
        <v/>
      </c>
      <c r="K162" s="40" t="str">
        <f aca="false">IF($I162="","",LEN($I162))</f>
        <v/>
      </c>
      <c r="L162" s="13"/>
      <c r="M162" s="13"/>
      <c r="N162" s="13"/>
      <c r="O162" s="13"/>
      <c r="P162" s="152"/>
      <c r="Q162" s="149"/>
      <c r="R162" s="152"/>
      <c r="S162" s="152"/>
      <c r="T162" s="62" t="str">
        <f aca="false">IF(OR($C162="",R162=""),"",IF(R162/IF($R$2="",100,$R$2)&gt;=設定!$I$28,設定!$G$8,IF(R162/IF($R$2="",100,$R$2)&lt;設定!$I$29,設定!$G$10,設定!$G$9)))</f>
        <v/>
      </c>
      <c r="U162" s="62" t="str">
        <f aca="false">IF(OR($C162="",S162=""),"",IF(S162/IF($S$2="",100,$S$2)&gt;=設定!$I$28,設定!$G$8,IF(S162/IF($S$2="",100,$S$2)&lt;設定!$I$29,設定!$G$10,設定!$G$9)))</f>
        <v/>
      </c>
    </row>
    <row r="163" customFormat="false" ht="21" hidden="false" customHeight="true" outlineLevel="0" collapsed="false">
      <c r="A163" s="91" t="str">
        <f aca="false">IF(名簿!$D163="","",名簿!$B163&amp;"")</f>
        <v/>
      </c>
      <c r="B163" s="91" t="str">
        <f aca="false">IF(名簿!$D163="","",名簿!$C163)</f>
        <v/>
      </c>
      <c r="C163" s="59" t="str">
        <f aca="false">IF(名簿!$D163="","",名簿!$D163&amp;IF(名簿!$F163="転出","（転出）",""))</f>
        <v/>
      </c>
      <c r="D163" s="149"/>
      <c r="E163" s="61" t="str">
        <f aca="false">IF(OR($C163="",名簿!$F163="転出"),"",IF($C$2="学級ごと",$A163,IF($C$2="前の単元と同じ",単元09!$E163&amp;"",$D163&amp;"")))</f>
        <v/>
      </c>
      <c r="F163" s="150"/>
      <c r="G163" s="150"/>
      <c r="H163" s="150"/>
      <c r="I163" s="151"/>
      <c r="J163" s="41" t="str">
        <f aca="false">IF($E163="","",$E163&amp;"|"&amp;COUNTIF($E$5:$E163,$E163))</f>
        <v/>
      </c>
      <c r="K163" s="40" t="str">
        <f aca="false">IF($I163="","",LEN($I163))</f>
        <v/>
      </c>
      <c r="L163" s="13"/>
      <c r="M163" s="13"/>
      <c r="N163" s="13"/>
      <c r="O163" s="13"/>
      <c r="P163" s="152"/>
      <c r="Q163" s="149"/>
      <c r="R163" s="152"/>
      <c r="S163" s="152"/>
      <c r="T163" s="62" t="str">
        <f aca="false">IF(OR($C163="",R163=""),"",IF(R163/IF($R$2="",100,$R$2)&gt;=設定!$I$28,設定!$G$8,IF(R163/IF($R$2="",100,$R$2)&lt;設定!$I$29,設定!$G$10,設定!$G$9)))</f>
        <v/>
      </c>
      <c r="U163" s="62" t="str">
        <f aca="false">IF(OR($C163="",S163=""),"",IF(S163/IF($S$2="",100,$S$2)&gt;=設定!$I$28,設定!$G$8,IF(S163/IF($S$2="",100,$S$2)&lt;設定!$I$29,設定!$G$10,設定!$G$9)))</f>
        <v/>
      </c>
    </row>
    <row r="164" customFormat="false" ht="21" hidden="false" customHeight="true" outlineLevel="0" collapsed="false">
      <c r="A164" s="91" t="str">
        <f aca="false">IF(名簿!$D164="","",名簿!$B164&amp;"")</f>
        <v/>
      </c>
      <c r="B164" s="91" t="str">
        <f aca="false">IF(名簿!$D164="","",名簿!$C164)</f>
        <v/>
      </c>
      <c r="C164" s="59" t="str">
        <f aca="false">IF(名簿!$D164="","",名簿!$D164&amp;IF(名簿!$F164="転出","（転出）",""))</f>
        <v/>
      </c>
      <c r="D164" s="149"/>
      <c r="E164" s="61" t="str">
        <f aca="false">IF(OR($C164="",名簿!$F164="転出"),"",IF($C$2="学級ごと",$A164,IF($C$2="前の単元と同じ",単元09!$E164&amp;"",$D164&amp;"")))</f>
        <v/>
      </c>
      <c r="F164" s="150"/>
      <c r="G164" s="150"/>
      <c r="H164" s="150"/>
      <c r="I164" s="151"/>
      <c r="J164" s="41" t="str">
        <f aca="false">IF($E164="","",$E164&amp;"|"&amp;COUNTIF($E$5:$E164,$E164))</f>
        <v/>
      </c>
      <c r="K164" s="40" t="str">
        <f aca="false">IF($I164="","",LEN($I164))</f>
        <v/>
      </c>
      <c r="L164" s="13"/>
      <c r="M164" s="13"/>
      <c r="N164" s="13"/>
      <c r="O164" s="13"/>
      <c r="P164" s="152"/>
      <c r="Q164" s="149"/>
      <c r="R164" s="152"/>
      <c r="S164" s="152"/>
      <c r="T164" s="62" t="str">
        <f aca="false">IF(OR($C164="",R164=""),"",IF(R164/IF($R$2="",100,$R$2)&gt;=設定!$I$28,設定!$G$8,IF(R164/IF($R$2="",100,$R$2)&lt;設定!$I$29,設定!$G$10,設定!$G$9)))</f>
        <v/>
      </c>
      <c r="U164" s="62" t="str">
        <f aca="false">IF(OR($C164="",S164=""),"",IF(S164/IF($S$2="",100,$S$2)&gt;=設定!$I$28,設定!$G$8,IF(S164/IF($S$2="",100,$S$2)&lt;設定!$I$29,設定!$G$10,設定!$G$9)))</f>
        <v/>
      </c>
    </row>
  </sheetData>
  <sheetProtection sheet="true" formatColumns="false" formatRows="false" autoFilter="false"/>
  <autoFilter ref="A4:I164"/>
  <mergeCells count="5">
    <mergeCell ref="A1:I1"/>
    <mergeCell ref="R1:U1"/>
    <mergeCell ref="A2:B2"/>
    <mergeCell ref="D2:I2"/>
    <mergeCell ref="T2:U2"/>
  </mergeCells>
  <conditionalFormatting sqref="A5:C164">
    <cfRule type="expression" priority="2" aboveAverage="0" equalAverage="0" bottom="0" percent="0" rank="0" text="" dxfId="37">
      <formula>RIGHT($C5,4)="（転出）"</formula>
    </cfRule>
    <cfRule type="expression" priority="3" aboveAverage="0" equalAverage="0" bottom="0" percent="0" rank="0" text="" dxfId="8">
      <formula>$C5&lt;&gt;""</formula>
    </cfRule>
  </conditionalFormatting>
  <conditionalFormatting sqref="D5:D164">
    <cfRule type="expression" priority="4" aboveAverage="0" equalAverage="0" bottom="0" percent="0" rank="0" text="" dxfId="37">
      <formula>RIGHT($C5,4)="（転出）"</formula>
    </cfRule>
    <cfRule type="expression" priority="5" aboveAverage="0" equalAverage="0" bottom="0" percent="0" rank="0" text="" dxfId="38">
      <formula>AND($C5&lt;&gt;"",$C$2&lt;&gt;"習熟度別")</formula>
    </cfRule>
    <cfRule type="expression" priority="6" aboveAverage="0" equalAverage="0" bottom="0" percent="0" rank="0" text="" dxfId="39">
      <formula>AND($C5&lt;&gt;"",$E5="")</formula>
    </cfRule>
    <cfRule type="expression" priority="7" aboveAverage="0" equalAverage="0" bottom="0" percent="0" rank="0" text="" dxfId="39">
      <formula>AND($C5&lt;&gt;"",$D5&lt;&gt;"",COUNTIF(コース一覧,$D5)=0)</formula>
    </cfRule>
    <cfRule type="expression" priority="8" aboveAverage="0" equalAverage="0" bottom="0" percent="0" rank="0" text="" dxfId="40">
      <formula>AND($C5&lt;&gt;"",$C$2="習熟度別",$Q5&lt;&gt;"",$E5&lt;&gt;"",$Q5&lt;&gt;$E5)</formula>
    </cfRule>
    <cfRule type="expression" priority="9" aboveAverage="0" equalAverage="0" bottom="0" percent="0" rank="0" text="" dxfId="41">
      <formula>$C5&lt;&gt;""</formula>
    </cfRule>
  </conditionalFormatting>
  <conditionalFormatting sqref="E5:E164">
    <cfRule type="expression" priority="10" aboveAverage="0" equalAverage="0" bottom="0" percent="0" rank="0" text="" dxfId="37">
      <formula>RIGHT($C5,4)="（転出）"</formula>
    </cfRule>
    <cfRule type="expression" priority="11" aboveAverage="0" equalAverage="0" bottom="0" percent="0" rank="0" text="" dxfId="42">
      <formula>AND($E5&lt;&gt;"",$E5=$L$2)</formula>
    </cfRule>
    <cfRule type="expression" priority="12" aboveAverage="0" equalAverage="0" bottom="0" percent="0" rank="0" text="" dxfId="43">
      <formula>AND($E5&lt;&gt;"",$E5=$L$3)</formula>
    </cfRule>
    <cfRule type="expression" priority="13" aboveAverage="0" equalAverage="0" bottom="0" percent="0" rank="0" text="" dxfId="44">
      <formula>AND($E5&lt;&gt;"",$E5=$L$4)</formula>
    </cfRule>
    <cfRule type="expression" priority="14" aboveAverage="0" equalAverage="0" bottom="0" percent="0" rank="0" text="" dxfId="45">
      <formula>AND($E5&lt;&gt;"",$E5=$L$5)</formula>
    </cfRule>
    <cfRule type="expression" priority="15" aboveAverage="0" equalAverage="0" bottom="0" percent="0" rank="0" text="" dxfId="46">
      <formula>AND($E5&lt;&gt;"",$E5=$L$6)</formula>
    </cfRule>
    <cfRule type="expression" priority="16" aboveAverage="0" equalAverage="0" bottom="0" percent="0" rank="0" text="" dxfId="8">
      <formula>$C5&lt;&gt;""</formula>
    </cfRule>
  </conditionalFormatting>
  <conditionalFormatting sqref="F5:H164">
    <cfRule type="expression" priority="17" aboveAverage="0" equalAverage="0" bottom="0" percent="0" rank="0" text="" dxfId="37">
      <formula>RIGHT($C5,4)="（転出）"</formula>
    </cfRule>
    <cfRule type="expression" priority="18" aboveAverage="0" equalAverage="0" bottom="0" percent="0" rank="0" text="" dxfId="12">
      <formula>AND(F5&lt;&gt;"",F5=設定!$G$10)</formula>
    </cfRule>
    <cfRule type="expression" priority="19" aboveAverage="0" equalAverage="0" bottom="0" percent="0" rank="0" text="" dxfId="47">
      <formula>AND(F5&lt;&gt;"",F5=設定!$G$8)</formula>
    </cfRule>
    <cfRule type="expression" priority="20" aboveAverage="0" equalAverage="0" bottom="0" percent="0" rank="0" text="" dxfId="41">
      <formula>AND($C5&lt;&gt;"",$E5&lt;&gt;"")</formula>
    </cfRule>
    <cfRule type="expression" priority="21" aboveAverage="0" equalAverage="0" bottom="0" percent="0" rank="0" text="" dxfId="8">
      <formula>$C5&lt;&gt;""</formula>
    </cfRule>
  </conditionalFormatting>
  <conditionalFormatting sqref="I5:I164">
    <cfRule type="expression" priority="22" aboveAverage="0" equalAverage="0" bottom="0" percent="0" rank="0" text="" dxfId="37">
      <formula>RIGHT($C5,4)="（転出）"</formula>
    </cfRule>
    <cfRule type="expression" priority="23" aboveAverage="0" equalAverage="0" bottom="0" percent="0" rank="0" text="" dxfId="48">
      <formula>AND($C5&lt;&gt;"",$I5&lt;&gt;"",ISNUMBER(設定!$I$22),LEN($I5)&gt;設定!$I$22)</formula>
    </cfRule>
    <cfRule type="expression" priority="24" aboveAverage="0" equalAverage="0" bottom="0" percent="0" rank="0" text="" dxfId="41">
      <formula>AND($C5&lt;&gt;"",$E5&lt;&gt;"")</formula>
    </cfRule>
    <cfRule type="expression" priority="25" aboveAverage="0" equalAverage="0" bottom="0" percent="0" rank="0" text="" dxfId="8">
      <formula>$C5&lt;&gt;""</formula>
    </cfRule>
  </conditionalFormatting>
  <conditionalFormatting sqref="K5:K164">
    <cfRule type="expression" priority="26" aboveAverage="0" equalAverage="0" bottom="0" percent="0" rank="0" text="" dxfId="49">
      <formula>AND($K5&lt;&gt;"",ISNUMBER(設定!$I$22),$K5&gt;設定!$I$22)</formula>
    </cfRule>
    <cfRule type="expression" priority="27" aboveAverage="0" equalAverage="0" bottom="0" percent="0" rank="0" text="" dxfId="50">
      <formula>$C5&lt;&gt;""</formula>
    </cfRule>
  </conditionalFormatting>
  <conditionalFormatting sqref="P5:P164">
    <cfRule type="expression" priority="28" aboveAverage="0" equalAverage="0" bottom="0" percent="0" rank="0" text="" dxfId="41">
      <formula>$C5&lt;&gt;""</formula>
    </cfRule>
  </conditionalFormatting>
  <conditionalFormatting sqref="R5:R164">
    <cfRule type="expression" priority="29" aboveAverage="0" equalAverage="0" bottom="0" percent="0" rank="0" text="" dxfId="49">
      <formula>AND($C5&lt;&gt;"",$R5&lt;&gt;"",$R$2&lt;&gt;"",$R5&gt;$R$2)</formula>
    </cfRule>
    <cfRule type="expression" priority="30" aboveAverage="0" equalAverage="0" bottom="0" percent="0" rank="0" text="" dxfId="41">
      <formula>$C5&lt;&gt;""</formula>
    </cfRule>
  </conditionalFormatting>
  <conditionalFormatting sqref="S5:S164">
    <cfRule type="expression" priority="31" aboveAverage="0" equalAverage="0" bottom="0" percent="0" rank="0" text="" dxfId="49">
      <formula>AND($C5&lt;&gt;"",$S5&lt;&gt;"",$S$2&lt;&gt;"",$S5&gt;$S$2)</formula>
    </cfRule>
    <cfRule type="expression" priority="32" aboveAverage="0" equalAverage="0" bottom="0" percent="0" rank="0" text="" dxfId="41">
      <formula>$C5&lt;&gt;""</formula>
    </cfRule>
  </conditionalFormatting>
  <conditionalFormatting sqref="T5:U164">
    <cfRule type="expression" priority="33" aboveAverage="0" equalAverage="0" bottom="0" percent="0" rank="0" text="" dxfId="12">
      <formula>AND(T5&lt;&gt;"",T5=設定!$G$10)</formula>
    </cfRule>
    <cfRule type="expression" priority="34" aboveAverage="0" equalAverage="0" bottom="0" percent="0" rank="0" text="" dxfId="51">
      <formula>AND(T5&lt;&gt;"",T5=設定!$G$8)</formula>
    </cfRule>
    <cfRule type="expression" priority="35" aboveAverage="0" equalAverage="0" bottom="0" percent="0" rank="0" text="" dxfId="19">
      <formula>$C5&lt;&gt;""</formula>
    </cfRule>
  </conditionalFormatting>
  <conditionalFormatting sqref="Q5:Q164">
    <cfRule type="expression" priority="36" aboveAverage="0" equalAverage="0" bottom="0" percent="0" rank="0" text="" dxfId="40">
      <formula>AND($C5&lt;&gt;"",$Q5&lt;&gt;"",$E5&lt;&gt;"",$Q5&lt;&gt;$E5)</formula>
    </cfRule>
    <cfRule type="expression" priority="37" aboveAverage="0" equalAverage="0" bottom="0" percent="0" rank="0" text="" dxfId="41">
      <formula>$C5&lt;&gt;""</formula>
    </cfRule>
  </conditionalFormatting>
  <conditionalFormatting sqref="L2:N2">
    <cfRule type="expression" priority="38" aboveAverage="0" equalAverage="0" bottom="0" percent="0" rank="0" text="" dxfId="14">
      <formula>$L2=""</formula>
    </cfRule>
  </conditionalFormatting>
  <conditionalFormatting sqref="L3:N3">
    <cfRule type="expression" priority="39" aboveAverage="0" equalAverage="0" bottom="0" percent="0" rank="0" text="" dxfId="14">
      <formula>$L3=""</formula>
    </cfRule>
  </conditionalFormatting>
  <conditionalFormatting sqref="L4:N4">
    <cfRule type="expression" priority="40" aboveAverage="0" equalAverage="0" bottom="0" percent="0" rank="0" text="" dxfId="14">
      <formula>$L4=""</formula>
    </cfRule>
  </conditionalFormatting>
  <conditionalFormatting sqref="L5:N5">
    <cfRule type="expression" priority="41" aboveAverage="0" equalAverage="0" bottom="0" percent="0" rank="0" text="" dxfId="14">
      <formula>$L5=""</formula>
    </cfRule>
  </conditionalFormatting>
  <conditionalFormatting sqref="L6:N6">
    <cfRule type="expression" priority="42" aboveAverage="0" equalAverage="0" bottom="0" percent="0" rank="0" text="" dxfId="14">
      <formula>$L6=""</formula>
    </cfRule>
  </conditionalFormatting>
  <conditionalFormatting sqref="N7">
    <cfRule type="expression" priority="43" aboveAverage="0" equalAverage="0" bottom="0" percent="0" rank="0" text="" dxfId="52">
      <formula>$N$7=0</formula>
    </cfRule>
  </conditionalFormatting>
  <dataValidations count="6">
    <dataValidation allowBlank="true" error="点数（数字）を入力してください。" errorStyle="stop" operator="between" showDropDown="false" showErrorMessage="true" showInputMessage="false" sqref="R2:S2 P5:P164 R5:S164" type="decimal">
      <formula1>0</formula1>
      <formula2>1000</formula2>
    </dataValidation>
    <dataValidation allowBlank="false" error="一覧から選んでください。" errorStyle="stop" errorTitle="入力エラー" operator="between" showDropDown="false" showErrorMessage="true" showInputMessage="false" sqref="C2" type="list">
      <formula1>"習熟度別,前の単元と同じ,学級ごと"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D5:D164" type="list">
      <formula1>コース一覧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Q5:Q164" type="list">
      <formula1>コース一覧</formula1>
      <formula2>0</formula2>
    </dataValidation>
    <dataValidation allowBlank="true" error="設定シートの評価記号（A/B/C）から選んでください。" errorStyle="stop" errorTitle="入力エラー" operator="between" showDropDown="false" showErrorMessage="true" showInputMessage="false" sqref="F5:H164" type="list">
      <formula1>評価記号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M2:M6" type="list">
      <formula1>担当者一覧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U16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5"/>
    <col collapsed="false" customWidth="true" hidden="false" outlineLevel="0" max="3" min="3" style="0" width="17"/>
    <col collapsed="false" customWidth="true" hidden="false" outlineLevel="0" max="4" min="4" style="0" width="11"/>
    <col collapsed="false" customWidth="true" hidden="false" outlineLevel="0" max="5" min="5" style="0" width="12"/>
    <col collapsed="false" customWidth="true" hidden="false" outlineLevel="0" max="8" min="6" style="0" width="6"/>
    <col collapsed="false" customWidth="true" hidden="false" outlineLevel="0" max="9" min="9" style="0" width="55"/>
    <col collapsed="false" customWidth="true" hidden="true" outlineLevel="0" max="10" min="10" style="0" width="3"/>
    <col collapsed="false" customWidth="true" hidden="false" outlineLevel="0" max="11" min="11" style="0" width="5"/>
    <col collapsed="false" customWidth="true" hidden="false" outlineLevel="0" max="12" min="12" style="0" width="14"/>
    <col collapsed="false" customWidth="true" hidden="false" outlineLevel="0" max="13" min="13" style="0" width="13"/>
    <col collapsed="false" customWidth="true" hidden="false" outlineLevel="0" max="14" min="14" style="0" width="7"/>
    <col collapsed="false" customWidth="true" hidden="false" outlineLevel="0" max="15" min="15" style="0" width="2"/>
    <col collapsed="false" customWidth="true" hidden="false" outlineLevel="0" max="16" min="16" style="0" width="9"/>
    <col collapsed="false" customWidth="true" hidden="false" outlineLevel="0" max="17" min="17" style="0" width="12"/>
    <col collapsed="false" customWidth="true" hidden="false" outlineLevel="0" max="19" min="18" style="0" width="7"/>
    <col collapsed="false" customWidth="true" hidden="false" outlineLevel="0" max="21" min="20" style="0" width="6"/>
  </cols>
  <sheetData>
    <row r="1" customFormat="false" ht="33.75" hidden="false" customHeight="true" outlineLevel="0" collapsed="false">
      <c r="A1" s="14" t="str">
        <f aca="false">"単元11　"&amp;IF(設定!$D$27="","（設定シートで単元名を入力）",設定!$D$27)&amp;IF(設定!$C$27="","","　／　"&amp;設定!$C$27&amp;IF(ISNUMBER(設定!$C$27),"学期",""))</f>
        <v>単元11　（設定シートで単元名を入力）</v>
      </c>
      <c r="B1" s="14"/>
      <c r="C1" s="14"/>
      <c r="D1" s="14"/>
      <c r="E1" s="14"/>
      <c r="F1" s="14"/>
      <c r="G1" s="14"/>
      <c r="H1" s="14"/>
      <c r="I1" s="14"/>
      <c r="J1" s="13"/>
      <c r="K1" s="13"/>
      <c r="L1" s="16" t="s">
        <v>153</v>
      </c>
      <c r="M1" s="16" t="s">
        <v>68</v>
      </c>
      <c r="N1" s="16" t="s">
        <v>128</v>
      </c>
      <c r="O1" s="13"/>
      <c r="P1" s="13"/>
      <c r="Q1" s="13"/>
      <c r="R1" s="131" t="s">
        <v>154</v>
      </c>
      <c r="S1" s="131"/>
      <c r="T1" s="131"/>
      <c r="U1" s="131"/>
    </row>
    <row r="2" customFormat="false" ht="25.5" hidden="false" customHeight="true" outlineLevel="0" collapsed="false">
      <c r="A2" s="16" t="s">
        <v>131</v>
      </c>
      <c r="B2" s="16"/>
      <c r="C2" s="138" t="s">
        <v>164</v>
      </c>
      <c r="D2" s="139" t="str">
        <f aca="false">IF($C$2="習熟度別","← D列「コース」で一人ずつ選びます",IF($C$2="前の単元と同じ","← 前の単元のコースをそのまま使います","← 在籍学級のまま分かれます"))</f>
        <v>← D列「コース」で一人ずつ選びます</v>
      </c>
      <c r="E2" s="139"/>
      <c r="F2" s="139"/>
      <c r="G2" s="139"/>
      <c r="H2" s="139"/>
      <c r="I2" s="139"/>
      <c r="J2" s="13"/>
      <c r="K2" s="13"/>
      <c r="L2" s="119" t="str">
        <f aca="false">IF($C$2="前の単元と同じ",単元10!$L2&amp;"",IF($C$2="学級ごと",IF(設定!$B$8="","",設定!$B$8&amp;""),IF(設定!$D$8="","",設定!$D$8&amp;"")))</f>
        <v>深める</v>
      </c>
      <c r="M2" s="39"/>
      <c r="N2" s="140" t="n">
        <f aca="false">IF($L2="","",COUNTIF($E$5:$E$164,$L2))</f>
        <v>0</v>
      </c>
      <c r="O2" s="13"/>
      <c r="P2" s="13"/>
      <c r="Q2" s="13"/>
      <c r="R2" s="141" t="n">
        <v>100</v>
      </c>
      <c r="S2" s="141" t="n">
        <v>100</v>
      </c>
      <c r="T2" s="142" t="s">
        <v>165</v>
      </c>
      <c r="U2" s="142"/>
    </row>
    <row r="3" customFormat="false" ht="17.15" hidden="false" customHeight="false" outlineLevel="0" collapsed="false">
      <c r="A3" s="4" t="s">
        <v>166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23" t="str">
        <f aca="false">IF($C$2="前の単元と同じ",単元10!$L3&amp;"",IF($C$2="学級ごと",IF(設定!$B$9="","",設定!$B$9&amp;""),IF(設定!$D$9="","",設定!$D$9&amp;"")))</f>
        <v>広げるA</v>
      </c>
      <c r="M3" s="39"/>
      <c r="N3" s="140" t="n">
        <f aca="false">IF($L3="","",COUNTIF($E$5:$E$164,$L3))</f>
        <v>0</v>
      </c>
      <c r="O3" s="13"/>
      <c r="P3" s="143" t="s">
        <v>167</v>
      </c>
      <c r="Q3" s="13"/>
      <c r="R3" s="144" t="s">
        <v>168</v>
      </c>
      <c r="S3" s="13"/>
      <c r="T3" s="13"/>
      <c r="U3" s="13"/>
    </row>
    <row r="4" customFormat="false" ht="30" hidden="false" customHeight="true" outlineLevel="0" collapsed="false">
      <c r="A4" s="16" t="s">
        <v>121</v>
      </c>
      <c r="B4" s="16" t="s">
        <v>122</v>
      </c>
      <c r="C4" s="16" t="s">
        <v>123</v>
      </c>
      <c r="D4" s="145" t="s">
        <v>153</v>
      </c>
      <c r="E4" s="16" t="s">
        <v>169</v>
      </c>
      <c r="F4" s="146" t="str">
        <f aca="false">設定!$I$8</f>
        <v>知</v>
      </c>
      <c r="G4" s="146" t="str">
        <f aca="false">設定!$I$9</f>
        <v>思</v>
      </c>
      <c r="H4" s="146" t="str">
        <f aca="false">設定!$I$10</f>
        <v>態</v>
      </c>
      <c r="I4" s="146" t="s">
        <v>107</v>
      </c>
      <c r="J4" s="16"/>
      <c r="K4" s="110" t="s">
        <v>170</v>
      </c>
      <c r="L4" s="124" t="str">
        <f aca="false">IF($C$2="前の単元と同じ",単元10!$L4&amp;"",IF($C$2="学級ごと",IF(設定!$B$10="","",設定!$B$10&amp;""),IF(設定!$D$10="","",設定!$D$10&amp;"")))</f>
        <v>広げるB</v>
      </c>
      <c r="M4" s="39"/>
      <c r="N4" s="140" t="n">
        <f aca="false">IF($L4="","",COUNTIF($E$5:$E$164,$L4))</f>
        <v>0</v>
      </c>
      <c r="O4" s="13"/>
      <c r="P4" s="147" t="s">
        <v>171</v>
      </c>
      <c r="Q4" s="147" t="s">
        <v>172</v>
      </c>
      <c r="R4" s="131" t="str">
        <f aca="false">設定!$I$8&amp;"得点"</f>
        <v>知得点</v>
      </c>
      <c r="S4" s="131" t="str">
        <f aca="false">設定!$I$9&amp;"得点"</f>
        <v>思得点</v>
      </c>
      <c r="T4" s="148" t="str">
        <f aca="false">設定!$I$8&amp;"目安"</f>
        <v>知目安</v>
      </c>
      <c r="U4" s="148" t="str">
        <f aca="false">設定!$I$9&amp;"目安"</f>
        <v>思目安</v>
      </c>
    </row>
    <row r="5" customFormat="false" ht="21" hidden="false" customHeight="true" outlineLevel="0" collapsed="false">
      <c r="A5" s="91" t="str">
        <f aca="false">IF(名簿!$D5="","",名簿!$B5&amp;"")</f>
        <v/>
      </c>
      <c r="B5" s="91" t="str">
        <f aca="false">IF(名簿!$D5="","",名簿!$C5)</f>
        <v/>
      </c>
      <c r="C5" s="59" t="str">
        <f aca="false">IF(名簿!$D5="","",名簿!$D5&amp;IF(名簿!$F5="転出","（転出）",""))</f>
        <v/>
      </c>
      <c r="D5" s="149"/>
      <c r="E5" s="61" t="str">
        <f aca="false">IF(OR($C5="",名簿!$F5="転出"),"",IF($C$2="学級ごと",$A5,IF($C$2="前の単元と同じ",単元10!$E5&amp;"",$D5&amp;"")))</f>
        <v/>
      </c>
      <c r="F5" s="150"/>
      <c r="G5" s="150"/>
      <c r="H5" s="150"/>
      <c r="I5" s="151"/>
      <c r="J5" s="41" t="str">
        <f aca="false">IF($E5="","",$E5&amp;"|"&amp;COUNTIF($E$5:$E5,$E5))</f>
        <v/>
      </c>
      <c r="K5" s="40" t="str">
        <f aca="false">IF($I5="","",LEN($I5))</f>
        <v/>
      </c>
      <c r="L5" s="125" t="str">
        <f aca="false">IF($C$2="前の単元と同じ",単元10!$L5&amp;"",IF($C$2="学級ごと",IF(設定!$B$11="","",設定!$B$11&amp;""),IF(設定!$D$11="","",設定!$D$11&amp;"")))</f>
        <v>かためる</v>
      </c>
      <c r="M5" s="39"/>
      <c r="N5" s="140" t="n">
        <f aca="false">IF($L5="","",COUNTIF($E$5:$E$164,$L5))</f>
        <v>0</v>
      </c>
      <c r="O5" s="13"/>
      <c r="P5" s="152"/>
      <c r="Q5" s="149"/>
      <c r="R5" s="152"/>
      <c r="S5" s="152"/>
      <c r="T5" s="62" t="str">
        <f aca="false">IF(OR($C5="",R5=""),"",IF(R5/IF($R$2="",100,$R$2)&gt;=設定!$I$28,設定!$G$8,IF(R5/IF($R$2="",100,$R$2)&lt;設定!$I$29,設定!$G$10,設定!$G$9)))</f>
        <v/>
      </c>
      <c r="U5" s="62" t="str">
        <f aca="false">IF(OR($C5="",S5=""),"",IF(S5/IF($S$2="",100,$S$2)&gt;=設定!$I$28,設定!$G$8,IF(S5/IF($S$2="",100,$S$2)&lt;設定!$I$29,設定!$G$10,設定!$G$9)))</f>
        <v/>
      </c>
    </row>
    <row r="6" customFormat="false" ht="21" hidden="false" customHeight="true" outlineLevel="0" collapsed="false">
      <c r="A6" s="91" t="str">
        <f aca="false">IF(名簿!$D6="","",名簿!$B6&amp;"")</f>
        <v/>
      </c>
      <c r="B6" s="91" t="str">
        <f aca="false">IF(名簿!$D6="","",名簿!$C6)</f>
        <v/>
      </c>
      <c r="C6" s="59" t="str">
        <f aca="false">IF(名簿!$D6="","",名簿!$D6&amp;IF(名簿!$F6="転出","（転出）",""))</f>
        <v/>
      </c>
      <c r="D6" s="149"/>
      <c r="E6" s="61" t="str">
        <f aca="false">IF(OR($C6="",名簿!$F6="転出"),"",IF($C$2="学級ごと",$A6,IF($C$2="前の単元と同じ",単元10!$E6&amp;"",$D6&amp;"")))</f>
        <v/>
      </c>
      <c r="F6" s="150"/>
      <c r="G6" s="150"/>
      <c r="H6" s="150"/>
      <c r="I6" s="151"/>
      <c r="J6" s="41" t="str">
        <f aca="false">IF($E6="","",$E6&amp;"|"&amp;COUNTIF($E$5:$E6,$E6))</f>
        <v/>
      </c>
      <c r="K6" s="40" t="str">
        <f aca="false">IF($I6="","",LEN($I6))</f>
        <v/>
      </c>
      <c r="L6" s="126" t="str">
        <f aca="false">IF($C$2="前の単元と同じ",単元10!$L6&amp;"",IF($C$2="学級ごと",IF(設定!$B$12="","",設定!$B$12&amp;""),IF(設定!$D$12="","",設定!$D$12&amp;"")))</f>
        <v/>
      </c>
      <c r="M6" s="39"/>
      <c r="N6" s="153" t="str">
        <f aca="false">IF($L6="","",COUNTIF($E$5:$E$164,$L6))</f>
        <v/>
      </c>
      <c r="O6" s="13"/>
      <c r="P6" s="152"/>
      <c r="Q6" s="149"/>
      <c r="R6" s="152"/>
      <c r="S6" s="152"/>
      <c r="T6" s="62" t="str">
        <f aca="false">IF(OR($C6="",R6=""),"",IF(R6/IF($R$2="",100,$R$2)&gt;=設定!$I$28,設定!$G$8,IF(R6/IF($R$2="",100,$R$2)&lt;設定!$I$29,設定!$G$10,設定!$G$9)))</f>
        <v/>
      </c>
      <c r="U6" s="62" t="str">
        <f aca="false">IF(OR($C6="",S6=""),"",IF(S6/IF($S$2="",100,$S$2)&gt;=設定!$I$28,設定!$G$8,IF(S6/IF($S$2="",100,$S$2)&lt;設定!$I$29,設定!$G$10,設定!$G$9)))</f>
        <v/>
      </c>
    </row>
    <row r="7" customFormat="false" ht="21" hidden="false" customHeight="true" outlineLevel="0" collapsed="false">
      <c r="A7" s="91" t="str">
        <f aca="false">IF(名簿!$D7="","",名簿!$B7&amp;"")</f>
        <v/>
      </c>
      <c r="B7" s="91" t="str">
        <f aca="false">IF(名簿!$D7="","",名簿!$C7)</f>
        <v/>
      </c>
      <c r="C7" s="59" t="str">
        <f aca="false">IF(名簿!$D7="","",名簿!$D7&amp;IF(名簿!$F7="転出","（転出）",""))</f>
        <v/>
      </c>
      <c r="D7" s="149"/>
      <c r="E7" s="61" t="str">
        <f aca="false">IF(OR($C7="",名簿!$F7="転出"),"",IF($C$2="学級ごと",$A7,IF($C$2="前の単元と同じ",単元10!$E7&amp;"",$D7&amp;"")))</f>
        <v/>
      </c>
      <c r="F7" s="150"/>
      <c r="G7" s="150"/>
      <c r="H7" s="150"/>
      <c r="I7" s="151"/>
      <c r="J7" s="41" t="str">
        <f aca="false">IF($E7="","",$E7&amp;"|"&amp;COUNTIF($E$5:$E7,$E7))</f>
        <v/>
      </c>
      <c r="K7" s="40" t="str">
        <f aca="false">IF($I7="","",LEN($I7))</f>
        <v/>
      </c>
      <c r="L7" s="154" t="s">
        <v>133</v>
      </c>
      <c r="M7" s="155" t="s">
        <v>173</v>
      </c>
      <c r="N7" s="156" t="n">
        <f aca="false">SUMPRODUCT(($C$5:$C$164&lt;&gt;"")*(名簿!$F$5:$F$164&lt;&gt;"転出")*($E$5:$E$164=""))</f>
        <v>0</v>
      </c>
      <c r="O7" s="13"/>
      <c r="P7" s="152"/>
      <c r="Q7" s="149"/>
      <c r="R7" s="152"/>
      <c r="S7" s="152"/>
      <c r="T7" s="62" t="str">
        <f aca="false">IF(OR($C7="",R7=""),"",IF(R7/IF($R$2="",100,$R$2)&gt;=設定!$I$28,設定!$G$8,IF(R7/IF($R$2="",100,$R$2)&lt;設定!$I$29,設定!$G$10,設定!$G$9)))</f>
        <v/>
      </c>
      <c r="U7" s="62" t="str">
        <f aca="false">IF(OR($C7="",S7=""),"",IF(S7/IF($S$2="",100,$S$2)&gt;=設定!$I$28,設定!$G$8,IF(S7/IF($S$2="",100,$S$2)&lt;設定!$I$29,設定!$G$10,設定!$G$9)))</f>
        <v/>
      </c>
    </row>
    <row r="8" customFormat="false" ht="21" hidden="false" customHeight="true" outlineLevel="0" collapsed="false">
      <c r="A8" s="91" t="str">
        <f aca="false">IF(名簿!$D8="","",名簿!$B8&amp;"")</f>
        <v/>
      </c>
      <c r="B8" s="91" t="str">
        <f aca="false">IF(名簿!$D8="","",名簿!$C8)</f>
        <v/>
      </c>
      <c r="C8" s="59" t="str">
        <f aca="false">IF(名簿!$D8="","",名簿!$D8&amp;IF(名簿!$F8="転出","（転出）",""))</f>
        <v/>
      </c>
      <c r="D8" s="149"/>
      <c r="E8" s="61" t="str">
        <f aca="false">IF(OR($C8="",名簿!$F8="転出"),"",IF($C$2="学級ごと",$A8,IF($C$2="前の単元と同じ",単元10!$E8&amp;"",$D8&amp;"")))</f>
        <v/>
      </c>
      <c r="F8" s="150"/>
      <c r="G8" s="150"/>
      <c r="H8" s="150"/>
      <c r="I8" s="151"/>
      <c r="J8" s="41" t="str">
        <f aca="false">IF($E8="","",$E8&amp;"|"&amp;COUNTIF($E$5:$E8,$E8))</f>
        <v/>
      </c>
      <c r="K8" s="40" t="str">
        <f aca="false">IF($I8="","",LEN($I8))</f>
        <v/>
      </c>
      <c r="L8" s="157" t="s">
        <v>174</v>
      </c>
      <c r="M8" s="158" t="s">
        <v>175</v>
      </c>
      <c r="N8" s="159" t="n">
        <f aca="false">SUMPRODUCT(($E$5:$E$164&lt;&gt;"")*(($F$5:$F$164="")+($G$5:$G$164="")+($H$5:$H$164="")&gt;0))</f>
        <v>0</v>
      </c>
      <c r="O8" s="13"/>
      <c r="P8" s="152"/>
      <c r="Q8" s="149"/>
      <c r="R8" s="152"/>
      <c r="S8" s="152"/>
      <c r="T8" s="62" t="str">
        <f aca="false">IF(OR($C8="",R8=""),"",IF(R8/IF($R$2="",100,$R$2)&gt;=設定!$I$28,設定!$G$8,IF(R8/IF($R$2="",100,$R$2)&lt;設定!$I$29,設定!$G$10,設定!$G$9)))</f>
        <v/>
      </c>
      <c r="U8" s="62" t="str">
        <f aca="false">IF(OR($C8="",S8=""),"",IF(S8/IF($S$2="",100,$S$2)&gt;=設定!$I$28,設定!$G$8,IF(S8/IF($S$2="",100,$S$2)&lt;設定!$I$29,設定!$G$10,設定!$G$9)))</f>
        <v/>
      </c>
    </row>
    <row r="9" customFormat="false" ht="21" hidden="false" customHeight="true" outlineLevel="0" collapsed="false">
      <c r="A9" s="91" t="str">
        <f aca="false">IF(名簿!$D9="","",名簿!$B9&amp;"")</f>
        <v/>
      </c>
      <c r="B9" s="91" t="str">
        <f aca="false">IF(名簿!$D9="","",名簿!$C9)</f>
        <v/>
      </c>
      <c r="C9" s="59" t="str">
        <f aca="false">IF(名簿!$D9="","",名簿!$D9&amp;IF(名簿!$F9="転出","（転出）",""))</f>
        <v/>
      </c>
      <c r="D9" s="149"/>
      <c r="E9" s="61" t="str">
        <f aca="false">IF(OR($C9="",名簿!$F9="転出"),"",IF($C$2="学級ごと",$A9,IF($C$2="前の単元と同じ",単元10!$E9&amp;"",$D9&amp;"")))</f>
        <v/>
      </c>
      <c r="F9" s="150"/>
      <c r="G9" s="150"/>
      <c r="H9" s="150"/>
      <c r="I9" s="151"/>
      <c r="J9" s="41" t="str">
        <f aca="false">IF($E9="","",$E9&amp;"|"&amp;COUNTIF($E$5:$E9,$E9))</f>
        <v/>
      </c>
      <c r="K9" s="40" t="str">
        <f aca="false">IF($I9="","",LEN($I9))</f>
        <v/>
      </c>
      <c r="L9" s="13"/>
      <c r="M9" s="13"/>
      <c r="N9" s="13"/>
      <c r="O9" s="13"/>
      <c r="P9" s="152"/>
      <c r="Q9" s="149"/>
      <c r="R9" s="152"/>
      <c r="S9" s="152"/>
      <c r="T9" s="62" t="str">
        <f aca="false">IF(OR($C9="",R9=""),"",IF(R9/IF($R$2="",100,$R$2)&gt;=設定!$I$28,設定!$G$8,IF(R9/IF($R$2="",100,$R$2)&lt;設定!$I$29,設定!$G$10,設定!$G$9)))</f>
        <v/>
      </c>
      <c r="U9" s="62" t="str">
        <f aca="false">IF(OR($C9="",S9=""),"",IF(S9/IF($S$2="",100,$S$2)&gt;=設定!$I$28,設定!$G$8,IF(S9/IF($S$2="",100,$S$2)&lt;設定!$I$29,設定!$G$10,設定!$G$9)))</f>
        <v/>
      </c>
    </row>
    <row r="10" customFormat="false" ht="21" hidden="false" customHeight="true" outlineLevel="0" collapsed="false">
      <c r="A10" s="91" t="str">
        <f aca="false">IF(名簿!$D10="","",名簿!$B10&amp;"")</f>
        <v/>
      </c>
      <c r="B10" s="91" t="str">
        <f aca="false">IF(名簿!$D10="","",名簿!$C10)</f>
        <v/>
      </c>
      <c r="C10" s="59" t="str">
        <f aca="false">IF(名簿!$D10="","",名簿!$D10&amp;IF(名簿!$F10="転出","（転出）",""))</f>
        <v/>
      </c>
      <c r="D10" s="149"/>
      <c r="E10" s="61" t="str">
        <f aca="false">IF(OR($C10="",名簿!$F10="転出"),"",IF($C$2="学級ごと",$A10,IF($C$2="前の単元と同じ",単元10!$E10&amp;"",$D10&amp;"")))</f>
        <v/>
      </c>
      <c r="F10" s="150"/>
      <c r="G10" s="150"/>
      <c r="H10" s="150"/>
      <c r="I10" s="151"/>
      <c r="J10" s="41" t="str">
        <f aca="false">IF($E10="","",$E10&amp;"|"&amp;COUNTIF($E$5:$E10,$E10))</f>
        <v/>
      </c>
      <c r="K10" s="40" t="str">
        <f aca="false">IF($I10="","",LEN($I10))</f>
        <v/>
      </c>
      <c r="L10" s="13"/>
      <c r="M10" s="13"/>
      <c r="N10" s="13"/>
      <c r="O10" s="13"/>
      <c r="P10" s="152"/>
      <c r="Q10" s="149"/>
      <c r="R10" s="152"/>
      <c r="S10" s="152"/>
      <c r="T10" s="62" t="str">
        <f aca="false">IF(OR($C10="",R10=""),"",IF(R10/IF($R$2="",100,$R$2)&gt;=設定!$I$28,設定!$G$8,IF(R10/IF($R$2="",100,$R$2)&lt;設定!$I$29,設定!$G$10,設定!$G$9)))</f>
        <v/>
      </c>
      <c r="U10" s="62" t="str">
        <f aca="false">IF(OR($C10="",S10=""),"",IF(S10/IF($S$2="",100,$S$2)&gt;=設定!$I$28,設定!$G$8,IF(S10/IF($S$2="",100,$S$2)&lt;設定!$I$29,設定!$G$10,設定!$G$9)))</f>
        <v/>
      </c>
    </row>
    <row r="11" customFormat="false" ht="21" hidden="false" customHeight="true" outlineLevel="0" collapsed="false">
      <c r="A11" s="91" t="str">
        <f aca="false">IF(名簿!$D11="","",名簿!$B11&amp;"")</f>
        <v/>
      </c>
      <c r="B11" s="91" t="str">
        <f aca="false">IF(名簿!$D11="","",名簿!$C11)</f>
        <v/>
      </c>
      <c r="C11" s="59" t="str">
        <f aca="false">IF(名簿!$D11="","",名簿!$D11&amp;IF(名簿!$F11="転出","（転出）",""))</f>
        <v/>
      </c>
      <c r="D11" s="149"/>
      <c r="E11" s="61" t="str">
        <f aca="false">IF(OR($C11="",名簿!$F11="転出"),"",IF($C$2="学級ごと",$A11,IF($C$2="前の単元と同じ",単元10!$E11&amp;"",$D11&amp;"")))</f>
        <v/>
      </c>
      <c r="F11" s="150"/>
      <c r="G11" s="150"/>
      <c r="H11" s="150"/>
      <c r="I11" s="151"/>
      <c r="J11" s="41" t="str">
        <f aca="false">IF($E11="","",$E11&amp;"|"&amp;COUNTIF($E$5:$E11,$E11))</f>
        <v/>
      </c>
      <c r="K11" s="40" t="str">
        <f aca="false">IF($I11="","",LEN($I11))</f>
        <v/>
      </c>
      <c r="L11" s="13"/>
      <c r="M11" s="13"/>
      <c r="N11" s="13"/>
      <c r="O11" s="13"/>
      <c r="P11" s="152"/>
      <c r="Q11" s="149"/>
      <c r="R11" s="152"/>
      <c r="S11" s="152"/>
      <c r="T11" s="62" t="str">
        <f aca="false">IF(OR($C11="",R11=""),"",IF(R11/IF($R$2="",100,$R$2)&gt;=設定!$I$28,設定!$G$8,IF(R11/IF($R$2="",100,$R$2)&lt;設定!$I$29,設定!$G$10,設定!$G$9)))</f>
        <v/>
      </c>
      <c r="U11" s="62" t="str">
        <f aca="false">IF(OR($C11="",S11=""),"",IF(S11/IF($S$2="",100,$S$2)&gt;=設定!$I$28,設定!$G$8,IF(S11/IF($S$2="",100,$S$2)&lt;設定!$I$29,設定!$G$10,設定!$G$9)))</f>
        <v/>
      </c>
    </row>
    <row r="12" customFormat="false" ht="21" hidden="false" customHeight="true" outlineLevel="0" collapsed="false">
      <c r="A12" s="91" t="str">
        <f aca="false">IF(名簿!$D12="","",名簿!$B12&amp;"")</f>
        <v/>
      </c>
      <c r="B12" s="91" t="str">
        <f aca="false">IF(名簿!$D12="","",名簿!$C12)</f>
        <v/>
      </c>
      <c r="C12" s="59" t="str">
        <f aca="false">IF(名簿!$D12="","",名簿!$D12&amp;IF(名簿!$F12="転出","（転出）",""))</f>
        <v/>
      </c>
      <c r="D12" s="149"/>
      <c r="E12" s="61" t="str">
        <f aca="false">IF(OR($C12="",名簿!$F12="転出"),"",IF($C$2="学級ごと",$A12,IF($C$2="前の単元と同じ",単元10!$E12&amp;"",$D12&amp;"")))</f>
        <v/>
      </c>
      <c r="F12" s="150"/>
      <c r="G12" s="150"/>
      <c r="H12" s="150"/>
      <c r="I12" s="151"/>
      <c r="J12" s="41" t="str">
        <f aca="false">IF($E12="","",$E12&amp;"|"&amp;COUNTIF($E$5:$E12,$E12))</f>
        <v/>
      </c>
      <c r="K12" s="40" t="str">
        <f aca="false">IF($I12="","",LEN($I12))</f>
        <v/>
      </c>
      <c r="L12" s="13"/>
      <c r="M12" s="13"/>
      <c r="N12" s="13"/>
      <c r="O12" s="13"/>
      <c r="P12" s="152"/>
      <c r="Q12" s="149"/>
      <c r="R12" s="152"/>
      <c r="S12" s="152"/>
      <c r="T12" s="62" t="str">
        <f aca="false">IF(OR($C12="",R12=""),"",IF(R12/IF($R$2="",100,$R$2)&gt;=設定!$I$28,設定!$G$8,IF(R12/IF($R$2="",100,$R$2)&lt;設定!$I$29,設定!$G$10,設定!$G$9)))</f>
        <v/>
      </c>
      <c r="U12" s="62" t="str">
        <f aca="false">IF(OR($C12="",S12=""),"",IF(S12/IF($S$2="",100,$S$2)&gt;=設定!$I$28,設定!$G$8,IF(S12/IF($S$2="",100,$S$2)&lt;設定!$I$29,設定!$G$10,設定!$G$9)))</f>
        <v/>
      </c>
    </row>
    <row r="13" customFormat="false" ht="21" hidden="false" customHeight="true" outlineLevel="0" collapsed="false">
      <c r="A13" s="91" t="str">
        <f aca="false">IF(名簿!$D13="","",名簿!$B13&amp;"")</f>
        <v/>
      </c>
      <c r="B13" s="91" t="str">
        <f aca="false">IF(名簿!$D13="","",名簿!$C13)</f>
        <v/>
      </c>
      <c r="C13" s="59" t="str">
        <f aca="false">IF(名簿!$D13="","",名簿!$D13&amp;IF(名簿!$F13="転出","（転出）",""))</f>
        <v/>
      </c>
      <c r="D13" s="149"/>
      <c r="E13" s="61" t="str">
        <f aca="false">IF(OR($C13="",名簿!$F13="転出"),"",IF($C$2="学級ごと",$A13,IF($C$2="前の単元と同じ",単元10!$E13&amp;"",$D13&amp;"")))</f>
        <v/>
      </c>
      <c r="F13" s="150"/>
      <c r="G13" s="150"/>
      <c r="H13" s="150"/>
      <c r="I13" s="151"/>
      <c r="J13" s="41" t="str">
        <f aca="false">IF($E13="","",$E13&amp;"|"&amp;COUNTIF($E$5:$E13,$E13))</f>
        <v/>
      </c>
      <c r="K13" s="40" t="str">
        <f aca="false">IF($I13="","",LEN($I13))</f>
        <v/>
      </c>
      <c r="L13" s="13"/>
      <c r="M13" s="13"/>
      <c r="N13" s="13"/>
      <c r="O13" s="13"/>
      <c r="P13" s="152"/>
      <c r="Q13" s="149"/>
      <c r="R13" s="152"/>
      <c r="S13" s="152"/>
      <c r="T13" s="62" t="str">
        <f aca="false">IF(OR($C13="",R13=""),"",IF(R13/IF($R$2="",100,$R$2)&gt;=設定!$I$28,設定!$G$8,IF(R13/IF($R$2="",100,$R$2)&lt;設定!$I$29,設定!$G$10,設定!$G$9)))</f>
        <v/>
      </c>
      <c r="U13" s="62" t="str">
        <f aca="false">IF(OR($C13="",S13=""),"",IF(S13/IF($S$2="",100,$S$2)&gt;=設定!$I$28,設定!$G$8,IF(S13/IF($S$2="",100,$S$2)&lt;設定!$I$29,設定!$G$10,設定!$G$9)))</f>
        <v/>
      </c>
    </row>
    <row r="14" customFormat="false" ht="21" hidden="false" customHeight="true" outlineLevel="0" collapsed="false">
      <c r="A14" s="91" t="str">
        <f aca="false">IF(名簿!$D14="","",名簿!$B14&amp;"")</f>
        <v/>
      </c>
      <c r="B14" s="91" t="str">
        <f aca="false">IF(名簿!$D14="","",名簿!$C14)</f>
        <v/>
      </c>
      <c r="C14" s="59" t="str">
        <f aca="false">IF(名簿!$D14="","",名簿!$D14&amp;IF(名簿!$F14="転出","（転出）",""))</f>
        <v/>
      </c>
      <c r="D14" s="149"/>
      <c r="E14" s="61" t="str">
        <f aca="false">IF(OR($C14="",名簿!$F14="転出"),"",IF($C$2="学級ごと",$A14,IF($C$2="前の単元と同じ",単元10!$E14&amp;"",$D14&amp;"")))</f>
        <v/>
      </c>
      <c r="F14" s="150"/>
      <c r="G14" s="150"/>
      <c r="H14" s="150"/>
      <c r="I14" s="151"/>
      <c r="J14" s="41" t="str">
        <f aca="false">IF($E14="","",$E14&amp;"|"&amp;COUNTIF($E$5:$E14,$E14))</f>
        <v/>
      </c>
      <c r="K14" s="40" t="str">
        <f aca="false">IF($I14="","",LEN($I14))</f>
        <v/>
      </c>
      <c r="L14" s="13"/>
      <c r="M14" s="13"/>
      <c r="N14" s="13"/>
      <c r="O14" s="13"/>
      <c r="P14" s="152"/>
      <c r="Q14" s="149"/>
      <c r="R14" s="152"/>
      <c r="S14" s="152"/>
      <c r="T14" s="62" t="str">
        <f aca="false">IF(OR($C14="",R14=""),"",IF(R14/IF($R$2="",100,$R$2)&gt;=設定!$I$28,設定!$G$8,IF(R14/IF($R$2="",100,$R$2)&lt;設定!$I$29,設定!$G$10,設定!$G$9)))</f>
        <v/>
      </c>
      <c r="U14" s="62" t="str">
        <f aca="false">IF(OR($C14="",S14=""),"",IF(S14/IF($S$2="",100,$S$2)&gt;=設定!$I$28,設定!$G$8,IF(S14/IF($S$2="",100,$S$2)&lt;設定!$I$29,設定!$G$10,設定!$G$9)))</f>
        <v/>
      </c>
    </row>
    <row r="15" customFormat="false" ht="21" hidden="false" customHeight="true" outlineLevel="0" collapsed="false">
      <c r="A15" s="91" t="str">
        <f aca="false">IF(名簿!$D15="","",名簿!$B15&amp;"")</f>
        <v/>
      </c>
      <c r="B15" s="91" t="str">
        <f aca="false">IF(名簿!$D15="","",名簿!$C15)</f>
        <v/>
      </c>
      <c r="C15" s="59" t="str">
        <f aca="false">IF(名簿!$D15="","",名簿!$D15&amp;IF(名簿!$F15="転出","（転出）",""))</f>
        <v/>
      </c>
      <c r="D15" s="149"/>
      <c r="E15" s="61" t="str">
        <f aca="false">IF(OR($C15="",名簿!$F15="転出"),"",IF($C$2="学級ごと",$A15,IF($C$2="前の単元と同じ",単元10!$E15&amp;"",$D15&amp;"")))</f>
        <v/>
      </c>
      <c r="F15" s="150"/>
      <c r="G15" s="150"/>
      <c r="H15" s="150"/>
      <c r="I15" s="151"/>
      <c r="J15" s="41" t="str">
        <f aca="false">IF($E15="","",$E15&amp;"|"&amp;COUNTIF($E$5:$E15,$E15))</f>
        <v/>
      </c>
      <c r="K15" s="40" t="str">
        <f aca="false">IF($I15="","",LEN($I15))</f>
        <v/>
      </c>
      <c r="L15" s="13"/>
      <c r="M15" s="13"/>
      <c r="N15" s="13"/>
      <c r="O15" s="13"/>
      <c r="P15" s="152"/>
      <c r="Q15" s="149"/>
      <c r="R15" s="152"/>
      <c r="S15" s="152"/>
      <c r="T15" s="62" t="str">
        <f aca="false">IF(OR($C15="",R15=""),"",IF(R15/IF($R$2="",100,$R$2)&gt;=設定!$I$28,設定!$G$8,IF(R15/IF($R$2="",100,$R$2)&lt;設定!$I$29,設定!$G$10,設定!$G$9)))</f>
        <v/>
      </c>
      <c r="U15" s="62" t="str">
        <f aca="false">IF(OR($C15="",S15=""),"",IF(S15/IF($S$2="",100,$S$2)&gt;=設定!$I$28,設定!$G$8,IF(S15/IF($S$2="",100,$S$2)&lt;設定!$I$29,設定!$G$10,設定!$G$9)))</f>
        <v/>
      </c>
    </row>
    <row r="16" customFormat="false" ht="21" hidden="false" customHeight="true" outlineLevel="0" collapsed="false">
      <c r="A16" s="91" t="str">
        <f aca="false">IF(名簿!$D16="","",名簿!$B16&amp;"")</f>
        <v/>
      </c>
      <c r="B16" s="91" t="str">
        <f aca="false">IF(名簿!$D16="","",名簿!$C16)</f>
        <v/>
      </c>
      <c r="C16" s="59" t="str">
        <f aca="false">IF(名簿!$D16="","",名簿!$D16&amp;IF(名簿!$F16="転出","（転出）",""))</f>
        <v/>
      </c>
      <c r="D16" s="149"/>
      <c r="E16" s="61" t="str">
        <f aca="false">IF(OR($C16="",名簿!$F16="転出"),"",IF($C$2="学級ごと",$A16,IF($C$2="前の単元と同じ",単元10!$E16&amp;"",$D16&amp;"")))</f>
        <v/>
      </c>
      <c r="F16" s="150"/>
      <c r="G16" s="150"/>
      <c r="H16" s="150"/>
      <c r="I16" s="151"/>
      <c r="J16" s="41" t="str">
        <f aca="false">IF($E16="","",$E16&amp;"|"&amp;COUNTIF($E$5:$E16,$E16))</f>
        <v/>
      </c>
      <c r="K16" s="40" t="str">
        <f aca="false">IF($I16="","",LEN($I16))</f>
        <v/>
      </c>
      <c r="L16" s="13"/>
      <c r="M16" s="13"/>
      <c r="N16" s="13"/>
      <c r="O16" s="13"/>
      <c r="P16" s="152"/>
      <c r="Q16" s="149"/>
      <c r="R16" s="152"/>
      <c r="S16" s="152"/>
      <c r="T16" s="62" t="str">
        <f aca="false">IF(OR($C16="",R16=""),"",IF(R16/IF($R$2="",100,$R$2)&gt;=設定!$I$28,設定!$G$8,IF(R16/IF($R$2="",100,$R$2)&lt;設定!$I$29,設定!$G$10,設定!$G$9)))</f>
        <v/>
      </c>
      <c r="U16" s="62" t="str">
        <f aca="false">IF(OR($C16="",S16=""),"",IF(S16/IF($S$2="",100,$S$2)&gt;=設定!$I$28,設定!$G$8,IF(S16/IF($S$2="",100,$S$2)&lt;設定!$I$29,設定!$G$10,設定!$G$9)))</f>
        <v/>
      </c>
    </row>
    <row r="17" customFormat="false" ht="21" hidden="false" customHeight="true" outlineLevel="0" collapsed="false">
      <c r="A17" s="91" t="str">
        <f aca="false">IF(名簿!$D17="","",名簿!$B17&amp;"")</f>
        <v/>
      </c>
      <c r="B17" s="91" t="str">
        <f aca="false">IF(名簿!$D17="","",名簿!$C17)</f>
        <v/>
      </c>
      <c r="C17" s="59" t="str">
        <f aca="false">IF(名簿!$D17="","",名簿!$D17&amp;IF(名簿!$F17="転出","（転出）",""))</f>
        <v/>
      </c>
      <c r="D17" s="149"/>
      <c r="E17" s="61" t="str">
        <f aca="false">IF(OR($C17="",名簿!$F17="転出"),"",IF($C$2="学級ごと",$A17,IF($C$2="前の単元と同じ",単元10!$E17&amp;"",$D17&amp;"")))</f>
        <v/>
      </c>
      <c r="F17" s="150"/>
      <c r="G17" s="150"/>
      <c r="H17" s="150"/>
      <c r="I17" s="151"/>
      <c r="J17" s="41" t="str">
        <f aca="false">IF($E17="","",$E17&amp;"|"&amp;COUNTIF($E$5:$E17,$E17))</f>
        <v/>
      </c>
      <c r="K17" s="40" t="str">
        <f aca="false">IF($I17="","",LEN($I17))</f>
        <v/>
      </c>
      <c r="L17" s="13"/>
      <c r="M17" s="13"/>
      <c r="N17" s="13"/>
      <c r="O17" s="13"/>
      <c r="P17" s="152"/>
      <c r="Q17" s="149"/>
      <c r="R17" s="152"/>
      <c r="S17" s="152"/>
      <c r="T17" s="62" t="str">
        <f aca="false">IF(OR($C17="",R17=""),"",IF(R17/IF($R$2="",100,$R$2)&gt;=設定!$I$28,設定!$G$8,IF(R17/IF($R$2="",100,$R$2)&lt;設定!$I$29,設定!$G$10,設定!$G$9)))</f>
        <v/>
      </c>
      <c r="U17" s="62" t="str">
        <f aca="false">IF(OR($C17="",S17=""),"",IF(S17/IF($S$2="",100,$S$2)&gt;=設定!$I$28,設定!$G$8,IF(S17/IF($S$2="",100,$S$2)&lt;設定!$I$29,設定!$G$10,設定!$G$9)))</f>
        <v/>
      </c>
    </row>
    <row r="18" customFormat="false" ht="21" hidden="false" customHeight="true" outlineLevel="0" collapsed="false">
      <c r="A18" s="91" t="str">
        <f aca="false">IF(名簿!$D18="","",名簿!$B18&amp;"")</f>
        <v/>
      </c>
      <c r="B18" s="91" t="str">
        <f aca="false">IF(名簿!$D18="","",名簿!$C18)</f>
        <v/>
      </c>
      <c r="C18" s="59" t="str">
        <f aca="false">IF(名簿!$D18="","",名簿!$D18&amp;IF(名簿!$F18="転出","（転出）",""))</f>
        <v/>
      </c>
      <c r="D18" s="149"/>
      <c r="E18" s="61" t="str">
        <f aca="false">IF(OR($C18="",名簿!$F18="転出"),"",IF($C$2="学級ごと",$A18,IF($C$2="前の単元と同じ",単元10!$E18&amp;"",$D18&amp;"")))</f>
        <v/>
      </c>
      <c r="F18" s="150"/>
      <c r="G18" s="150"/>
      <c r="H18" s="150"/>
      <c r="I18" s="151"/>
      <c r="J18" s="41" t="str">
        <f aca="false">IF($E18="","",$E18&amp;"|"&amp;COUNTIF($E$5:$E18,$E18))</f>
        <v/>
      </c>
      <c r="K18" s="40" t="str">
        <f aca="false">IF($I18="","",LEN($I18))</f>
        <v/>
      </c>
      <c r="L18" s="13"/>
      <c r="M18" s="13"/>
      <c r="N18" s="13"/>
      <c r="O18" s="13"/>
      <c r="P18" s="152"/>
      <c r="Q18" s="149"/>
      <c r="R18" s="152"/>
      <c r="S18" s="152"/>
      <c r="T18" s="62" t="str">
        <f aca="false">IF(OR($C18="",R18=""),"",IF(R18/IF($R$2="",100,$R$2)&gt;=設定!$I$28,設定!$G$8,IF(R18/IF($R$2="",100,$R$2)&lt;設定!$I$29,設定!$G$10,設定!$G$9)))</f>
        <v/>
      </c>
      <c r="U18" s="62" t="str">
        <f aca="false">IF(OR($C18="",S18=""),"",IF(S18/IF($S$2="",100,$S$2)&gt;=設定!$I$28,設定!$G$8,IF(S18/IF($S$2="",100,$S$2)&lt;設定!$I$29,設定!$G$10,設定!$G$9)))</f>
        <v/>
      </c>
    </row>
    <row r="19" customFormat="false" ht="21" hidden="false" customHeight="true" outlineLevel="0" collapsed="false">
      <c r="A19" s="91" t="str">
        <f aca="false">IF(名簿!$D19="","",名簿!$B19&amp;"")</f>
        <v/>
      </c>
      <c r="B19" s="91" t="str">
        <f aca="false">IF(名簿!$D19="","",名簿!$C19)</f>
        <v/>
      </c>
      <c r="C19" s="59" t="str">
        <f aca="false">IF(名簿!$D19="","",名簿!$D19&amp;IF(名簿!$F19="転出","（転出）",""))</f>
        <v/>
      </c>
      <c r="D19" s="149"/>
      <c r="E19" s="61" t="str">
        <f aca="false">IF(OR($C19="",名簿!$F19="転出"),"",IF($C$2="学級ごと",$A19,IF($C$2="前の単元と同じ",単元10!$E19&amp;"",$D19&amp;"")))</f>
        <v/>
      </c>
      <c r="F19" s="150"/>
      <c r="G19" s="150"/>
      <c r="H19" s="150"/>
      <c r="I19" s="151"/>
      <c r="J19" s="41" t="str">
        <f aca="false">IF($E19="","",$E19&amp;"|"&amp;COUNTIF($E$5:$E19,$E19))</f>
        <v/>
      </c>
      <c r="K19" s="40" t="str">
        <f aca="false">IF($I19="","",LEN($I19))</f>
        <v/>
      </c>
      <c r="L19" s="13"/>
      <c r="M19" s="13"/>
      <c r="N19" s="13"/>
      <c r="O19" s="13"/>
      <c r="P19" s="152"/>
      <c r="Q19" s="149"/>
      <c r="R19" s="152"/>
      <c r="S19" s="152"/>
      <c r="T19" s="62" t="str">
        <f aca="false">IF(OR($C19="",R19=""),"",IF(R19/IF($R$2="",100,$R$2)&gt;=設定!$I$28,設定!$G$8,IF(R19/IF($R$2="",100,$R$2)&lt;設定!$I$29,設定!$G$10,設定!$G$9)))</f>
        <v/>
      </c>
      <c r="U19" s="62" t="str">
        <f aca="false">IF(OR($C19="",S19=""),"",IF(S19/IF($S$2="",100,$S$2)&gt;=設定!$I$28,設定!$G$8,IF(S19/IF($S$2="",100,$S$2)&lt;設定!$I$29,設定!$G$10,設定!$G$9)))</f>
        <v/>
      </c>
    </row>
    <row r="20" customFormat="false" ht="21" hidden="false" customHeight="true" outlineLevel="0" collapsed="false">
      <c r="A20" s="91" t="str">
        <f aca="false">IF(名簿!$D20="","",名簿!$B20&amp;"")</f>
        <v/>
      </c>
      <c r="B20" s="91" t="str">
        <f aca="false">IF(名簿!$D20="","",名簿!$C20)</f>
        <v/>
      </c>
      <c r="C20" s="59" t="str">
        <f aca="false">IF(名簿!$D20="","",名簿!$D20&amp;IF(名簿!$F20="転出","（転出）",""))</f>
        <v/>
      </c>
      <c r="D20" s="149"/>
      <c r="E20" s="61" t="str">
        <f aca="false">IF(OR($C20="",名簿!$F20="転出"),"",IF($C$2="学級ごと",$A20,IF($C$2="前の単元と同じ",単元10!$E20&amp;"",$D20&amp;"")))</f>
        <v/>
      </c>
      <c r="F20" s="150"/>
      <c r="G20" s="150"/>
      <c r="H20" s="150"/>
      <c r="I20" s="151"/>
      <c r="J20" s="41" t="str">
        <f aca="false">IF($E20="","",$E20&amp;"|"&amp;COUNTIF($E$5:$E20,$E20))</f>
        <v/>
      </c>
      <c r="K20" s="40" t="str">
        <f aca="false">IF($I20="","",LEN($I20))</f>
        <v/>
      </c>
      <c r="L20" s="13"/>
      <c r="M20" s="13"/>
      <c r="N20" s="13"/>
      <c r="O20" s="13"/>
      <c r="P20" s="152"/>
      <c r="Q20" s="149"/>
      <c r="R20" s="152"/>
      <c r="S20" s="152"/>
      <c r="T20" s="62" t="str">
        <f aca="false">IF(OR($C20="",R20=""),"",IF(R20/IF($R$2="",100,$R$2)&gt;=設定!$I$28,設定!$G$8,IF(R20/IF($R$2="",100,$R$2)&lt;設定!$I$29,設定!$G$10,設定!$G$9)))</f>
        <v/>
      </c>
      <c r="U20" s="62" t="str">
        <f aca="false">IF(OR($C20="",S20=""),"",IF(S20/IF($S$2="",100,$S$2)&gt;=設定!$I$28,設定!$G$8,IF(S20/IF($S$2="",100,$S$2)&lt;設定!$I$29,設定!$G$10,設定!$G$9)))</f>
        <v/>
      </c>
    </row>
    <row r="21" customFormat="false" ht="21" hidden="false" customHeight="true" outlineLevel="0" collapsed="false">
      <c r="A21" s="91" t="str">
        <f aca="false">IF(名簿!$D21="","",名簿!$B21&amp;"")</f>
        <v/>
      </c>
      <c r="B21" s="91" t="str">
        <f aca="false">IF(名簿!$D21="","",名簿!$C21)</f>
        <v/>
      </c>
      <c r="C21" s="59" t="str">
        <f aca="false">IF(名簿!$D21="","",名簿!$D21&amp;IF(名簿!$F21="転出","（転出）",""))</f>
        <v/>
      </c>
      <c r="D21" s="149"/>
      <c r="E21" s="61" t="str">
        <f aca="false">IF(OR($C21="",名簿!$F21="転出"),"",IF($C$2="学級ごと",$A21,IF($C$2="前の単元と同じ",単元10!$E21&amp;"",$D21&amp;"")))</f>
        <v/>
      </c>
      <c r="F21" s="150"/>
      <c r="G21" s="150"/>
      <c r="H21" s="150"/>
      <c r="I21" s="151"/>
      <c r="J21" s="41" t="str">
        <f aca="false">IF($E21="","",$E21&amp;"|"&amp;COUNTIF($E$5:$E21,$E21))</f>
        <v/>
      </c>
      <c r="K21" s="40" t="str">
        <f aca="false">IF($I21="","",LEN($I21))</f>
        <v/>
      </c>
      <c r="L21" s="13"/>
      <c r="M21" s="13"/>
      <c r="N21" s="13"/>
      <c r="O21" s="13"/>
      <c r="P21" s="152"/>
      <c r="Q21" s="149"/>
      <c r="R21" s="152"/>
      <c r="S21" s="152"/>
      <c r="T21" s="62" t="str">
        <f aca="false">IF(OR($C21="",R21=""),"",IF(R21/IF($R$2="",100,$R$2)&gt;=設定!$I$28,設定!$G$8,IF(R21/IF($R$2="",100,$R$2)&lt;設定!$I$29,設定!$G$10,設定!$G$9)))</f>
        <v/>
      </c>
      <c r="U21" s="62" t="str">
        <f aca="false">IF(OR($C21="",S21=""),"",IF(S21/IF($S$2="",100,$S$2)&gt;=設定!$I$28,設定!$G$8,IF(S21/IF($S$2="",100,$S$2)&lt;設定!$I$29,設定!$G$10,設定!$G$9)))</f>
        <v/>
      </c>
    </row>
    <row r="22" customFormat="false" ht="21" hidden="false" customHeight="true" outlineLevel="0" collapsed="false">
      <c r="A22" s="91" t="str">
        <f aca="false">IF(名簿!$D22="","",名簿!$B22&amp;"")</f>
        <v/>
      </c>
      <c r="B22" s="91" t="str">
        <f aca="false">IF(名簿!$D22="","",名簿!$C22)</f>
        <v/>
      </c>
      <c r="C22" s="59" t="str">
        <f aca="false">IF(名簿!$D22="","",名簿!$D22&amp;IF(名簿!$F22="転出","（転出）",""))</f>
        <v/>
      </c>
      <c r="D22" s="149"/>
      <c r="E22" s="61" t="str">
        <f aca="false">IF(OR($C22="",名簿!$F22="転出"),"",IF($C$2="学級ごと",$A22,IF($C$2="前の単元と同じ",単元10!$E22&amp;"",$D22&amp;"")))</f>
        <v/>
      </c>
      <c r="F22" s="150"/>
      <c r="G22" s="150"/>
      <c r="H22" s="150"/>
      <c r="I22" s="151"/>
      <c r="J22" s="41" t="str">
        <f aca="false">IF($E22="","",$E22&amp;"|"&amp;COUNTIF($E$5:$E22,$E22))</f>
        <v/>
      </c>
      <c r="K22" s="40" t="str">
        <f aca="false">IF($I22="","",LEN($I22))</f>
        <v/>
      </c>
      <c r="L22" s="13"/>
      <c r="M22" s="13"/>
      <c r="N22" s="13"/>
      <c r="O22" s="13"/>
      <c r="P22" s="152"/>
      <c r="Q22" s="149"/>
      <c r="R22" s="152"/>
      <c r="S22" s="152"/>
      <c r="T22" s="62" t="str">
        <f aca="false">IF(OR($C22="",R22=""),"",IF(R22/IF($R$2="",100,$R$2)&gt;=設定!$I$28,設定!$G$8,IF(R22/IF($R$2="",100,$R$2)&lt;設定!$I$29,設定!$G$10,設定!$G$9)))</f>
        <v/>
      </c>
      <c r="U22" s="62" t="str">
        <f aca="false">IF(OR($C22="",S22=""),"",IF(S22/IF($S$2="",100,$S$2)&gt;=設定!$I$28,設定!$G$8,IF(S22/IF($S$2="",100,$S$2)&lt;設定!$I$29,設定!$G$10,設定!$G$9)))</f>
        <v/>
      </c>
    </row>
    <row r="23" customFormat="false" ht="21" hidden="false" customHeight="true" outlineLevel="0" collapsed="false">
      <c r="A23" s="91" t="str">
        <f aca="false">IF(名簿!$D23="","",名簿!$B23&amp;"")</f>
        <v/>
      </c>
      <c r="B23" s="91" t="str">
        <f aca="false">IF(名簿!$D23="","",名簿!$C23)</f>
        <v/>
      </c>
      <c r="C23" s="59" t="str">
        <f aca="false">IF(名簿!$D23="","",名簿!$D23&amp;IF(名簿!$F23="転出","（転出）",""))</f>
        <v/>
      </c>
      <c r="D23" s="149"/>
      <c r="E23" s="61" t="str">
        <f aca="false">IF(OR($C23="",名簿!$F23="転出"),"",IF($C$2="学級ごと",$A23,IF($C$2="前の単元と同じ",単元10!$E23&amp;"",$D23&amp;"")))</f>
        <v/>
      </c>
      <c r="F23" s="150"/>
      <c r="G23" s="150"/>
      <c r="H23" s="150"/>
      <c r="I23" s="151"/>
      <c r="J23" s="41" t="str">
        <f aca="false">IF($E23="","",$E23&amp;"|"&amp;COUNTIF($E$5:$E23,$E23))</f>
        <v/>
      </c>
      <c r="K23" s="40" t="str">
        <f aca="false">IF($I23="","",LEN($I23))</f>
        <v/>
      </c>
      <c r="L23" s="13"/>
      <c r="M23" s="13"/>
      <c r="N23" s="13"/>
      <c r="O23" s="13"/>
      <c r="P23" s="152"/>
      <c r="Q23" s="149"/>
      <c r="R23" s="152"/>
      <c r="S23" s="152"/>
      <c r="T23" s="62" t="str">
        <f aca="false">IF(OR($C23="",R23=""),"",IF(R23/IF($R$2="",100,$R$2)&gt;=設定!$I$28,設定!$G$8,IF(R23/IF($R$2="",100,$R$2)&lt;設定!$I$29,設定!$G$10,設定!$G$9)))</f>
        <v/>
      </c>
      <c r="U23" s="62" t="str">
        <f aca="false">IF(OR($C23="",S23=""),"",IF(S23/IF($S$2="",100,$S$2)&gt;=設定!$I$28,設定!$G$8,IF(S23/IF($S$2="",100,$S$2)&lt;設定!$I$29,設定!$G$10,設定!$G$9)))</f>
        <v/>
      </c>
    </row>
    <row r="24" customFormat="false" ht="21" hidden="false" customHeight="true" outlineLevel="0" collapsed="false">
      <c r="A24" s="91" t="str">
        <f aca="false">IF(名簿!$D24="","",名簿!$B24&amp;"")</f>
        <v/>
      </c>
      <c r="B24" s="91" t="str">
        <f aca="false">IF(名簿!$D24="","",名簿!$C24)</f>
        <v/>
      </c>
      <c r="C24" s="59" t="str">
        <f aca="false">IF(名簿!$D24="","",名簿!$D24&amp;IF(名簿!$F24="転出","（転出）",""))</f>
        <v/>
      </c>
      <c r="D24" s="149"/>
      <c r="E24" s="61" t="str">
        <f aca="false">IF(OR($C24="",名簿!$F24="転出"),"",IF($C$2="学級ごと",$A24,IF($C$2="前の単元と同じ",単元10!$E24&amp;"",$D24&amp;"")))</f>
        <v/>
      </c>
      <c r="F24" s="150"/>
      <c r="G24" s="150"/>
      <c r="H24" s="150"/>
      <c r="I24" s="151"/>
      <c r="J24" s="41" t="str">
        <f aca="false">IF($E24="","",$E24&amp;"|"&amp;COUNTIF($E$5:$E24,$E24))</f>
        <v/>
      </c>
      <c r="K24" s="40" t="str">
        <f aca="false">IF($I24="","",LEN($I24))</f>
        <v/>
      </c>
      <c r="L24" s="13"/>
      <c r="M24" s="13"/>
      <c r="N24" s="13"/>
      <c r="O24" s="13"/>
      <c r="P24" s="152"/>
      <c r="Q24" s="149"/>
      <c r="R24" s="152"/>
      <c r="S24" s="152"/>
      <c r="T24" s="62" t="str">
        <f aca="false">IF(OR($C24="",R24=""),"",IF(R24/IF($R$2="",100,$R$2)&gt;=設定!$I$28,設定!$G$8,IF(R24/IF($R$2="",100,$R$2)&lt;設定!$I$29,設定!$G$10,設定!$G$9)))</f>
        <v/>
      </c>
      <c r="U24" s="62" t="str">
        <f aca="false">IF(OR($C24="",S24=""),"",IF(S24/IF($S$2="",100,$S$2)&gt;=設定!$I$28,設定!$G$8,IF(S24/IF($S$2="",100,$S$2)&lt;設定!$I$29,設定!$G$10,設定!$G$9)))</f>
        <v/>
      </c>
    </row>
    <row r="25" customFormat="false" ht="21" hidden="false" customHeight="true" outlineLevel="0" collapsed="false">
      <c r="A25" s="91" t="str">
        <f aca="false">IF(名簿!$D25="","",名簿!$B25&amp;"")</f>
        <v/>
      </c>
      <c r="B25" s="91" t="str">
        <f aca="false">IF(名簿!$D25="","",名簿!$C25)</f>
        <v/>
      </c>
      <c r="C25" s="59" t="str">
        <f aca="false">IF(名簿!$D25="","",名簿!$D25&amp;IF(名簿!$F25="転出","（転出）",""))</f>
        <v/>
      </c>
      <c r="D25" s="149"/>
      <c r="E25" s="61" t="str">
        <f aca="false">IF(OR($C25="",名簿!$F25="転出"),"",IF($C$2="学級ごと",$A25,IF($C$2="前の単元と同じ",単元10!$E25&amp;"",$D25&amp;"")))</f>
        <v/>
      </c>
      <c r="F25" s="150"/>
      <c r="G25" s="150"/>
      <c r="H25" s="150"/>
      <c r="I25" s="151"/>
      <c r="J25" s="41" t="str">
        <f aca="false">IF($E25="","",$E25&amp;"|"&amp;COUNTIF($E$5:$E25,$E25))</f>
        <v/>
      </c>
      <c r="K25" s="40" t="str">
        <f aca="false">IF($I25="","",LEN($I25))</f>
        <v/>
      </c>
      <c r="L25" s="13"/>
      <c r="M25" s="13"/>
      <c r="N25" s="13"/>
      <c r="O25" s="13"/>
      <c r="P25" s="152"/>
      <c r="Q25" s="149"/>
      <c r="R25" s="152"/>
      <c r="S25" s="152"/>
      <c r="T25" s="62" t="str">
        <f aca="false">IF(OR($C25="",R25=""),"",IF(R25/IF($R$2="",100,$R$2)&gt;=設定!$I$28,設定!$G$8,IF(R25/IF($R$2="",100,$R$2)&lt;設定!$I$29,設定!$G$10,設定!$G$9)))</f>
        <v/>
      </c>
      <c r="U25" s="62" t="str">
        <f aca="false">IF(OR($C25="",S25=""),"",IF(S25/IF($S$2="",100,$S$2)&gt;=設定!$I$28,設定!$G$8,IF(S25/IF($S$2="",100,$S$2)&lt;設定!$I$29,設定!$G$10,設定!$G$9)))</f>
        <v/>
      </c>
    </row>
    <row r="26" customFormat="false" ht="21" hidden="false" customHeight="true" outlineLevel="0" collapsed="false">
      <c r="A26" s="91" t="str">
        <f aca="false">IF(名簿!$D26="","",名簿!$B26&amp;"")</f>
        <v/>
      </c>
      <c r="B26" s="91" t="str">
        <f aca="false">IF(名簿!$D26="","",名簿!$C26)</f>
        <v/>
      </c>
      <c r="C26" s="59" t="str">
        <f aca="false">IF(名簿!$D26="","",名簿!$D26&amp;IF(名簿!$F26="転出","（転出）",""))</f>
        <v/>
      </c>
      <c r="D26" s="149"/>
      <c r="E26" s="61" t="str">
        <f aca="false">IF(OR($C26="",名簿!$F26="転出"),"",IF($C$2="学級ごと",$A26,IF($C$2="前の単元と同じ",単元10!$E26&amp;"",$D26&amp;"")))</f>
        <v/>
      </c>
      <c r="F26" s="150"/>
      <c r="G26" s="150"/>
      <c r="H26" s="150"/>
      <c r="I26" s="151"/>
      <c r="J26" s="41" t="str">
        <f aca="false">IF($E26="","",$E26&amp;"|"&amp;COUNTIF($E$5:$E26,$E26))</f>
        <v/>
      </c>
      <c r="K26" s="40" t="str">
        <f aca="false">IF($I26="","",LEN($I26))</f>
        <v/>
      </c>
      <c r="L26" s="13"/>
      <c r="M26" s="13"/>
      <c r="N26" s="13"/>
      <c r="O26" s="13"/>
      <c r="P26" s="152"/>
      <c r="Q26" s="149"/>
      <c r="R26" s="152"/>
      <c r="S26" s="152"/>
      <c r="T26" s="62" t="str">
        <f aca="false">IF(OR($C26="",R26=""),"",IF(R26/IF($R$2="",100,$R$2)&gt;=設定!$I$28,設定!$G$8,IF(R26/IF($R$2="",100,$R$2)&lt;設定!$I$29,設定!$G$10,設定!$G$9)))</f>
        <v/>
      </c>
      <c r="U26" s="62" t="str">
        <f aca="false">IF(OR($C26="",S26=""),"",IF(S26/IF($S$2="",100,$S$2)&gt;=設定!$I$28,設定!$G$8,IF(S26/IF($S$2="",100,$S$2)&lt;設定!$I$29,設定!$G$10,設定!$G$9)))</f>
        <v/>
      </c>
    </row>
    <row r="27" customFormat="false" ht="21" hidden="false" customHeight="true" outlineLevel="0" collapsed="false">
      <c r="A27" s="91" t="str">
        <f aca="false">IF(名簿!$D27="","",名簿!$B27&amp;"")</f>
        <v/>
      </c>
      <c r="B27" s="91" t="str">
        <f aca="false">IF(名簿!$D27="","",名簿!$C27)</f>
        <v/>
      </c>
      <c r="C27" s="59" t="str">
        <f aca="false">IF(名簿!$D27="","",名簿!$D27&amp;IF(名簿!$F27="転出","（転出）",""))</f>
        <v/>
      </c>
      <c r="D27" s="149"/>
      <c r="E27" s="61" t="str">
        <f aca="false">IF(OR($C27="",名簿!$F27="転出"),"",IF($C$2="学級ごと",$A27,IF($C$2="前の単元と同じ",単元10!$E27&amp;"",$D27&amp;"")))</f>
        <v/>
      </c>
      <c r="F27" s="150"/>
      <c r="G27" s="150"/>
      <c r="H27" s="150"/>
      <c r="I27" s="151"/>
      <c r="J27" s="41" t="str">
        <f aca="false">IF($E27="","",$E27&amp;"|"&amp;COUNTIF($E$5:$E27,$E27))</f>
        <v/>
      </c>
      <c r="K27" s="40" t="str">
        <f aca="false">IF($I27="","",LEN($I27))</f>
        <v/>
      </c>
      <c r="L27" s="13"/>
      <c r="M27" s="13"/>
      <c r="N27" s="13"/>
      <c r="O27" s="13"/>
      <c r="P27" s="152"/>
      <c r="Q27" s="149"/>
      <c r="R27" s="152"/>
      <c r="S27" s="152"/>
      <c r="T27" s="62" t="str">
        <f aca="false">IF(OR($C27="",R27=""),"",IF(R27/IF($R$2="",100,$R$2)&gt;=設定!$I$28,設定!$G$8,IF(R27/IF($R$2="",100,$R$2)&lt;設定!$I$29,設定!$G$10,設定!$G$9)))</f>
        <v/>
      </c>
      <c r="U27" s="62" t="str">
        <f aca="false">IF(OR($C27="",S27=""),"",IF(S27/IF($S$2="",100,$S$2)&gt;=設定!$I$28,設定!$G$8,IF(S27/IF($S$2="",100,$S$2)&lt;設定!$I$29,設定!$G$10,設定!$G$9)))</f>
        <v/>
      </c>
    </row>
    <row r="28" customFormat="false" ht="21" hidden="false" customHeight="true" outlineLevel="0" collapsed="false">
      <c r="A28" s="91" t="str">
        <f aca="false">IF(名簿!$D28="","",名簿!$B28&amp;"")</f>
        <v/>
      </c>
      <c r="B28" s="91" t="str">
        <f aca="false">IF(名簿!$D28="","",名簿!$C28)</f>
        <v/>
      </c>
      <c r="C28" s="59" t="str">
        <f aca="false">IF(名簿!$D28="","",名簿!$D28&amp;IF(名簿!$F28="転出","（転出）",""))</f>
        <v/>
      </c>
      <c r="D28" s="149"/>
      <c r="E28" s="61" t="str">
        <f aca="false">IF(OR($C28="",名簿!$F28="転出"),"",IF($C$2="学級ごと",$A28,IF($C$2="前の単元と同じ",単元10!$E28&amp;"",$D28&amp;"")))</f>
        <v/>
      </c>
      <c r="F28" s="150"/>
      <c r="G28" s="150"/>
      <c r="H28" s="150"/>
      <c r="I28" s="151"/>
      <c r="J28" s="41" t="str">
        <f aca="false">IF($E28="","",$E28&amp;"|"&amp;COUNTIF($E$5:$E28,$E28))</f>
        <v/>
      </c>
      <c r="K28" s="40" t="str">
        <f aca="false">IF($I28="","",LEN($I28))</f>
        <v/>
      </c>
      <c r="L28" s="13"/>
      <c r="M28" s="13"/>
      <c r="N28" s="13"/>
      <c r="O28" s="13"/>
      <c r="P28" s="152"/>
      <c r="Q28" s="149"/>
      <c r="R28" s="152"/>
      <c r="S28" s="152"/>
      <c r="T28" s="62" t="str">
        <f aca="false">IF(OR($C28="",R28=""),"",IF(R28/IF($R$2="",100,$R$2)&gt;=設定!$I$28,設定!$G$8,IF(R28/IF($R$2="",100,$R$2)&lt;設定!$I$29,設定!$G$10,設定!$G$9)))</f>
        <v/>
      </c>
      <c r="U28" s="62" t="str">
        <f aca="false">IF(OR($C28="",S28=""),"",IF(S28/IF($S$2="",100,$S$2)&gt;=設定!$I$28,設定!$G$8,IF(S28/IF($S$2="",100,$S$2)&lt;設定!$I$29,設定!$G$10,設定!$G$9)))</f>
        <v/>
      </c>
    </row>
    <row r="29" customFormat="false" ht="21" hidden="false" customHeight="true" outlineLevel="0" collapsed="false">
      <c r="A29" s="91" t="str">
        <f aca="false">IF(名簿!$D29="","",名簿!$B29&amp;"")</f>
        <v/>
      </c>
      <c r="B29" s="91" t="str">
        <f aca="false">IF(名簿!$D29="","",名簿!$C29)</f>
        <v/>
      </c>
      <c r="C29" s="59" t="str">
        <f aca="false">IF(名簿!$D29="","",名簿!$D29&amp;IF(名簿!$F29="転出","（転出）",""))</f>
        <v/>
      </c>
      <c r="D29" s="149"/>
      <c r="E29" s="61" t="str">
        <f aca="false">IF(OR($C29="",名簿!$F29="転出"),"",IF($C$2="学級ごと",$A29,IF($C$2="前の単元と同じ",単元10!$E29&amp;"",$D29&amp;"")))</f>
        <v/>
      </c>
      <c r="F29" s="150"/>
      <c r="G29" s="150"/>
      <c r="H29" s="150"/>
      <c r="I29" s="151"/>
      <c r="J29" s="41" t="str">
        <f aca="false">IF($E29="","",$E29&amp;"|"&amp;COUNTIF($E$5:$E29,$E29))</f>
        <v/>
      </c>
      <c r="K29" s="40" t="str">
        <f aca="false">IF($I29="","",LEN($I29))</f>
        <v/>
      </c>
      <c r="L29" s="13"/>
      <c r="M29" s="13"/>
      <c r="N29" s="13"/>
      <c r="O29" s="13"/>
      <c r="P29" s="152"/>
      <c r="Q29" s="149"/>
      <c r="R29" s="152"/>
      <c r="S29" s="152"/>
      <c r="T29" s="62" t="str">
        <f aca="false">IF(OR($C29="",R29=""),"",IF(R29/IF($R$2="",100,$R$2)&gt;=設定!$I$28,設定!$G$8,IF(R29/IF($R$2="",100,$R$2)&lt;設定!$I$29,設定!$G$10,設定!$G$9)))</f>
        <v/>
      </c>
      <c r="U29" s="62" t="str">
        <f aca="false">IF(OR($C29="",S29=""),"",IF(S29/IF($S$2="",100,$S$2)&gt;=設定!$I$28,設定!$G$8,IF(S29/IF($S$2="",100,$S$2)&lt;設定!$I$29,設定!$G$10,設定!$G$9)))</f>
        <v/>
      </c>
    </row>
    <row r="30" customFormat="false" ht="21" hidden="false" customHeight="true" outlineLevel="0" collapsed="false">
      <c r="A30" s="91" t="str">
        <f aca="false">IF(名簿!$D30="","",名簿!$B30&amp;"")</f>
        <v/>
      </c>
      <c r="B30" s="91" t="str">
        <f aca="false">IF(名簿!$D30="","",名簿!$C30)</f>
        <v/>
      </c>
      <c r="C30" s="59" t="str">
        <f aca="false">IF(名簿!$D30="","",名簿!$D30&amp;IF(名簿!$F30="転出","（転出）",""))</f>
        <v/>
      </c>
      <c r="D30" s="149"/>
      <c r="E30" s="61" t="str">
        <f aca="false">IF(OR($C30="",名簿!$F30="転出"),"",IF($C$2="学級ごと",$A30,IF($C$2="前の単元と同じ",単元10!$E30&amp;"",$D30&amp;"")))</f>
        <v/>
      </c>
      <c r="F30" s="150"/>
      <c r="G30" s="150"/>
      <c r="H30" s="150"/>
      <c r="I30" s="151"/>
      <c r="J30" s="41" t="str">
        <f aca="false">IF($E30="","",$E30&amp;"|"&amp;COUNTIF($E$5:$E30,$E30))</f>
        <v/>
      </c>
      <c r="K30" s="40" t="str">
        <f aca="false">IF($I30="","",LEN($I30))</f>
        <v/>
      </c>
      <c r="L30" s="13"/>
      <c r="M30" s="13"/>
      <c r="N30" s="13"/>
      <c r="O30" s="13"/>
      <c r="P30" s="152"/>
      <c r="Q30" s="149"/>
      <c r="R30" s="152"/>
      <c r="S30" s="152"/>
      <c r="T30" s="62" t="str">
        <f aca="false">IF(OR($C30="",R30=""),"",IF(R30/IF($R$2="",100,$R$2)&gt;=設定!$I$28,設定!$G$8,IF(R30/IF($R$2="",100,$R$2)&lt;設定!$I$29,設定!$G$10,設定!$G$9)))</f>
        <v/>
      </c>
      <c r="U30" s="62" t="str">
        <f aca="false">IF(OR($C30="",S30=""),"",IF(S30/IF($S$2="",100,$S$2)&gt;=設定!$I$28,設定!$G$8,IF(S30/IF($S$2="",100,$S$2)&lt;設定!$I$29,設定!$G$10,設定!$G$9)))</f>
        <v/>
      </c>
    </row>
    <row r="31" customFormat="false" ht="21" hidden="false" customHeight="true" outlineLevel="0" collapsed="false">
      <c r="A31" s="91" t="str">
        <f aca="false">IF(名簿!$D31="","",名簿!$B31&amp;"")</f>
        <v/>
      </c>
      <c r="B31" s="91" t="str">
        <f aca="false">IF(名簿!$D31="","",名簿!$C31)</f>
        <v/>
      </c>
      <c r="C31" s="59" t="str">
        <f aca="false">IF(名簿!$D31="","",名簿!$D31&amp;IF(名簿!$F31="転出","（転出）",""))</f>
        <v/>
      </c>
      <c r="D31" s="149"/>
      <c r="E31" s="61" t="str">
        <f aca="false">IF(OR($C31="",名簿!$F31="転出"),"",IF($C$2="学級ごと",$A31,IF($C$2="前の単元と同じ",単元10!$E31&amp;"",$D31&amp;"")))</f>
        <v/>
      </c>
      <c r="F31" s="150"/>
      <c r="G31" s="150"/>
      <c r="H31" s="150"/>
      <c r="I31" s="151"/>
      <c r="J31" s="41" t="str">
        <f aca="false">IF($E31="","",$E31&amp;"|"&amp;COUNTIF($E$5:$E31,$E31))</f>
        <v/>
      </c>
      <c r="K31" s="40" t="str">
        <f aca="false">IF($I31="","",LEN($I31))</f>
        <v/>
      </c>
      <c r="L31" s="13"/>
      <c r="M31" s="13"/>
      <c r="N31" s="13"/>
      <c r="O31" s="13"/>
      <c r="P31" s="152"/>
      <c r="Q31" s="149"/>
      <c r="R31" s="152"/>
      <c r="S31" s="152"/>
      <c r="T31" s="62" t="str">
        <f aca="false">IF(OR($C31="",R31=""),"",IF(R31/IF($R$2="",100,$R$2)&gt;=設定!$I$28,設定!$G$8,IF(R31/IF($R$2="",100,$R$2)&lt;設定!$I$29,設定!$G$10,設定!$G$9)))</f>
        <v/>
      </c>
      <c r="U31" s="62" t="str">
        <f aca="false">IF(OR($C31="",S31=""),"",IF(S31/IF($S$2="",100,$S$2)&gt;=設定!$I$28,設定!$G$8,IF(S31/IF($S$2="",100,$S$2)&lt;設定!$I$29,設定!$G$10,設定!$G$9)))</f>
        <v/>
      </c>
    </row>
    <row r="32" customFormat="false" ht="21" hidden="false" customHeight="true" outlineLevel="0" collapsed="false">
      <c r="A32" s="91" t="str">
        <f aca="false">IF(名簿!$D32="","",名簿!$B32&amp;"")</f>
        <v/>
      </c>
      <c r="B32" s="91" t="str">
        <f aca="false">IF(名簿!$D32="","",名簿!$C32)</f>
        <v/>
      </c>
      <c r="C32" s="59" t="str">
        <f aca="false">IF(名簿!$D32="","",名簿!$D32&amp;IF(名簿!$F32="転出","（転出）",""))</f>
        <v/>
      </c>
      <c r="D32" s="149"/>
      <c r="E32" s="61" t="str">
        <f aca="false">IF(OR($C32="",名簿!$F32="転出"),"",IF($C$2="学級ごと",$A32,IF($C$2="前の単元と同じ",単元10!$E32&amp;"",$D32&amp;"")))</f>
        <v/>
      </c>
      <c r="F32" s="150"/>
      <c r="G32" s="150"/>
      <c r="H32" s="150"/>
      <c r="I32" s="151"/>
      <c r="J32" s="41" t="str">
        <f aca="false">IF($E32="","",$E32&amp;"|"&amp;COUNTIF($E$5:$E32,$E32))</f>
        <v/>
      </c>
      <c r="K32" s="40" t="str">
        <f aca="false">IF($I32="","",LEN($I32))</f>
        <v/>
      </c>
      <c r="L32" s="13"/>
      <c r="M32" s="13"/>
      <c r="N32" s="13"/>
      <c r="O32" s="13"/>
      <c r="P32" s="152"/>
      <c r="Q32" s="149"/>
      <c r="R32" s="152"/>
      <c r="S32" s="152"/>
      <c r="T32" s="62" t="str">
        <f aca="false">IF(OR($C32="",R32=""),"",IF(R32/IF($R$2="",100,$R$2)&gt;=設定!$I$28,設定!$G$8,IF(R32/IF($R$2="",100,$R$2)&lt;設定!$I$29,設定!$G$10,設定!$G$9)))</f>
        <v/>
      </c>
      <c r="U32" s="62" t="str">
        <f aca="false">IF(OR($C32="",S32=""),"",IF(S32/IF($S$2="",100,$S$2)&gt;=設定!$I$28,設定!$G$8,IF(S32/IF($S$2="",100,$S$2)&lt;設定!$I$29,設定!$G$10,設定!$G$9)))</f>
        <v/>
      </c>
    </row>
    <row r="33" customFormat="false" ht="21" hidden="false" customHeight="true" outlineLevel="0" collapsed="false">
      <c r="A33" s="91" t="str">
        <f aca="false">IF(名簿!$D33="","",名簿!$B33&amp;"")</f>
        <v/>
      </c>
      <c r="B33" s="91" t="str">
        <f aca="false">IF(名簿!$D33="","",名簿!$C33)</f>
        <v/>
      </c>
      <c r="C33" s="59" t="str">
        <f aca="false">IF(名簿!$D33="","",名簿!$D33&amp;IF(名簿!$F33="転出","（転出）",""))</f>
        <v/>
      </c>
      <c r="D33" s="149"/>
      <c r="E33" s="61" t="str">
        <f aca="false">IF(OR($C33="",名簿!$F33="転出"),"",IF($C$2="学級ごと",$A33,IF($C$2="前の単元と同じ",単元10!$E33&amp;"",$D33&amp;"")))</f>
        <v/>
      </c>
      <c r="F33" s="150"/>
      <c r="G33" s="150"/>
      <c r="H33" s="150"/>
      <c r="I33" s="151"/>
      <c r="J33" s="41" t="str">
        <f aca="false">IF($E33="","",$E33&amp;"|"&amp;COUNTIF($E$5:$E33,$E33))</f>
        <v/>
      </c>
      <c r="K33" s="40" t="str">
        <f aca="false">IF($I33="","",LEN($I33))</f>
        <v/>
      </c>
      <c r="L33" s="13"/>
      <c r="M33" s="13"/>
      <c r="N33" s="13"/>
      <c r="O33" s="13"/>
      <c r="P33" s="152"/>
      <c r="Q33" s="149"/>
      <c r="R33" s="152"/>
      <c r="S33" s="152"/>
      <c r="T33" s="62" t="str">
        <f aca="false">IF(OR($C33="",R33=""),"",IF(R33/IF($R$2="",100,$R$2)&gt;=設定!$I$28,設定!$G$8,IF(R33/IF($R$2="",100,$R$2)&lt;設定!$I$29,設定!$G$10,設定!$G$9)))</f>
        <v/>
      </c>
      <c r="U33" s="62" t="str">
        <f aca="false">IF(OR($C33="",S33=""),"",IF(S33/IF($S$2="",100,$S$2)&gt;=設定!$I$28,設定!$G$8,IF(S33/IF($S$2="",100,$S$2)&lt;設定!$I$29,設定!$G$10,設定!$G$9)))</f>
        <v/>
      </c>
    </row>
    <row r="34" customFormat="false" ht="21" hidden="false" customHeight="true" outlineLevel="0" collapsed="false">
      <c r="A34" s="91" t="str">
        <f aca="false">IF(名簿!$D34="","",名簿!$B34&amp;"")</f>
        <v/>
      </c>
      <c r="B34" s="91" t="str">
        <f aca="false">IF(名簿!$D34="","",名簿!$C34)</f>
        <v/>
      </c>
      <c r="C34" s="59" t="str">
        <f aca="false">IF(名簿!$D34="","",名簿!$D34&amp;IF(名簿!$F34="転出","（転出）",""))</f>
        <v/>
      </c>
      <c r="D34" s="149"/>
      <c r="E34" s="61" t="str">
        <f aca="false">IF(OR($C34="",名簿!$F34="転出"),"",IF($C$2="学級ごと",$A34,IF($C$2="前の単元と同じ",単元10!$E34&amp;"",$D34&amp;"")))</f>
        <v/>
      </c>
      <c r="F34" s="150"/>
      <c r="G34" s="150"/>
      <c r="H34" s="150"/>
      <c r="I34" s="151"/>
      <c r="J34" s="41" t="str">
        <f aca="false">IF($E34="","",$E34&amp;"|"&amp;COUNTIF($E$5:$E34,$E34))</f>
        <v/>
      </c>
      <c r="K34" s="40" t="str">
        <f aca="false">IF($I34="","",LEN($I34))</f>
        <v/>
      </c>
      <c r="L34" s="13"/>
      <c r="M34" s="13"/>
      <c r="N34" s="13"/>
      <c r="O34" s="13"/>
      <c r="P34" s="152"/>
      <c r="Q34" s="149"/>
      <c r="R34" s="152"/>
      <c r="S34" s="152"/>
      <c r="T34" s="62" t="str">
        <f aca="false">IF(OR($C34="",R34=""),"",IF(R34/IF($R$2="",100,$R$2)&gt;=設定!$I$28,設定!$G$8,IF(R34/IF($R$2="",100,$R$2)&lt;設定!$I$29,設定!$G$10,設定!$G$9)))</f>
        <v/>
      </c>
      <c r="U34" s="62" t="str">
        <f aca="false">IF(OR($C34="",S34=""),"",IF(S34/IF($S$2="",100,$S$2)&gt;=設定!$I$28,設定!$G$8,IF(S34/IF($S$2="",100,$S$2)&lt;設定!$I$29,設定!$G$10,設定!$G$9)))</f>
        <v/>
      </c>
    </row>
    <row r="35" customFormat="false" ht="21" hidden="false" customHeight="true" outlineLevel="0" collapsed="false">
      <c r="A35" s="91" t="str">
        <f aca="false">IF(名簿!$D35="","",名簿!$B35&amp;"")</f>
        <v/>
      </c>
      <c r="B35" s="91" t="str">
        <f aca="false">IF(名簿!$D35="","",名簿!$C35)</f>
        <v/>
      </c>
      <c r="C35" s="59" t="str">
        <f aca="false">IF(名簿!$D35="","",名簿!$D35&amp;IF(名簿!$F35="転出","（転出）",""))</f>
        <v/>
      </c>
      <c r="D35" s="149"/>
      <c r="E35" s="61" t="str">
        <f aca="false">IF(OR($C35="",名簿!$F35="転出"),"",IF($C$2="学級ごと",$A35,IF($C$2="前の単元と同じ",単元10!$E35&amp;"",$D35&amp;"")))</f>
        <v/>
      </c>
      <c r="F35" s="150"/>
      <c r="G35" s="150"/>
      <c r="H35" s="150"/>
      <c r="I35" s="151"/>
      <c r="J35" s="41" t="str">
        <f aca="false">IF($E35="","",$E35&amp;"|"&amp;COUNTIF($E$5:$E35,$E35))</f>
        <v/>
      </c>
      <c r="K35" s="40" t="str">
        <f aca="false">IF($I35="","",LEN($I35))</f>
        <v/>
      </c>
      <c r="L35" s="13"/>
      <c r="M35" s="13"/>
      <c r="N35" s="13"/>
      <c r="O35" s="13"/>
      <c r="P35" s="152"/>
      <c r="Q35" s="149"/>
      <c r="R35" s="152"/>
      <c r="S35" s="152"/>
      <c r="T35" s="62" t="str">
        <f aca="false">IF(OR($C35="",R35=""),"",IF(R35/IF($R$2="",100,$R$2)&gt;=設定!$I$28,設定!$G$8,IF(R35/IF($R$2="",100,$R$2)&lt;設定!$I$29,設定!$G$10,設定!$G$9)))</f>
        <v/>
      </c>
      <c r="U35" s="62" t="str">
        <f aca="false">IF(OR($C35="",S35=""),"",IF(S35/IF($S$2="",100,$S$2)&gt;=設定!$I$28,設定!$G$8,IF(S35/IF($S$2="",100,$S$2)&lt;設定!$I$29,設定!$G$10,設定!$G$9)))</f>
        <v/>
      </c>
    </row>
    <row r="36" customFormat="false" ht="21" hidden="false" customHeight="true" outlineLevel="0" collapsed="false">
      <c r="A36" s="91" t="str">
        <f aca="false">IF(名簿!$D36="","",名簿!$B36&amp;"")</f>
        <v/>
      </c>
      <c r="B36" s="91" t="str">
        <f aca="false">IF(名簿!$D36="","",名簿!$C36)</f>
        <v/>
      </c>
      <c r="C36" s="59" t="str">
        <f aca="false">IF(名簿!$D36="","",名簿!$D36&amp;IF(名簿!$F36="転出","（転出）",""))</f>
        <v/>
      </c>
      <c r="D36" s="149"/>
      <c r="E36" s="61" t="str">
        <f aca="false">IF(OR($C36="",名簿!$F36="転出"),"",IF($C$2="学級ごと",$A36,IF($C$2="前の単元と同じ",単元10!$E36&amp;"",$D36&amp;"")))</f>
        <v/>
      </c>
      <c r="F36" s="150"/>
      <c r="G36" s="150"/>
      <c r="H36" s="150"/>
      <c r="I36" s="151"/>
      <c r="J36" s="41" t="str">
        <f aca="false">IF($E36="","",$E36&amp;"|"&amp;COUNTIF($E$5:$E36,$E36))</f>
        <v/>
      </c>
      <c r="K36" s="40" t="str">
        <f aca="false">IF($I36="","",LEN($I36))</f>
        <v/>
      </c>
      <c r="L36" s="13"/>
      <c r="M36" s="13"/>
      <c r="N36" s="13"/>
      <c r="O36" s="13"/>
      <c r="P36" s="152"/>
      <c r="Q36" s="149"/>
      <c r="R36" s="152"/>
      <c r="S36" s="152"/>
      <c r="T36" s="62" t="str">
        <f aca="false">IF(OR($C36="",R36=""),"",IF(R36/IF($R$2="",100,$R$2)&gt;=設定!$I$28,設定!$G$8,IF(R36/IF($R$2="",100,$R$2)&lt;設定!$I$29,設定!$G$10,設定!$G$9)))</f>
        <v/>
      </c>
      <c r="U36" s="62" t="str">
        <f aca="false">IF(OR($C36="",S36=""),"",IF(S36/IF($S$2="",100,$S$2)&gt;=設定!$I$28,設定!$G$8,IF(S36/IF($S$2="",100,$S$2)&lt;設定!$I$29,設定!$G$10,設定!$G$9)))</f>
        <v/>
      </c>
    </row>
    <row r="37" customFormat="false" ht="21" hidden="false" customHeight="true" outlineLevel="0" collapsed="false">
      <c r="A37" s="91" t="str">
        <f aca="false">IF(名簿!$D37="","",名簿!$B37&amp;"")</f>
        <v/>
      </c>
      <c r="B37" s="91" t="str">
        <f aca="false">IF(名簿!$D37="","",名簿!$C37)</f>
        <v/>
      </c>
      <c r="C37" s="59" t="str">
        <f aca="false">IF(名簿!$D37="","",名簿!$D37&amp;IF(名簿!$F37="転出","（転出）",""))</f>
        <v/>
      </c>
      <c r="D37" s="149"/>
      <c r="E37" s="61" t="str">
        <f aca="false">IF(OR($C37="",名簿!$F37="転出"),"",IF($C$2="学級ごと",$A37,IF($C$2="前の単元と同じ",単元10!$E37&amp;"",$D37&amp;"")))</f>
        <v/>
      </c>
      <c r="F37" s="150"/>
      <c r="G37" s="150"/>
      <c r="H37" s="150"/>
      <c r="I37" s="151"/>
      <c r="J37" s="41" t="str">
        <f aca="false">IF($E37="","",$E37&amp;"|"&amp;COUNTIF($E$5:$E37,$E37))</f>
        <v/>
      </c>
      <c r="K37" s="40" t="str">
        <f aca="false">IF($I37="","",LEN($I37))</f>
        <v/>
      </c>
      <c r="L37" s="13"/>
      <c r="M37" s="13"/>
      <c r="N37" s="13"/>
      <c r="O37" s="13"/>
      <c r="P37" s="152"/>
      <c r="Q37" s="149"/>
      <c r="R37" s="152"/>
      <c r="S37" s="152"/>
      <c r="T37" s="62" t="str">
        <f aca="false">IF(OR($C37="",R37=""),"",IF(R37/IF($R$2="",100,$R$2)&gt;=設定!$I$28,設定!$G$8,IF(R37/IF($R$2="",100,$R$2)&lt;設定!$I$29,設定!$G$10,設定!$G$9)))</f>
        <v/>
      </c>
      <c r="U37" s="62" t="str">
        <f aca="false">IF(OR($C37="",S37=""),"",IF(S37/IF($S$2="",100,$S$2)&gt;=設定!$I$28,設定!$G$8,IF(S37/IF($S$2="",100,$S$2)&lt;設定!$I$29,設定!$G$10,設定!$G$9)))</f>
        <v/>
      </c>
    </row>
    <row r="38" customFormat="false" ht="21" hidden="false" customHeight="true" outlineLevel="0" collapsed="false">
      <c r="A38" s="91" t="str">
        <f aca="false">IF(名簿!$D38="","",名簿!$B38&amp;"")</f>
        <v/>
      </c>
      <c r="B38" s="91" t="str">
        <f aca="false">IF(名簿!$D38="","",名簿!$C38)</f>
        <v/>
      </c>
      <c r="C38" s="59" t="str">
        <f aca="false">IF(名簿!$D38="","",名簿!$D38&amp;IF(名簿!$F38="転出","（転出）",""))</f>
        <v/>
      </c>
      <c r="D38" s="149"/>
      <c r="E38" s="61" t="str">
        <f aca="false">IF(OR($C38="",名簿!$F38="転出"),"",IF($C$2="学級ごと",$A38,IF($C$2="前の単元と同じ",単元10!$E38&amp;"",$D38&amp;"")))</f>
        <v/>
      </c>
      <c r="F38" s="150"/>
      <c r="G38" s="150"/>
      <c r="H38" s="150"/>
      <c r="I38" s="151"/>
      <c r="J38" s="41" t="str">
        <f aca="false">IF($E38="","",$E38&amp;"|"&amp;COUNTIF($E$5:$E38,$E38))</f>
        <v/>
      </c>
      <c r="K38" s="40" t="str">
        <f aca="false">IF($I38="","",LEN($I38))</f>
        <v/>
      </c>
      <c r="L38" s="13"/>
      <c r="M38" s="13"/>
      <c r="N38" s="13"/>
      <c r="O38" s="13"/>
      <c r="P38" s="152"/>
      <c r="Q38" s="149"/>
      <c r="R38" s="152"/>
      <c r="S38" s="152"/>
      <c r="T38" s="62" t="str">
        <f aca="false">IF(OR($C38="",R38=""),"",IF(R38/IF($R$2="",100,$R$2)&gt;=設定!$I$28,設定!$G$8,IF(R38/IF($R$2="",100,$R$2)&lt;設定!$I$29,設定!$G$10,設定!$G$9)))</f>
        <v/>
      </c>
      <c r="U38" s="62" t="str">
        <f aca="false">IF(OR($C38="",S38=""),"",IF(S38/IF($S$2="",100,$S$2)&gt;=設定!$I$28,設定!$G$8,IF(S38/IF($S$2="",100,$S$2)&lt;設定!$I$29,設定!$G$10,設定!$G$9)))</f>
        <v/>
      </c>
    </row>
    <row r="39" customFormat="false" ht="21" hidden="false" customHeight="true" outlineLevel="0" collapsed="false">
      <c r="A39" s="91" t="str">
        <f aca="false">IF(名簿!$D39="","",名簿!$B39&amp;"")</f>
        <v/>
      </c>
      <c r="B39" s="91" t="str">
        <f aca="false">IF(名簿!$D39="","",名簿!$C39)</f>
        <v/>
      </c>
      <c r="C39" s="59" t="str">
        <f aca="false">IF(名簿!$D39="","",名簿!$D39&amp;IF(名簿!$F39="転出","（転出）",""))</f>
        <v/>
      </c>
      <c r="D39" s="149"/>
      <c r="E39" s="61" t="str">
        <f aca="false">IF(OR($C39="",名簿!$F39="転出"),"",IF($C$2="学級ごと",$A39,IF($C$2="前の単元と同じ",単元10!$E39&amp;"",$D39&amp;"")))</f>
        <v/>
      </c>
      <c r="F39" s="150"/>
      <c r="G39" s="150"/>
      <c r="H39" s="150"/>
      <c r="I39" s="151"/>
      <c r="J39" s="41" t="str">
        <f aca="false">IF($E39="","",$E39&amp;"|"&amp;COUNTIF($E$5:$E39,$E39))</f>
        <v/>
      </c>
      <c r="K39" s="40" t="str">
        <f aca="false">IF($I39="","",LEN($I39))</f>
        <v/>
      </c>
      <c r="L39" s="13"/>
      <c r="M39" s="13"/>
      <c r="N39" s="13"/>
      <c r="O39" s="13"/>
      <c r="P39" s="152"/>
      <c r="Q39" s="149"/>
      <c r="R39" s="152"/>
      <c r="S39" s="152"/>
      <c r="T39" s="62" t="str">
        <f aca="false">IF(OR($C39="",R39=""),"",IF(R39/IF($R$2="",100,$R$2)&gt;=設定!$I$28,設定!$G$8,IF(R39/IF($R$2="",100,$R$2)&lt;設定!$I$29,設定!$G$10,設定!$G$9)))</f>
        <v/>
      </c>
      <c r="U39" s="62" t="str">
        <f aca="false">IF(OR($C39="",S39=""),"",IF(S39/IF($S$2="",100,$S$2)&gt;=設定!$I$28,設定!$G$8,IF(S39/IF($S$2="",100,$S$2)&lt;設定!$I$29,設定!$G$10,設定!$G$9)))</f>
        <v/>
      </c>
    </row>
    <row r="40" customFormat="false" ht="21" hidden="false" customHeight="true" outlineLevel="0" collapsed="false">
      <c r="A40" s="91" t="str">
        <f aca="false">IF(名簿!$D40="","",名簿!$B40&amp;"")</f>
        <v/>
      </c>
      <c r="B40" s="91" t="str">
        <f aca="false">IF(名簿!$D40="","",名簿!$C40)</f>
        <v/>
      </c>
      <c r="C40" s="59" t="str">
        <f aca="false">IF(名簿!$D40="","",名簿!$D40&amp;IF(名簿!$F40="転出","（転出）",""))</f>
        <v/>
      </c>
      <c r="D40" s="149"/>
      <c r="E40" s="61" t="str">
        <f aca="false">IF(OR($C40="",名簿!$F40="転出"),"",IF($C$2="学級ごと",$A40,IF($C$2="前の単元と同じ",単元10!$E40&amp;"",$D40&amp;"")))</f>
        <v/>
      </c>
      <c r="F40" s="150"/>
      <c r="G40" s="150"/>
      <c r="H40" s="150"/>
      <c r="I40" s="151"/>
      <c r="J40" s="41" t="str">
        <f aca="false">IF($E40="","",$E40&amp;"|"&amp;COUNTIF($E$5:$E40,$E40))</f>
        <v/>
      </c>
      <c r="K40" s="40" t="str">
        <f aca="false">IF($I40="","",LEN($I40))</f>
        <v/>
      </c>
      <c r="L40" s="13"/>
      <c r="M40" s="13"/>
      <c r="N40" s="13"/>
      <c r="O40" s="13"/>
      <c r="P40" s="152"/>
      <c r="Q40" s="149"/>
      <c r="R40" s="152"/>
      <c r="S40" s="152"/>
      <c r="T40" s="62" t="str">
        <f aca="false">IF(OR($C40="",R40=""),"",IF(R40/IF($R$2="",100,$R$2)&gt;=設定!$I$28,設定!$G$8,IF(R40/IF($R$2="",100,$R$2)&lt;設定!$I$29,設定!$G$10,設定!$G$9)))</f>
        <v/>
      </c>
      <c r="U40" s="62" t="str">
        <f aca="false">IF(OR($C40="",S40=""),"",IF(S40/IF($S$2="",100,$S$2)&gt;=設定!$I$28,設定!$G$8,IF(S40/IF($S$2="",100,$S$2)&lt;設定!$I$29,設定!$G$10,設定!$G$9)))</f>
        <v/>
      </c>
    </row>
    <row r="41" customFormat="false" ht="21" hidden="false" customHeight="true" outlineLevel="0" collapsed="false">
      <c r="A41" s="91" t="str">
        <f aca="false">IF(名簿!$D41="","",名簿!$B41&amp;"")</f>
        <v/>
      </c>
      <c r="B41" s="91" t="str">
        <f aca="false">IF(名簿!$D41="","",名簿!$C41)</f>
        <v/>
      </c>
      <c r="C41" s="59" t="str">
        <f aca="false">IF(名簿!$D41="","",名簿!$D41&amp;IF(名簿!$F41="転出","（転出）",""))</f>
        <v/>
      </c>
      <c r="D41" s="149"/>
      <c r="E41" s="61" t="str">
        <f aca="false">IF(OR($C41="",名簿!$F41="転出"),"",IF($C$2="学級ごと",$A41,IF($C$2="前の単元と同じ",単元10!$E41&amp;"",$D41&amp;"")))</f>
        <v/>
      </c>
      <c r="F41" s="150"/>
      <c r="G41" s="150"/>
      <c r="H41" s="150"/>
      <c r="I41" s="151"/>
      <c r="J41" s="41" t="str">
        <f aca="false">IF($E41="","",$E41&amp;"|"&amp;COUNTIF($E$5:$E41,$E41))</f>
        <v/>
      </c>
      <c r="K41" s="40" t="str">
        <f aca="false">IF($I41="","",LEN($I41))</f>
        <v/>
      </c>
      <c r="L41" s="13"/>
      <c r="M41" s="13"/>
      <c r="N41" s="13"/>
      <c r="O41" s="13"/>
      <c r="P41" s="152"/>
      <c r="Q41" s="149"/>
      <c r="R41" s="152"/>
      <c r="S41" s="152"/>
      <c r="T41" s="62" t="str">
        <f aca="false">IF(OR($C41="",R41=""),"",IF(R41/IF($R$2="",100,$R$2)&gt;=設定!$I$28,設定!$G$8,IF(R41/IF($R$2="",100,$R$2)&lt;設定!$I$29,設定!$G$10,設定!$G$9)))</f>
        <v/>
      </c>
      <c r="U41" s="62" t="str">
        <f aca="false">IF(OR($C41="",S41=""),"",IF(S41/IF($S$2="",100,$S$2)&gt;=設定!$I$28,設定!$G$8,IF(S41/IF($S$2="",100,$S$2)&lt;設定!$I$29,設定!$G$10,設定!$G$9)))</f>
        <v/>
      </c>
    </row>
    <row r="42" customFormat="false" ht="21" hidden="false" customHeight="true" outlineLevel="0" collapsed="false">
      <c r="A42" s="91" t="str">
        <f aca="false">IF(名簿!$D42="","",名簿!$B42&amp;"")</f>
        <v/>
      </c>
      <c r="B42" s="91" t="str">
        <f aca="false">IF(名簿!$D42="","",名簿!$C42)</f>
        <v/>
      </c>
      <c r="C42" s="59" t="str">
        <f aca="false">IF(名簿!$D42="","",名簿!$D42&amp;IF(名簿!$F42="転出","（転出）",""))</f>
        <v/>
      </c>
      <c r="D42" s="149"/>
      <c r="E42" s="61" t="str">
        <f aca="false">IF(OR($C42="",名簿!$F42="転出"),"",IF($C$2="学級ごと",$A42,IF($C$2="前の単元と同じ",単元10!$E42&amp;"",$D42&amp;"")))</f>
        <v/>
      </c>
      <c r="F42" s="150"/>
      <c r="G42" s="150"/>
      <c r="H42" s="150"/>
      <c r="I42" s="151"/>
      <c r="J42" s="41" t="str">
        <f aca="false">IF($E42="","",$E42&amp;"|"&amp;COUNTIF($E$5:$E42,$E42))</f>
        <v/>
      </c>
      <c r="K42" s="40" t="str">
        <f aca="false">IF($I42="","",LEN($I42))</f>
        <v/>
      </c>
      <c r="L42" s="13"/>
      <c r="M42" s="13"/>
      <c r="N42" s="13"/>
      <c r="O42" s="13"/>
      <c r="P42" s="152"/>
      <c r="Q42" s="149"/>
      <c r="R42" s="152"/>
      <c r="S42" s="152"/>
      <c r="T42" s="62" t="str">
        <f aca="false">IF(OR($C42="",R42=""),"",IF(R42/IF($R$2="",100,$R$2)&gt;=設定!$I$28,設定!$G$8,IF(R42/IF($R$2="",100,$R$2)&lt;設定!$I$29,設定!$G$10,設定!$G$9)))</f>
        <v/>
      </c>
      <c r="U42" s="62" t="str">
        <f aca="false">IF(OR($C42="",S42=""),"",IF(S42/IF($S$2="",100,$S$2)&gt;=設定!$I$28,設定!$G$8,IF(S42/IF($S$2="",100,$S$2)&lt;設定!$I$29,設定!$G$10,設定!$G$9)))</f>
        <v/>
      </c>
    </row>
    <row r="43" customFormat="false" ht="21" hidden="false" customHeight="true" outlineLevel="0" collapsed="false">
      <c r="A43" s="91" t="str">
        <f aca="false">IF(名簿!$D43="","",名簿!$B43&amp;"")</f>
        <v/>
      </c>
      <c r="B43" s="91" t="str">
        <f aca="false">IF(名簿!$D43="","",名簿!$C43)</f>
        <v/>
      </c>
      <c r="C43" s="59" t="str">
        <f aca="false">IF(名簿!$D43="","",名簿!$D43&amp;IF(名簿!$F43="転出","（転出）",""))</f>
        <v/>
      </c>
      <c r="D43" s="149"/>
      <c r="E43" s="61" t="str">
        <f aca="false">IF(OR($C43="",名簿!$F43="転出"),"",IF($C$2="学級ごと",$A43,IF($C$2="前の単元と同じ",単元10!$E43&amp;"",$D43&amp;"")))</f>
        <v/>
      </c>
      <c r="F43" s="150"/>
      <c r="G43" s="150"/>
      <c r="H43" s="150"/>
      <c r="I43" s="151"/>
      <c r="J43" s="41" t="str">
        <f aca="false">IF($E43="","",$E43&amp;"|"&amp;COUNTIF($E$5:$E43,$E43))</f>
        <v/>
      </c>
      <c r="K43" s="40" t="str">
        <f aca="false">IF($I43="","",LEN($I43))</f>
        <v/>
      </c>
      <c r="L43" s="13"/>
      <c r="M43" s="13"/>
      <c r="N43" s="13"/>
      <c r="O43" s="13"/>
      <c r="P43" s="152"/>
      <c r="Q43" s="149"/>
      <c r="R43" s="152"/>
      <c r="S43" s="152"/>
      <c r="T43" s="62" t="str">
        <f aca="false">IF(OR($C43="",R43=""),"",IF(R43/IF($R$2="",100,$R$2)&gt;=設定!$I$28,設定!$G$8,IF(R43/IF($R$2="",100,$R$2)&lt;設定!$I$29,設定!$G$10,設定!$G$9)))</f>
        <v/>
      </c>
      <c r="U43" s="62" t="str">
        <f aca="false">IF(OR($C43="",S43=""),"",IF(S43/IF($S$2="",100,$S$2)&gt;=設定!$I$28,設定!$G$8,IF(S43/IF($S$2="",100,$S$2)&lt;設定!$I$29,設定!$G$10,設定!$G$9)))</f>
        <v/>
      </c>
    </row>
    <row r="44" customFormat="false" ht="21" hidden="false" customHeight="true" outlineLevel="0" collapsed="false">
      <c r="A44" s="91" t="str">
        <f aca="false">IF(名簿!$D44="","",名簿!$B44&amp;"")</f>
        <v/>
      </c>
      <c r="B44" s="91" t="str">
        <f aca="false">IF(名簿!$D44="","",名簿!$C44)</f>
        <v/>
      </c>
      <c r="C44" s="59" t="str">
        <f aca="false">IF(名簿!$D44="","",名簿!$D44&amp;IF(名簿!$F44="転出","（転出）",""))</f>
        <v/>
      </c>
      <c r="D44" s="149"/>
      <c r="E44" s="61" t="str">
        <f aca="false">IF(OR($C44="",名簿!$F44="転出"),"",IF($C$2="学級ごと",$A44,IF($C$2="前の単元と同じ",単元10!$E44&amp;"",$D44&amp;"")))</f>
        <v/>
      </c>
      <c r="F44" s="150"/>
      <c r="G44" s="150"/>
      <c r="H44" s="150"/>
      <c r="I44" s="151"/>
      <c r="J44" s="41" t="str">
        <f aca="false">IF($E44="","",$E44&amp;"|"&amp;COUNTIF($E$5:$E44,$E44))</f>
        <v/>
      </c>
      <c r="K44" s="40" t="str">
        <f aca="false">IF($I44="","",LEN($I44))</f>
        <v/>
      </c>
      <c r="L44" s="13"/>
      <c r="M44" s="13"/>
      <c r="N44" s="13"/>
      <c r="O44" s="13"/>
      <c r="P44" s="152"/>
      <c r="Q44" s="149"/>
      <c r="R44" s="152"/>
      <c r="S44" s="152"/>
      <c r="T44" s="62" t="str">
        <f aca="false">IF(OR($C44="",R44=""),"",IF(R44/IF($R$2="",100,$R$2)&gt;=設定!$I$28,設定!$G$8,IF(R44/IF($R$2="",100,$R$2)&lt;設定!$I$29,設定!$G$10,設定!$G$9)))</f>
        <v/>
      </c>
      <c r="U44" s="62" t="str">
        <f aca="false">IF(OR($C44="",S44=""),"",IF(S44/IF($S$2="",100,$S$2)&gt;=設定!$I$28,設定!$G$8,IF(S44/IF($S$2="",100,$S$2)&lt;設定!$I$29,設定!$G$10,設定!$G$9)))</f>
        <v/>
      </c>
    </row>
    <row r="45" customFormat="false" ht="21" hidden="false" customHeight="true" outlineLevel="0" collapsed="false">
      <c r="A45" s="91" t="str">
        <f aca="false">IF(名簿!$D45="","",名簿!$B45&amp;"")</f>
        <v/>
      </c>
      <c r="B45" s="91" t="str">
        <f aca="false">IF(名簿!$D45="","",名簿!$C45)</f>
        <v/>
      </c>
      <c r="C45" s="59" t="str">
        <f aca="false">IF(名簿!$D45="","",名簿!$D45&amp;IF(名簿!$F45="転出","（転出）",""))</f>
        <v/>
      </c>
      <c r="D45" s="149"/>
      <c r="E45" s="61" t="str">
        <f aca="false">IF(OR($C45="",名簿!$F45="転出"),"",IF($C$2="学級ごと",$A45,IF($C$2="前の単元と同じ",単元10!$E45&amp;"",$D45&amp;"")))</f>
        <v/>
      </c>
      <c r="F45" s="150"/>
      <c r="G45" s="150"/>
      <c r="H45" s="150"/>
      <c r="I45" s="151"/>
      <c r="J45" s="41" t="str">
        <f aca="false">IF($E45="","",$E45&amp;"|"&amp;COUNTIF($E$5:$E45,$E45))</f>
        <v/>
      </c>
      <c r="K45" s="40" t="str">
        <f aca="false">IF($I45="","",LEN($I45))</f>
        <v/>
      </c>
      <c r="L45" s="13"/>
      <c r="M45" s="13"/>
      <c r="N45" s="13"/>
      <c r="O45" s="13"/>
      <c r="P45" s="152"/>
      <c r="Q45" s="149"/>
      <c r="R45" s="152"/>
      <c r="S45" s="152"/>
      <c r="T45" s="62" t="str">
        <f aca="false">IF(OR($C45="",R45=""),"",IF(R45/IF($R$2="",100,$R$2)&gt;=設定!$I$28,設定!$G$8,IF(R45/IF($R$2="",100,$R$2)&lt;設定!$I$29,設定!$G$10,設定!$G$9)))</f>
        <v/>
      </c>
      <c r="U45" s="62" t="str">
        <f aca="false">IF(OR($C45="",S45=""),"",IF(S45/IF($S$2="",100,$S$2)&gt;=設定!$I$28,設定!$G$8,IF(S45/IF($S$2="",100,$S$2)&lt;設定!$I$29,設定!$G$10,設定!$G$9)))</f>
        <v/>
      </c>
    </row>
    <row r="46" customFormat="false" ht="21" hidden="false" customHeight="true" outlineLevel="0" collapsed="false">
      <c r="A46" s="91" t="str">
        <f aca="false">IF(名簿!$D46="","",名簿!$B46&amp;"")</f>
        <v/>
      </c>
      <c r="B46" s="91" t="str">
        <f aca="false">IF(名簿!$D46="","",名簿!$C46)</f>
        <v/>
      </c>
      <c r="C46" s="59" t="str">
        <f aca="false">IF(名簿!$D46="","",名簿!$D46&amp;IF(名簿!$F46="転出","（転出）",""))</f>
        <v/>
      </c>
      <c r="D46" s="149"/>
      <c r="E46" s="61" t="str">
        <f aca="false">IF(OR($C46="",名簿!$F46="転出"),"",IF($C$2="学級ごと",$A46,IF($C$2="前の単元と同じ",単元10!$E46&amp;"",$D46&amp;"")))</f>
        <v/>
      </c>
      <c r="F46" s="150"/>
      <c r="G46" s="150"/>
      <c r="H46" s="150"/>
      <c r="I46" s="151"/>
      <c r="J46" s="41" t="str">
        <f aca="false">IF($E46="","",$E46&amp;"|"&amp;COUNTIF($E$5:$E46,$E46))</f>
        <v/>
      </c>
      <c r="K46" s="40" t="str">
        <f aca="false">IF($I46="","",LEN($I46))</f>
        <v/>
      </c>
      <c r="L46" s="13"/>
      <c r="M46" s="13"/>
      <c r="N46" s="13"/>
      <c r="O46" s="13"/>
      <c r="P46" s="152"/>
      <c r="Q46" s="149"/>
      <c r="R46" s="152"/>
      <c r="S46" s="152"/>
      <c r="T46" s="62" t="str">
        <f aca="false">IF(OR($C46="",R46=""),"",IF(R46/IF($R$2="",100,$R$2)&gt;=設定!$I$28,設定!$G$8,IF(R46/IF($R$2="",100,$R$2)&lt;設定!$I$29,設定!$G$10,設定!$G$9)))</f>
        <v/>
      </c>
      <c r="U46" s="62" t="str">
        <f aca="false">IF(OR($C46="",S46=""),"",IF(S46/IF($S$2="",100,$S$2)&gt;=設定!$I$28,設定!$G$8,IF(S46/IF($S$2="",100,$S$2)&lt;設定!$I$29,設定!$G$10,設定!$G$9)))</f>
        <v/>
      </c>
    </row>
    <row r="47" customFormat="false" ht="21" hidden="false" customHeight="true" outlineLevel="0" collapsed="false">
      <c r="A47" s="91" t="str">
        <f aca="false">IF(名簿!$D47="","",名簿!$B47&amp;"")</f>
        <v/>
      </c>
      <c r="B47" s="91" t="str">
        <f aca="false">IF(名簿!$D47="","",名簿!$C47)</f>
        <v/>
      </c>
      <c r="C47" s="59" t="str">
        <f aca="false">IF(名簿!$D47="","",名簿!$D47&amp;IF(名簿!$F47="転出","（転出）",""))</f>
        <v/>
      </c>
      <c r="D47" s="149"/>
      <c r="E47" s="61" t="str">
        <f aca="false">IF(OR($C47="",名簿!$F47="転出"),"",IF($C$2="学級ごと",$A47,IF($C$2="前の単元と同じ",単元10!$E47&amp;"",$D47&amp;"")))</f>
        <v/>
      </c>
      <c r="F47" s="150"/>
      <c r="G47" s="150"/>
      <c r="H47" s="150"/>
      <c r="I47" s="151"/>
      <c r="J47" s="41" t="str">
        <f aca="false">IF($E47="","",$E47&amp;"|"&amp;COUNTIF($E$5:$E47,$E47))</f>
        <v/>
      </c>
      <c r="K47" s="40" t="str">
        <f aca="false">IF($I47="","",LEN($I47))</f>
        <v/>
      </c>
      <c r="L47" s="13"/>
      <c r="M47" s="13"/>
      <c r="N47" s="13"/>
      <c r="O47" s="13"/>
      <c r="P47" s="152"/>
      <c r="Q47" s="149"/>
      <c r="R47" s="152"/>
      <c r="S47" s="152"/>
      <c r="T47" s="62" t="str">
        <f aca="false">IF(OR($C47="",R47=""),"",IF(R47/IF($R$2="",100,$R$2)&gt;=設定!$I$28,設定!$G$8,IF(R47/IF($R$2="",100,$R$2)&lt;設定!$I$29,設定!$G$10,設定!$G$9)))</f>
        <v/>
      </c>
      <c r="U47" s="62" t="str">
        <f aca="false">IF(OR($C47="",S47=""),"",IF(S47/IF($S$2="",100,$S$2)&gt;=設定!$I$28,設定!$G$8,IF(S47/IF($S$2="",100,$S$2)&lt;設定!$I$29,設定!$G$10,設定!$G$9)))</f>
        <v/>
      </c>
    </row>
    <row r="48" customFormat="false" ht="21" hidden="false" customHeight="true" outlineLevel="0" collapsed="false">
      <c r="A48" s="91" t="str">
        <f aca="false">IF(名簿!$D48="","",名簿!$B48&amp;"")</f>
        <v/>
      </c>
      <c r="B48" s="91" t="str">
        <f aca="false">IF(名簿!$D48="","",名簿!$C48)</f>
        <v/>
      </c>
      <c r="C48" s="59" t="str">
        <f aca="false">IF(名簿!$D48="","",名簿!$D48&amp;IF(名簿!$F48="転出","（転出）",""))</f>
        <v/>
      </c>
      <c r="D48" s="149"/>
      <c r="E48" s="61" t="str">
        <f aca="false">IF(OR($C48="",名簿!$F48="転出"),"",IF($C$2="学級ごと",$A48,IF($C$2="前の単元と同じ",単元10!$E48&amp;"",$D48&amp;"")))</f>
        <v/>
      </c>
      <c r="F48" s="150"/>
      <c r="G48" s="150"/>
      <c r="H48" s="150"/>
      <c r="I48" s="151"/>
      <c r="J48" s="41" t="str">
        <f aca="false">IF($E48="","",$E48&amp;"|"&amp;COUNTIF($E$5:$E48,$E48))</f>
        <v/>
      </c>
      <c r="K48" s="40" t="str">
        <f aca="false">IF($I48="","",LEN($I48))</f>
        <v/>
      </c>
      <c r="L48" s="13"/>
      <c r="M48" s="13"/>
      <c r="N48" s="13"/>
      <c r="O48" s="13"/>
      <c r="P48" s="152"/>
      <c r="Q48" s="149"/>
      <c r="R48" s="152"/>
      <c r="S48" s="152"/>
      <c r="T48" s="62" t="str">
        <f aca="false">IF(OR($C48="",R48=""),"",IF(R48/IF($R$2="",100,$R$2)&gt;=設定!$I$28,設定!$G$8,IF(R48/IF($R$2="",100,$R$2)&lt;設定!$I$29,設定!$G$10,設定!$G$9)))</f>
        <v/>
      </c>
      <c r="U48" s="62" t="str">
        <f aca="false">IF(OR($C48="",S48=""),"",IF(S48/IF($S$2="",100,$S$2)&gt;=設定!$I$28,設定!$G$8,IF(S48/IF($S$2="",100,$S$2)&lt;設定!$I$29,設定!$G$10,設定!$G$9)))</f>
        <v/>
      </c>
    </row>
    <row r="49" customFormat="false" ht="21" hidden="false" customHeight="true" outlineLevel="0" collapsed="false">
      <c r="A49" s="91" t="str">
        <f aca="false">IF(名簿!$D49="","",名簿!$B49&amp;"")</f>
        <v/>
      </c>
      <c r="B49" s="91" t="str">
        <f aca="false">IF(名簿!$D49="","",名簿!$C49)</f>
        <v/>
      </c>
      <c r="C49" s="59" t="str">
        <f aca="false">IF(名簿!$D49="","",名簿!$D49&amp;IF(名簿!$F49="転出","（転出）",""))</f>
        <v/>
      </c>
      <c r="D49" s="149"/>
      <c r="E49" s="61" t="str">
        <f aca="false">IF(OR($C49="",名簿!$F49="転出"),"",IF($C$2="学級ごと",$A49,IF($C$2="前の単元と同じ",単元10!$E49&amp;"",$D49&amp;"")))</f>
        <v/>
      </c>
      <c r="F49" s="150"/>
      <c r="G49" s="150"/>
      <c r="H49" s="150"/>
      <c r="I49" s="151"/>
      <c r="J49" s="41" t="str">
        <f aca="false">IF($E49="","",$E49&amp;"|"&amp;COUNTIF($E$5:$E49,$E49))</f>
        <v/>
      </c>
      <c r="K49" s="40" t="str">
        <f aca="false">IF($I49="","",LEN($I49))</f>
        <v/>
      </c>
      <c r="L49" s="13"/>
      <c r="M49" s="13"/>
      <c r="N49" s="13"/>
      <c r="O49" s="13"/>
      <c r="P49" s="152"/>
      <c r="Q49" s="149"/>
      <c r="R49" s="152"/>
      <c r="S49" s="152"/>
      <c r="T49" s="62" t="str">
        <f aca="false">IF(OR($C49="",R49=""),"",IF(R49/IF($R$2="",100,$R$2)&gt;=設定!$I$28,設定!$G$8,IF(R49/IF($R$2="",100,$R$2)&lt;設定!$I$29,設定!$G$10,設定!$G$9)))</f>
        <v/>
      </c>
      <c r="U49" s="62" t="str">
        <f aca="false">IF(OR($C49="",S49=""),"",IF(S49/IF($S$2="",100,$S$2)&gt;=設定!$I$28,設定!$G$8,IF(S49/IF($S$2="",100,$S$2)&lt;設定!$I$29,設定!$G$10,設定!$G$9)))</f>
        <v/>
      </c>
    </row>
    <row r="50" customFormat="false" ht="21" hidden="false" customHeight="true" outlineLevel="0" collapsed="false">
      <c r="A50" s="91" t="str">
        <f aca="false">IF(名簿!$D50="","",名簿!$B50&amp;"")</f>
        <v/>
      </c>
      <c r="B50" s="91" t="str">
        <f aca="false">IF(名簿!$D50="","",名簿!$C50)</f>
        <v/>
      </c>
      <c r="C50" s="59" t="str">
        <f aca="false">IF(名簿!$D50="","",名簿!$D50&amp;IF(名簿!$F50="転出","（転出）",""))</f>
        <v/>
      </c>
      <c r="D50" s="149"/>
      <c r="E50" s="61" t="str">
        <f aca="false">IF(OR($C50="",名簿!$F50="転出"),"",IF($C$2="学級ごと",$A50,IF($C$2="前の単元と同じ",単元10!$E50&amp;"",$D50&amp;"")))</f>
        <v/>
      </c>
      <c r="F50" s="150"/>
      <c r="G50" s="150"/>
      <c r="H50" s="150"/>
      <c r="I50" s="151"/>
      <c r="J50" s="41" t="str">
        <f aca="false">IF($E50="","",$E50&amp;"|"&amp;COUNTIF($E$5:$E50,$E50))</f>
        <v/>
      </c>
      <c r="K50" s="40" t="str">
        <f aca="false">IF($I50="","",LEN($I50))</f>
        <v/>
      </c>
      <c r="L50" s="13"/>
      <c r="M50" s="13"/>
      <c r="N50" s="13"/>
      <c r="O50" s="13"/>
      <c r="P50" s="152"/>
      <c r="Q50" s="149"/>
      <c r="R50" s="152"/>
      <c r="S50" s="152"/>
      <c r="T50" s="62" t="str">
        <f aca="false">IF(OR($C50="",R50=""),"",IF(R50/IF($R$2="",100,$R$2)&gt;=設定!$I$28,設定!$G$8,IF(R50/IF($R$2="",100,$R$2)&lt;設定!$I$29,設定!$G$10,設定!$G$9)))</f>
        <v/>
      </c>
      <c r="U50" s="62" t="str">
        <f aca="false">IF(OR($C50="",S50=""),"",IF(S50/IF($S$2="",100,$S$2)&gt;=設定!$I$28,設定!$G$8,IF(S50/IF($S$2="",100,$S$2)&lt;設定!$I$29,設定!$G$10,設定!$G$9)))</f>
        <v/>
      </c>
    </row>
    <row r="51" customFormat="false" ht="21" hidden="false" customHeight="true" outlineLevel="0" collapsed="false">
      <c r="A51" s="91" t="str">
        <f aca="false">IF(名簿!$D51="","",名簿!$B51&amp;"")</f>
        <v/>
      </c>
      <c r="B51" s="91" t="str">
        <f aca="false">IF(名簿!$D51="","",名簿!$C51)</f>
        <v/>
      </c>
      <c r="C51" s="59" t="str">
        <f aca="false">IF(名簿!$D51="","",名簿!$D51&amp;IF(名簿!$F51="転出","（転出）",""))</f>
        <v/>
      </c>
      <c r="D51" s="149"/>
      <c r="E51" s="61" t="str">
        <f aca="false">IF(OR($C51="",名簿!$F51="転出"),"",IF($C$2="学級ごと",$A51,IF($C$2="前の単元と同じ",単元10!$E51&amp;"",$D51&amp;"")))</f>
        <v/>
      </c>
      <c r="F51" s="150"/>
      <c r="G51" s="150"/>
      <c r="H51" s="150"/>
      <c r="I51" s="151"/>
      <c r="J51" s="41" t="str">
        <f aca="false">IF($E51="","",$E51&amp;"|"&amp;COUNTIF($E$5:$E51,$E51))</f>
        <v/>
      </c>
      <c r="K51" s="40" t="str">
        <f aca="false">IF($I51="","",LEN($I51))</f>
        <v/>
      </c>
      <c r="L51" s="13"/>
      <c r="M51" s="13"/>
      <c r="N51" s="13"/>
      <c r="O51" s="13"/>
      <c r="P51" s="152"/>
      <c r="Q51" s="149"/>
      <c r="R51" s="152"/>
      <c r="S51" s="152"/>
      <c r="T51" s="62" t="str">
        <f aca="false">IF(OR($C51="",R51=""),"",IF(R51/IF($R$2="",100,$R$2)&gt;=設定!$I$28,設定!$G$8,IF(R51/IF($R$2="",100,$R$2)&lt;設定!$I$29,設定!$G$10,設定!$G$9)))</f>
        <v/>
      </c>
      <c r="U51" s="62" t="str">
        <f aca="false">IF(OR($C51="",S51=""),"",IF(S51/IF($S$2="",100,$S$2)&gt;=設定!$I$28,設定!$G$8,IF(S51/IF($S$2="",100,$S$2)&lt;設定!$I$29,設定!$G$10,設定!$G$9)))</f>
        <v/>
      </c>
    </row>
    <row r="52" customFormat="false" ht="21" hidden="false" customHeight="true" outlineLevel="0" collapsed="false">
      <c r="A52" s="91" t="str">
        <f aca="false">IF(名簿!$D52="","",名簿!$B52&amp;"")</f>
        <v/>
      </c>
      <c r="B52" s="91" t="str">
        <f aca="false">IF(名簿!$D52="","",名簿!$C52)</f>
        <v/>
      </c>
      <c r="C52" s="59" t="str">
        <f aca="false">IF(名簿!$D52="","",名簿!$D52&amp;IF(名簿!$F52="転出","（転出）",""))</f>
        <v/>
      </c>
      <c r="D52" s="149"/>
      <c r="E52" s="61" t="str">
        <f aca="false">IF(OR($C52="",名簿!$F52="転出"),"",IF($C$2="学級ごと",$A52,IF($C$2="前の単元と同じ",単元10!$E52&amp;"",$D52&amp;"")))</f>
        <v/>
      </c>
      <c r="F52" s="150"/>
      <c r="G52" s="150"/>
      <c r="H52" s="150"/>
      <c r="I52" s="151"/>
      <c r="J52" s="41" t="str">
        <f aca="false">IF($E52="","",$E52&amp;"|"&amp;COUNTIF($E$5:$E52,$E52))</f>
        <v/>
      </c>
      <c r="K52" s="40" t="str">
        <f aca="false">IF($I52="","",LEN($I52))</f>
        <v/>
      </c>
      <c r="L52" s="13"/>
      <c r="M52" s="13"/>
      <c r="N52" s="13"/>
      <c r="O52" s="13"/>
      <c r="P52" s="152"/>
      <c r="Q52" s="149"/>
      <c r="R52" s="152"/>
      <c r="S52" s="152"/>
      <c r="T52" s="62" t="str">
        <f aca="false">IF(OR($C52="",R52=""),"",IF(R52/IF($R$2="",100,$R$2)&gt;=設定!$I$28,設定!$G$8,IF(R52/IF($R$2="",100,$R$2)&lt;設定!$I$29,設定!$G$10,設定!$G$9)))</f>
        <v/>
      </c>
      <c r="U52" s="62" t="str">
        <f aca="false">IF(OR($C52="",S52=""),"",IF(S52/IF($S$2="",100,$S$2)&gt;=設定!$I$28,設定!$G$8,IF(S52/IF($S$2="",100,$S$2)&lt;設定!$I$29,設定!$G$10,設定!$G$9)))</f>
        <v/>
      </c>
    </row>
    <row r="53" customFormat="false" ht="21" hidden="false" customHeight="true" outlineLevel="0" collapsed="false">
      <c r="A53" s="91" t="str">
        <f aca="false">IF(名簿!$D53="","",名簿!$B53&amp;"")</f>
        <v/>
      </c>
      <c r="B53" s="91" t="str">
        <f aca="false">IF(名簿!$D53="","",名簿!$C53)</f>
        <v/>
      </c>
      <c r="C53" s="59" t="str">
        <f aca="false">IF(名簿!$D53="","",名簿!$D53&amp;IF(名簿!$F53="転出","（転出）",""))</f>
        <v/>
      </c>
      <c r="D53" s="149"/>
      <c r="E53" s="61" t="str">
        <f aca="false">IF(OR($C53="",名簿!$F53="転出"),"",IF($C$2="学級ごと",$A53,IF($C$2="前の単元と同じ",単元10!$E53&amp;"",$D53&amp;"")))</f>
        <v/>
      </c>
      <c r="F53" s="150"/>
      <c r="G53" s="150"/>
      <c r="H53" s="150"/>
      <c r="I53" s="151"/>
      <c r="J53" s="41" t="str">
        <f aca="false">IF($E53="","",$E53&amp;"|"&amp;COUNTIF($E$5:$E53,$E53))</f>
        <v/>
      </c>
      <c r="K53" s="40" t="str">
        <f aca="false">IF($I53="","",LEN($I53))</f>
        <v/>
      </c>
      <c r="L53" s="13"/>
      <c r="M53" s="13"/>
      <c r="N53" s="13"/>
      <c r="O53" s="13"/>
      <c r="P53" s="152"/>
      <c r="Q53" s="149"/>
      <c r="R53" s="152"/>
      <c r="S53" s="152"/>
      <c r="T53" s="62" t="str">
        <f aca="false">IF(OR($C53="",R53=""),"",IF(R53/IF($R$2="",100,$R$2)&gt;=設定!$I$28,設定!$G$8,IF(R53/IF($R$2="",100,$R$2)&lt;設定!$I$29,設定!$G$10,設定!$G$9)))</f>
        <v/>
      </c>
      <c r="U53" s="62" t="str">
        <f aca="false">IF(OR($C53="",S53=""),"",IF(S53/IF($S$2="",100,$S$2)&gt;=設定!$I$28,設定!$G$8,IF(S53/IF($S$2="",100,$S$2)&lt;設定!$I$29,設定!$G$10,設定!$G$9)))</f>
        <v/>
      </c>
    </row>
    <row r="54" customFormat="false" ht="21" hidden="false" customHeight="true" outlineLevel="0" collapsed="false">
      <c r="A54" s="91" t="str">
        <f aca="false">IF(名簿!$D54="","",名簿!$B54&amp;"")</f>
        <v/>
      </c>
      <c r="B54" s="91" t="str">
        <f aca="false">IF(名簿!$D54="","",名簿!$C54)</f>
        <v/>
      </c>
      <c r="C54" s="59" t="str">
        <f aca="false">IF(名簿!$D54="","",名簿!$D54&amp;IF(名簿!$F54="転出","（転出）",""))</f>
        <v/>
      </c>
      <c r="D54" s="149"/>
      <c r="E54" s="61" t="str">
        <f aca="false">IF(OR($C54="",名簿!$F54="転出"),"",IF($C$2="学級ごと",$A54,IF($C$2="前の単元と同じ",単元10!$E54&amp;"",$D54&amp;"")))</f>
        <v/>
      </c>
      <c r="F54" s="150"/>
      <c r="G54" s="150"/>
      <c r="H54" s="150"/>
      <c r="I54" s="151"/>
      <c r="J54" s="41" t="str">
        <f aca="false">IF($E54="","",$E54&amp;"|"&amp;COUNTIF($E$5:$E54,$E54))</f>
        <v/>
      </c>
      <c r="K54" s="40" t="str">
        <f aca="false">IF($I54="","",LEN($I54))</f>
        <v/>
      </c>
      <c r="L54" s="13"/>
      <c r="M54" s="13"/>
      <c r="N54" s="13"/>
      <c r="O54" s="13"/>
      <c r="P54" s="152"/>
      <c r="Q54" s="149"/>
      <c r="R54" s="152"/>
      <c r="S54" s="152"/>
      <c r="T54" s="62" t="str">
        <f aca="false">IF(OR($C54="",R54=""),"",IF(R54/IF($R$2="",100,$R$2)&gt;=設定!$I$28,設定!$G$8,IF(R54/IF($R$2="",100,$R$2)&lt;設定!$I$29,設定!$G$10,設定!$G$9)))</f>
        <v/>
      </c>
      <c r="U54" s="62" t="str">
        <f aca="false">IF(OR($C54="",S54=""),"",IF(S54/IF($S$2="",100,$S$2)&gt;=設定!$I$28,設定!$G$8,IF(S54/IF($S$2="",100,$S$2)&lt;設定!$I$29,設定!$G$10,設定!$G$9)))</f>
        <v/>
      </c>
    </row>
    <row r="55" customFormat="false" ht="21" hidden="false" customHeight="true" outlineLevel="0" collapsed="false">
      <c r="A55" s="91" t="str">
        <f aca="false">IF(名簿!$D55="","",名簿!$B55&amp;"")</f>
        <v/>
      </c>
      <c r="B55" s="91" t="str">
        <f aca="false">IF(名簿!$D55="","",名簿!$C55)</f>
        <v/>
      </c>
      <c r="C55" s="59" t="str">
        <f aca="false">IF(名簿!$D55="","",名簿!$D55&amp;IF(名簿!$F55="転出","（転出）",""))</f>
        <v/>
      </c>
      <c r="D55" s="149"/>
      <c r="E55" s="61" t="str">
        <f aca="false">IF(OR($C55="",名簿!$F55="転出"),"",IF($C$2="学級ごと",$A55,IF($C$2="前の単元と同じ",単元10!$E55&amp;"",$D55&amp;"")))</f>
        <v/>
      </c>
      <c r="F55" s="150"/>
      <c r="G55" s="150"/>
      <c r="H55" s="150"/>
      <c r="I55" s="151"/>
      <c r="J55" s="41" t="str">
        <f aca="false">IF($E55="","",$E55&amp;"|"&amp;COUNTIF($E$5:$E55,$E55))</f>
        <v/>
      </c>
      <c r="K55" s="40" t="str">
        <f aca="false">IF($I55="","",LEN($I55))</f>
        <v/>
      </c>
      <c r="L55" s="13"/>
      <c r="M55" s="13"/>
      <c r="N55" s="13"/>
      <c r="O55" s="13"/>
      <c r="P55" s="152"/>
      <c r="Q55" s="149"/>
      <c r="R55" s="152"/>
      <c r="S55" s="152"/>
      <c r="T55" s="62" t="str">
        <f aca="false">IF(OR($C55="",R55=""),"",IF(R55/IF($R$2="",100,$R$2)&gt;=設定!$I$28,設定!$G$8,IF(R55/IF($R$2="",100,$R$2)&lt;設定!$I$29,設定!$G$10,設定!$G$9)))</f>
        <v/>
      </c>
      <c r="U55" s="62" t="str">
        <f aca="false">IF(OR($C55="",S55=""),"",IF(S55/IF($S$2="",100,$S$2)&gt;=設定!$I$28,設定!$G$8,IF(S55/IF($S$2="",100,$S$2)&lt;設定!$I$29,設定!$G$10,設定!$G$9)))</f>
        <v/>
      </c>
    </row>
    <row r="56" customFormat="false" ht="21" hidden="false" customHeight="true" outlineLevel="0" collapsed="false">
      <c r="A56" s="91" t="str">
        <f aca="false">IF(名簿!$D56="","",名簿!$B56&amp;"")</f>
        <v/>
      </c>
      <c r="B56" s="91" t="str">
        <f aca="false">IF(名簿!$D56="","",名簿!$C56)</f>
        <v/>
      </c>
      <c r="C56" s="59" t="str">
        <f aca="false">IF(名簿!$D56="","",名簿!$D56&amp;IF(名簿!$F56="転出","（転出）",""))</f>
        <v/>
      </c>
      <c r="D56" s="149"/>
      <c r="E56" s="61" t="str">
        <f aca="false">IF(OR($C56="",名簿!$F56="転出"),"",IF($C$2="学級ごと",$A56,IF($C$2="前の単元と同じ",単元10!$E56&amp;"",$D56&amp;"")))</f>
        <v/>
      </c>
      <c r="F56" s="150"/>
      <c r="G56" s="150"/>
      <c r="H56" s="150"/>
      <c r="I56" s="151"/>
      <c r="J56" s="41" t="str">
        <f aca="false">IF($E56="","",$E56&amp;"|"&amp;COUNTIF($E$5:$E56,$E56))</f>
        <v/>
      </c>
      <c r="K56" s="40" t="str">
        <f aca="false">IF($I56="","",LEN($I56))</f>
        <v/>
      </c>
      <c r="L56" s="13"/>
      <c r="M56" s="13"/>
      <c r="N56" s="13"/>
      <c r="O56" s="13"/>
      <c r="P56" s="152"/>
      <c r="Q56" s="149"/>
      <c r="R56" s="152"/>
      <c r="S56" s="152"/>
      <c r="T56" s="62" t="str">
        <f aca="false">IF(OR($C56="",R56=""),"",IF(R56/IF($R$2="",100,$R$2)&gt;=設定!$I$28,設定!$G$8,IF(R56/IF($R$2="",100,$R$2)&lt;設定!$I$29,設定!$G$10,設定!$G$9)))</f>
        <v/>
      </c>
      <c r="U56" s="62" t="str">
        <f aca="false">IF(OR($C56="",S56=""),"",IF(S56/IF($S$2="",100,$S$2)&gt;=設定!$I$28,設定!$G$8,IF(S56/IF($S$2="",100,$S$2)&lt;設定!$I$29,設定!$G$10,設定!$G$9)))</f>
        <v/>
      </c>
    </row>
    <row r="57" customFormat="false" ht="21" hidden="false" customHeight="true" outlineLevel="0" collapsed="false">
      <c r="A57" s="91" t="str">
        <f aca="false">IF(名簿!$D57="","",名簿!$B57&amp;"")</f>
        <v/>
      </c>
      <c r="B57" s="91" t="str">
        <f aca="false">IF(名簿!$D57="","",名簿!$C57)</f>
        <v/>
      </c>
      <c r="C57" s="59" t="str">
        <f aca="false">IF(名簿!$D57="","",名簿!$D57&amp;IF(名簿!$F57="転出","（転出）",""))</f>
        <v/>
      </c>
      <c r="D57" s="149"/>
      <c r="E57" s="61" t="str">
        <f aca="false">IF(OR($C57="",名簿!$F57="転出"),"",IF($C$2="学級ごと",$A57,IF($C$2="前の単元と同じ",単元10!$E57&amp;"",$D57&amp;"")))</f>
        <v/>
      </c>
      <c r="F57" s="150"/>
      <c r="G57" s="150"/>
      <c r="H57" s="150"/>
      <c r="I57" s="151"/>
      <c r="J57" s="41" t="str">
        <f aca="false">IF($E57="","",$E57&amp;"|"&amp;COUNTIF($E$5:$E57,$E57))</f>
        <v/>
      </c>
      <c r="K57" s="40" t="str">
        <f aca="false">IF($I57="","",LEN($I57))</f>
        <v/>
      </c>
      <c r="L57" s="13"/>
      <c r="M57" s="13"/>
      <c r="N57" s="13"/>
      <c r="O57" s="13"/>
      <c r="P57" s="152"/>
      <c r="Q57" s="149"/>
      <c r="R57" s="152"/>
      <c r="S57" s="152"/>
      <c r="T57" s="62" t="str">
        <f aca="false">IF(OR($C57="",R57=""),"",IF(R57/IF($R$2="",100,$R$2)&gt;=設定!$I$28,設定!$G$8,IF(R57/IF($R$2="",100,$R$2)&lt;設定!$I$29,設定!$G$10,設定!$G$9)))</f>
        <v/>
      </c>
      <c r="U57" s="62" t="str">
        <f aca="false">IF(OR($C57="",S57=""),"",IF(S57/IF($S$2="",100,$S$2)&gt;=設定!$I$28,設定!$G$8,IF(S57/IF($S$2="",100,$S$2)&lt;設定!$I$29,設定!$G$10,設定!$G$9)))</f>
        <v/>
      </c>
    </row>
    <row r="58" customFormat="false" ht="21" hidden="false" customHeight="true" outlineLevel="0" collapsed="false">
      <c r="A58" s="91" t="str">
        <f aca="false">IF(名簿!$D58="","",名簿!$B58&amp;"")</f>
        <v/>
      </c>
      <c r="B58" s="91" t="str">
        <f aca="false">IF(名簿!$D58="","",名簿!$C58)</f>
        <v/>
      </c>
      <c r="C58" s="59" t="str">
        <f aca="false">IF(名簿!$D58="","",名簿!$D58&amp;IF(名簿!$F58="転出","（転出）",""))</f>
        <v/>
      </c>
      <c r="D58" s="149"/>
      <c r="E58" s="61" t="str">
        <f aca="false">IF(OR($C58="",名簿!$F58="転出"),"",IF($C$2="学級ごと",$A58,IF($C$2="前の単元と同じ",単元10!$E58&amp;"",$D58&amp;"")))</f>
        <v/>
      </c>
      <c r="F58" s="150"/>
      <c r="G58" s="150"/>
      <c r="H58" s="150"/>
      <c r="I58" s="151"/>
      <c r="J58" s="41" t="str">
        <f aca="false">IF($E58="","",$E58&amp;"|"&amp;COUNTIF($E$5:$E58,$E58))</f>
        <v/>
      </c>
      <c r="K58" s="40" t="str">
        <f aca="false">IF($I58="","",LEN($I58))</f>
        <v/>
      </c>
      <c r="L58" s="13"/>
      <c r="M58" s="13"/>
      <c r="N58" s="13"/>
      <c r="O58" s="13"/>
      <c r="P58" s="152"/>
      <c r="Q58" s="149"/>
      <c r="R58" s="152"/>
      <c r="S58" s="152"/>
      <c r="T58" s="62" t="str">
        <f aca="false">IF(OR($C58="",R58=""),"",IF(R58/IF($R$2="",100,$R$2)&gt;=設定!$I$28,設定!$G$8,IF(R58/IF($R$2="",100,$R$2)&lt;設定!$I$29,設定!$G$10,設定!$G$9)))</f>
        <v/>
      </c>
      <c r="U58" s="62" t="str">
        <f aca="false">IF(OR($C58="",S58=""),"",IF(S58/IF($S$2="",100,$S$2)&gt;=設定!$I$28,設定!$G$8,IF(S58/IF($S$2="",100,$S$2)&lt;設定!$I$29,設定!$G$10,設定!$G$9)))</f>
        <v/>
      </c>
    </row>
    <row r="59" customFormat="false" ht="21" hidden="false" customHeight="true" outlineLevel="0" collapsed="false">
      <c r="A59" s="91" t="str">
        <f aca="false">IF(名簿!$D59="","",名簿!$B59&amp;"")</f>
        <v/>
      </c>
      <c r="B59" s="91" t="str">
        <f aca="false">IF(名簿!$D59="","",名簿!$C59)</f>
        <v/>
      </c>
      <c r="C59" s="59" t="str">
        <f aca="false">IF(名簿!$D59="","",名簿!$D59&amp;IF(名簿!$F59="転出","（転出）",""))</f>
        <v/>
      </c>
      <c r="D59" s="149"/>
      <c r="E59" s="61" t="str">
        <f aca="false">IF(OR($C59="",名簿!$F59="転出"),"",IF($C$2="学級ごと",$A59,IF($C$2="前の単元と同じ",単元10!$E59&amp;"",$D59&amp;"")))</f>
        <v/>
      </c>
      <c r="F59" s="150"/>
      <c r="G59" s="150"/>
      <c r="H59" s="150"/>
      <c r="I59" s="151"/>
      <c r="J59" s="41" t="str">
        <f aca="false">IF($E59="","",$E59&amp;"|"&amp;COUNTIF($E$5:$E59,$E59))</f>
        <v/>
      </c>
      <c r="K59" s="40" t="str">
        <f aca="false">IF($I59="","",LEN($I59))</f>
        <v/>
      </c>
      <c r="L59" s="13"/>
      <c r="M59" s="13"/>
      <c r="N59" s="13"/>
      <c r="O59" s="13"/>
      <c r="P59" s="152"/>
      <c r="Q59" s="149"/>
      <c r="R59" s="152"/>
      <c r="S59" s="152"/>
      <c r="T59" s="62" t="str">
        <f aca="false">IF(OR($C59="",R59=""),"",IF(R59/IF($R$2="",100,$R$2)&gt;=設定!$I$28,設定!$G$8,IF(R59/IF($R$2="",100,$R$2)&lt;設定!$I$29,設定!$G$10,設定!$G$9)))</f>
        <v/>
      </c>
      <c r="U59" s="62" t="str">
        <f aca="false">IF(OR($C59="",S59=""),"",IF(S59/IF($S$2="",100,$S$2)&gt;=設定!$I$28,設定!$G$8,IF(S59/IF($S$2="",100,$S$2)&lt;設定!$I$29,設定!$G$10,設定!$G$9)))</f>
        <v/>
      </c>
    </row>
    <row r="60" customFormat="false" ht="21" hidden="false" customHeight="true" outlineLevel="0" collapsed="false">
      <c r="A60" s="91" t="str">
        <f aca="false">IF(名簿!$D60="","",名簿!$B60&amp;"")</f>
        <v/>
      </c>
      <c r="B60" s="91" t="str">
        <f aca="false">IF(名簿!$D60="","",名簿!$C60)</f>
        <v/>
      </c>
      <c r="C60" s="59" t="str">
        <f aca="false">IF(名簿!$D60="","",名簿!$D60&amp;IF(名簿!$F60="転出","（転出）",""))</f>
        <v/>
      </c>
      <c r="D60" s="149"/>
      <c r="E60" s="61" t="str">
        <f aca="false">IF(OR($C60="",名簿!$F60="転出"),"",IF($C$2="学級ごと",$A60,IF($C$2="前の単元と同じ",単元10!$E60&amp;"",$D60&amp;"")))</f>
        <v/>
      </c>
      <c r="F60" s="150"/>
      <c r="G60" s="150"/>
      <c r="H60" s="150"/>
      <c r="I60" s="151"/>
      <c r="J60" s="41" t="str">
        <f aca="false">IF($E60="","",$E60&amp;"|"&amp;COUNTIF($E$5:$E60,$E60))</f>
        <v/>
      </c>
      <c r="K60" s="40" t="str">
        <f aca="false">IF($I60="","",LEN($I60))</f>
        <v/>
      </c>
      <c r="L60" s="13"/>
      <c r="M60" s="13"/>
      <c r="N60" s="13"/>
      <c r="O60" s="13"/>
      <c r="P60" s="152"/>
      <c r="Q60" s="149"/>
      <c r="R60" s="152"/>
      <c r="S60" s="152"/>
      <c r="T60" s="62" t="str">
        <f aca="false">IF(OR($C60="",R60=""),"",IF(R60/IF($R$2="",100,$R$2)&gt;=設定!$I$28,設定!$G$8,IF(R60/IF($R$2="",100,$R$2)&lt;設定!$I$29,設定!$G$10,設定!$G$9)))</f>
        <v/>
      </c>
      <c r="U60" s="62" t="str">
        <f aca="false">IF(OR($C60="",S60=""),"",IF(S60/IF($S$2="",100,$S$2)&gt;=設定!$I$28,設定!$G$8,IF(S60/IF($S$2="",100,$S$2)&lt;設定!$I$29,設定!$G$10,設定!$G$9)))</f>
        <v/>
      </c>
    </row>
    <row r="61" customFormat="false" ht="21" hidden="false" customHeight="true" outlineLevel="0" collapsed="false">
      <c r="A61" s="91" t="str">
        <f aca="false">IF(名簿!$D61="","",名簿!$B61&amp;"")</f>
        <v/>
      </c>
      <c r="B61" s="91" t="str">
        <f aca="false">IF(名簿!$D61="","",名簿!$C61)</f>
        <v/>
      </c>
      <c r="C61" s="59" t="str">
        <f aca="false">IF(名簿!$D61="","",名簿!$D61&amp;IF(名簿!$F61="転出","（転出）",""))</f>
        <v/>
      </c>
      <c r="D61" s="149"/>
      <c r="E61" s="61" t="str">
        <f aca="false">IF(OR($C61="",名簿!$F61="転出"),"",IF($C$2="学級ごと",$A61,IF($C$2="前の単元と同じ",単元10!$E61&amp;"",$D61&amp;"")))</f>
        <v/>
      </c>
      <c r="F61" s="150"/>
      <c r="G61" s="150"/>
      <c r="H61" s="150"/>
      <c r="I61" s="151"/>
      <c r="J61" s="41" t="str">
        <f aca="false">IF($E61="","",$E61&amp;"|"&amp;COUNTIF($E$5:$E61,$E61))</f>
        <v/>
      </c>
      <c r="K61" s="40" t="str">
        <f aca="false">IF($I61="","",LEN($I61))</f>
        <v/>
      </c>
      <c r="L61" s="13"/>
      <c r="M61" s="13"/>
      <c r="N61" s="13"/>
      <c r="O61" s="13"/>
      <c r="P61" s="152"/>
      <c r="Q61" s="149"/>
      <c r="R61" s="152"/>
      <c r="S61" s="152"/>
      <c r="T61" s="62" t="str">
        <f aca="false">IF(OR($C61="",R61=""),"",IF(R61/IF($R$2="",100,$R$2)&gt;=設定!$I$28,設定!$G$8,IF(R61/IF($R$2="",100,$R$2)&lt;設定!$I$29,設定!$G$10,設定!$G$9)))</f>
        <v/>
      </c>
      <c r="U61" s="62" t="str">
        <f aca="false">IF(OR($C61="",S61=""),"",IF(S61/IF($S$2="",100,$S$2)&gt;=設定!$I$28,設定!$G$8,IF(S61/IF($S$2="",100,$S$2)&lt;設定!$I$29,設定!$G$10,設定!$G$9)))</f>
        <v/>
      </c>
    </row>
    <row r="62" customFormat="false" ht="21" hidden="false" customHeight="true" outlineLevel="0" collapsed="false">
      <c r="A62" s="91" t="str">
        <f aca="false">IF(名簿!$D62="","",名簿!$B62&amp;"")</f>
        <v/>
      </c>
      <c r="B62" s="91" t="str">
        <f aca="false">IF(名簿!$D62="","",名簿!$C62)</f>
        <v/>
      </c>
      <c r="C62" s="59" t="str">
        <f aca="false">IF(名簿!$D62="","",名簿!$D62&amp;IF(名簿!$F62="転出","（転出）",""))</f>
        <v/>
      </c>
      <c r="D62" s="149"/>
      <c r="E62" s="61" t="str">
        <f aca="false">IF(OR($C62="",名簿!$F62="転出"),"",IF($C$2="学級ごと",$A62,IF($C$2="前の単元と同じ",単元10!$E62&amp;"",$D62&amp;"")))</f>
        <v/>
      </c>
      <c r="F62" s="150"/>
      <c r="G62" s="150"/>
      <c r="H62" s="150"/>
      <c r="I62" s="151"/>
      <c r="J62" s="41" t="str">
        <f aca="false">IF($E62="","",$E62&amp;"|"&amp;COUNTIF($E$5:$E62,$E62))</f>
        <v/>
      </c>
      <c r="K62" s="40" t="str">
        <f aca="false">IF($I62="","",LEN($I62))</f>
        <v/>
      </c>
      <c r="L62" s="13"/>
      <c r="M62" s="13"/>
      <c r="N62" s="13"/>
      <c r="O62" s="13"/>
      <c r="P62" s="152"/>
      <c r="Q62" s="149"/>
      <c r="R62" s="152"/>
      <c r="S62" s="152"/>
      <c r="T62" s="62" t="str">
        <f aca="false">IF(OR($C62="",R62=""),"",IF(R62/IF($R$2="",100,$R$2)&gt;=設定!$I$28,設定!$G$8,IF(R62/IF($R$2="",100,$R$2)&lt;設定!$I$29,設定!$G$10,設定!$G$9)))</f>
        <v/>
      </c>
      <c r="U62" s="62" t="str">
        <f aca="false">IF(OR($C62="",S62=""),"",IF(S62/IF($S$2="",100,$S$2)&gt;=設定!$I$28,設定!$G$8,IF(S62/IF($S$2="",100,$S$2)&lt;設定!$I$29,設定!$G$10,設定!$G$9)))</f>
        <v/>
      </c>
    </row>
    <row r="63" customFormat="false" ht="21" hidden="false" customHeight="true" outlineLevel="0" collapsed="false">
      <c r="A63" s="91" t="str">
        <f aca="false">IF(名簿!$D63="","",名簿!$B63&amp;"")</f>
        <v/>
      </c>
      <c r="B63" s="91" t="str">
        <f aca="false">IF(名簿!$D63="","",名簿!$C63)</f>
        <v/>
      </c>
      <c r="C63" s="59" t="str">
        <f aca="false">IF(名簿!$D63="","",名簿!$D63&amp;IF(名簿!$F63="転出","（転出）",""))</f>
        <v/>
      </c>
      <c r="D63" s="149"/>
      <c r="E63" s="61" t="str">
        <f aca="false">IF(OR($C63="",名簿!$F63="転出"),"",IF($C$2="学級ごと",$A63,IF($C$2="前の単元と同じ",単元10!$E63&amp;"",$D63&amp;"")))</f>
        <v/>
      </c>
      <c r="F63" s="150"/>
      <c r="G63" s="150"/>
      <c r="H63" s="150"/>
      <c r="I63" s="151"/>
      <c r="J63" s="41" t="str">
        <f aca="false">IF($E63="","",$E63&amp;"|"&amp;COUNTIF($E$5:$E63,$E63))</f>
        <v/>
      </c>
      <c r="K63" s="40" t="str">
        <f aca="false">IF($I63="","",LEN($I63))</f>
        <v/>
      </c>
      <c r="L63" s="13"/>
      <c r="M63" s="13"/>
      <c r="N63" s="13"/>
      <c r="O63" s="13"/>
      <c r="P63" s="152"/>
      <c r="Q63" s="149"/>
      <c r="R63" s="152"/>
      <c r="S63" s="152"/>
      <c r="T63" s="62" t="str">
        <f aca="false">IF(OR($C63="",R63=""),"",IF(R63/IF($R$2="",100,$R$2)&gt;=設定!$I$28,設定!$G$8,IF(R63/IF($R$2="",100,$R$2)&lt;設定!$I$29,設定!$G$10,設定!$G$9)))</f>
        <v/>
      </c>
      <c r="U63" s="62" t="str">
        <f aca="false">IF(OR($C63="",S63=""),"",IF(S63/IF($S$2="",100,$S$2)&gt;=設定!$I$28,設定!$G$8,IF(S63/IF($S$2="",100,$S$2)&lt;設定!$I$29,設定!$G$10,設定!$G$9)))</f>
        <v/>
      </c>
    </row>
    <row r="64" customFormat="false" ht="21" hidden="false" customHeight="true" outlineLevel="0" collapsed="false">
      <c r="A64" s="91" t="str">
        <f aca="false">IF(名簿!$D64="","",名簿!$B64&amp;"")</f>
        <v/>
      </c>
      <c r="B64" s="91" t="str">
        <f aca="false">IF(名簿!$D64="","",名簿!$C64)</f>
        <v/>
      </c>
      <c r="C64" s="59" t="str">
        <f aca="false">IF(名簿!$D64="","",名簿!$D64&amp;IF(名簿!$F64="転出","（転出）",""))</f>
        <v/>
      </c>
      <c r="D64" s="149"/>
      <c r="E64" s="61" t="str">
        <f aca="false">IF(OR($C64="",名簿!$F64="転出"),"",IF($C$2="学級ごと",$A64,IF($C$2="前の単元と同じ",単元10!$E64&amp;"",$D64&amp;"")))</f>
        <v/>
      </c>
      <c r="F64" s="150"/>
      <c r="G64" s="150"/>
      <c r="H64" s="150"/>
      <c r="I64" s="151"/>
      <c r="J64" s="41" t="str">
        <f aca="false">IF($E64="","",$E64&amp;"|"&amp;COUNTIF($E$5:$E64,$E64))</f>
        <v/>
      </c>
      <c r="K64" s="40" t="str">
        <f aca="false">IF($I64="","",LEN($I64))</f>
        <v/>
      </c>
      <c r="L64" s="13"/>
      <c r="M64" s="13"/>
      <c r="N64" s="13"/>
      <c r="O64" s="13"/>
      <c r="P64" s="152"/>
      <c r="Q64" s="149"/>
      <c r="R64" s="152"/>
      <c r="S64" s="152"/>
      <c r="T64" s="62" t="str">
        <f aca="false">IF(OR($C64="",R64=""),"",IF(R64/IF($R$2="",100,$R$2)&gt;=設定!$I$28,設定!$G$8,IF(R64/IF($R$2="",100,$R$2)&lt;設定!$I$29,設定!$G$10,設定!$G$9)))</f>
        <v/>
      </c>
      <c r="U64" s="62" t="str">
        <f aca="false">IF(OR($C64="",S64=""),"",IF(S64/IF($S$2="",100,$S$2)&gt;=設定!$I$28,設定!$G$8,IF(S64/IF($S$2="",100,$S$2)&lt;設定!$I$29,設定!$G$10,設定!$G$9)))</f>
        <v/>
      </c>
    </row>
    <row r="65" customFormat="false" ht="21" hidden="false" customHeight="true" outlineLevel="0" collapsed="false">
      <c r="A65" s="91" t="str">
        <f aca="false">IF(名簿!$D65="","",名簿!$B65&amp;"")</f>
        <v/>
      </c>
      <c r="B65" s="91" t="str">
        <f aca="false">IF(名簿!$D65="","",名簿!$C65)</f>
        <v/>
      </c>
      <c r="C65" s="59" t="str">
        <f aca="false">IF(名簿!$D65="","",名簿!$D65&amp;IF(名簿!$F65="転出","（転出）",""))</f>
        <v/>
      </c>
      <c r="D65" s="149"/>
      <c r="E65" s="61" t="str">
        <f aca="false">IF(OR($C65="",名簿!$F65="転出"),"",IF($C$2="学級ごと",$A65,IF($C$2="前の単元と同じ",単元10!$E65&amp;"",$D65&amp;"")))</f>
        <v/>
      </c>
      <c r="F65" s="150"/>
      <c r="G65" s="150"/>
      <c r="H65" s="150"/>
      <c r="I65" s="151"/>
      <c r="J65" s="41" t="str">
        <f aca="false">IF($E65="","",$E65&amp;"|"&amp;COUNTIF($E$5:$E65,$E65))</f>
        <v/>
      </c>
      <c r="K65" s="40" t="str">
        <f aca="false">IF($I65="","",LEN($I65))</f>
        <v/>
      </c>
      <c r="L65" s="13"/>
      <c r="M65" s="13"/>
      <c r="N65" s="13"/>
      <c r="O65" s="13"/>
      <c r="P65" s="152"/>
      <c r="Q65" s="149"/>
      <c r="R65" s="152"/>
      <c r="S65" s="152"/>
      <c r="T65" s="62" t="str">
        <f aca="false">IF(OR($C65="",R65=""),"",IF(R65/IF($R$2="",100,$R$2)&gt;=設定!$I$28,設定!$G$8,IF(R65/IF($R$2="",100,$R$2)&lt;設定!$I$29,設定!$G$10,設定!$G$9)))</f>
        <v/>
      </c>
      <c r="U65" s="62" t="str">
        <f aca="false">IF(OR($C65="",S65=""),"",IF(S65/IF($S$2="",100,$S$2)&gt;=設定!$I$28,設定!$G$8,IF(S65/IF($S$2="",100,$S$2)&lt;設定!$I$29,設定!$G$10,設定!$G$9)))</f>
        <v/>
      </c>
    </row>
    <row r="66" customFormat="false" ht="21" hidden="false" customHeight="true" outlineLevel="0" collapsed="false">
      <c r="A66" s="91" t="str">
        <f aca="false">IF(名簿!$D66="","",名簿!$B66&amp;"")</f>
        <v/>
      </c>
      <c r="B66" s="91" t="str">
        <f aca="false">IF(名簿!$D66="","",名簿!$C66)</f>
        <v/>
      </c>
      <c r="C66" s="59" t="str">
        <f aca="false">IF(名簿!$D66="","",名簿!$D66&amp;IF(名簿!$F66="転出","（転出）",""))</f>
        <v/>
      </c>
      <c r="D66" s="149"/>
      <c r="E66" s="61" t="str">
        <f aca="false">IF(OR($C66="",名簿!$F66="転出"),"",IF($C$2="学級ごと",$A66,IF($C$2="前の単元と同じ",単元10!$E66&amp;"",$D66&amp;"")))</f>
        <v/>
      </c>
      <c r="F66" s="150"/>
      <c r="G66" s="150"/>
      <c r="H66" s="150"/>
      <c r="I66" s="151"/>
      <c r="J66" s="41" t="str">
        <f aca="false">IF($E66="","",$E66&amp;"|"&amp;COUNTIF($E$5:$E66,$E66))</f>
        <v/>
      </c>
      <c r="K66" s="40" t="str">
        <f aca="false">IF($I66="","",LEN($I66))</f>
        <v/>
      </c>
      <c r="L66" s="13"/>
      <c r="M66" s="13"/>
      <c r="N66" s="13"/>
      <c r="O66" s="13"/>
      <c r="P66" s="152"/>
      <c r="Q66" s="149"/>
      <c r="R66" s="152"/>
      <c r="S66" s="152"/>
      <c r="T66" s="62" t="str">
        <f aca="false">IF(OR($C66="",R66=""),"",IF(R66/IF($R$2="",100,$R$2)&gt;=設定!$I$28,設定!$G$8,IF(R66/IF($R$2="",100,$R$2)&lt;設定!$I$29,設定!$G$10,設定!$G$9)))</f>
        <v/>
      </c>
      <c r="U66" s="62" t="str">
        <f aca="false">IF(OR($C66="",S66=""),"",IF(S66/IF($S$2="",100,$S$2)&gt;=設定!$I$28,設定!$G$8,IF(S66/IF($S$2="",100,$S$2)&lt;設定!$I$29,設定!$G$10,設定!$G$9)))</f>
        <v/>
      </c>
    </row>
    <row r="67" customFormat="false" ht="21" hidden="false" customHeight="true" outlineLevel="0" collapsed="false">
      <c r="A67" s="91" t="str">
        <f aca="false">IF(名簿!$D67="","",名簿!$B67&amp;"")</f>
        <v/>
      </c>
      <c r="B67" s="91" t="str">
        <f aca="false">IF(名簿!$D67="","",名簿!$C67)</f>
        <v/>
      </c>
      <c r="C67" s="59" t="str">
        <f aca="false">IF(名簿!$D67="","",名簿!$D67&amp;IF(名簿!$F67="転出","（転出）",""))</f>
        <v/>
      </c>
      <c r="D67" s="149"/>
      <c r="E67" s="61" t="str">
        <f aca="false">IF(OR($C67="",名簿!$F67="転出"),"",IF($C$2="学級ごと",$A67,IF($C$2="前の単元と同じ",単元10!$E67&amp;"",$D67&amp;"")))</f>
        <v/>
      </c>
      <c r="F67" s="150"/>
      <c r="G67" s="150"/>
      <c r="H67" s="150"/>
      <c r="I67" s="151"/>
      <c r="J67" s="41" t="str">
        <f aca="false">IF($E67="","",$E67&amp;"|"&amp;COUNTIF($E$5:$E67,$E67))</f>
        <v/>
      </c>
      <c r="K67" s="40" t="str">
        <f aca="false">IF($I67="","",LEN($I67))</f>
        <v/>
      </c>
      <c r="L67" s="13"/>
      <c r="M67" s="13"/>
      <c r="N67" s="13"/>
      <c r="O67" s="13"/>
      <c r="P67" s="152"/>
      <c r="Q67" s="149"/>
      <c r="R67" s="152"/>
      <c r="S67" s="152"/>
      <c r="T67" s="62" t="str">
        <f aca="false">IF(OR($C67="",R67=""),"",IF(R67/IF($R$2="",100,$R$2)&gt;=設定!$I$28,設定!$G$8,IF(R67/IF($R$2="",100,$R$2)&lt;設定!$I$29,設定!$G$10,設定!$G$9)))</f>
        <v/>
      </c>
      <c r="U67" s="62" t="str">
        <f aca="false">IF(OR($C67="",S67=""),"",IF(S67/IF($S$2="",100,$S$2)&gt;=設定!$I$28,設定!$G$8,IF(S67/IF($S$2="",100,$S$2)&lt;設定!$I$29,設定!$G$10,設定!$G$9)))</f>
        <v/>
      </c>
    </row>
    <row r="68" customFormat="false" ht="21" hidden="false" customHeight="true" outlineLevel="0" collapsed="false">
      <c r="A68" s="91" t="str">
        <f aca="false">IF(名簿!$D68="","",名簿!$B68&amp;"")</f>
        <v/>
      </c>
      <c r="B68" s="91" t="str">
        <f aca="false">IF(名簿!$D68="","",名簿!$C68)</f>
        <v/>
      </c>
      <c r="C68" s="59" t="str">
        <f aca="false">IF(名簿!$D68="","",名簿!$D68&amp;IF(名簿!$F68="転出","（転出）",""))</f>
        <v/>
      </c>
      <c r="D68" s="149"/>
      <c r="E68" s="61" t="str">
        <f aca="false">IF(OR($C68="",名簿!$F68="転出"),"",IF($C$2="学級ごと",$A68,IF($C$2="前の単元と同じ",単元10!$E68&amp;"",$D68&amp;"")))</f>
        <v/>
      </c>
      <c r="F68" s="150"/>
      <c r="G68" s="150"/>
      <c r="H68" s="150"/>
      <c r="I68" s="151"/>
      <c r="J68" s="41" t="str">
        <f aca="false">IF($E68="","",$E68&amp;"|"&amp;COUNTIF($E$5:$E68,$E68))</f>
        <v/>
      </c>
      <c r="K68" s="40" t="str">
        <f aca="false">IF($I68="","",LEN($I68))</f>
        <v/>
      </c>
      <c r="L68" s="13"/>
      <c r="M68" s="13"/>
      <c r="N68" s="13"/>
      <c r="O68" s="13"/>
      <c r="P68" s="152"/>
      <c r="Q68" s="149"/>
      <c r="R68" s="152"/>
      <c r="S68" s="152"/>
      <c r="T68" s="62" t="str">
        <f aca="false">IF(OR($C68="",R68=""),"",IF(R68/IF($R$2="",100,$R$2)&gt;=設定!$I$28,設定!$G$8,IF(R68/IF($R$2="",100,$R$2)&lt;設定!$I$29,設定!$G$10,設定!$G$9)))</f>
        <v/>
      </c>
      <c r="U68" s="62" t="str">
        <f aca="false">IF(OR($C68="",S68=""),"",IF(S68/IF($S$2="",100,$S$2)&gt;=設定!$I$28,設定!$G$8,IF(S68/IF($S$2="",100,$S$2)&lt;設定!$I$29,設定!$G$10,設定!$G$9)))</f>
        <v/>
      </c>
    </row>
    <row r="69" customFormat="false" ht="21" hidden="false" customHeight="true" outlineLevel="0" collapsed="false">
      <c r="A69" s="91" t="str">
        <f aca="false">IF(名簿!$D69="","",名簿!$B69&amp;"")</f>
        <v/>
      </c>
      <c r="B69" s="91" t="str">
        <f aca="false">IF(名簿!$D69="","",名簿!$C69)</f>
        <v/>
      </c>
      <c r="C69" s="59" t="str">
        <f aca="false">IF(名簿!$D69="","",名簿!$D69&amp;IF(名簿!$F69="転出","（転出）",""))</f>
        <v/>
      </c>
      <c r="D69" s="149"/>
      <c r="E69" s="61" t="str">
        <f aca="false">IF(OR($C69="",名簿!$F69="転出"),"",IF($C$2="学級ごと",$A69,IF($C$2="前の単元と同じ",単元10!$E69&amp;"",$D69&amp;"")))</f>
        <v/>
      </c>
      <c r="F69" s="150"/>
      <c r="G69" s="150"/>
      <c r="H69" s="150"/>
      <c r="I69" s="151"/>
      <c r="J69" s="41" t="str">
        <f aca="false">IF($E69="","",$E69&amp;"|"&amp;COUNTIF($E$5:$E69,$E69))</f>
        <v/>
      </c>
      <c r="K69" s="40" t="str">
        <f aca="false">IF($I69="","",LEN($I69))</f>
        <v/>
      </c>
      <c r="L69" s="13"/>
      <c r="M69" s="13"/>
      <c r="N69" s="13"/>
      <c r="O69" s="13"/>
      <c r="P69" s="152"/>
      <c r="Q69" s="149"/>
      <c r="R69" s="152"/>
      <c r="S69" s="152"/>
      <c r="T69" s="62" t="str">
        <f aca="false">IF(OR($C69="",R69=""),"",IF(R69/IF($R$2="",100,$R$2)&gt;=設定!$I$28,設定!$G$8,IF(R69/IF($R$2="",100,$R$2)&lt;設定!$I$29,設定!$G$10,設定!$G$9)))</f>
        <v/>
      </c>
      <c r="U69" s="62" t="str">
        <f aca="false">IF(OR($C69="",S69=""),"",IF(S69/IF($S$2="",100,$S$2)&gt;=設定!$I$28,設定!$G$8,IF(S69/IF($S$2="",100,$S$2)&lt;設定!$I$29,設定!$G$10,設定!$G$9)))</f>
        <v/>
      </c>
    </row>
    <row r="70" customFormat="false" ht="21" hidden="false" customHeight="true" outlineLevel="0" collapsed="false">
      <c r="A70" s="91" t="str">
        <f aca="false">IF(名簿!$D70="","",名簿!$B70&amp;"")</f>
        <v/>
      </c>
      <c r="B70" s="91" t="str">
        <f aca="false">IF(名簿!$D70="","",名簿!$C70)</f>
        <v/>
      </c>
      <c r="C70" s="59" t="str">
        <f aca="false">IF(名簿!$D70="","",名簿!$D70&amp;IF(名簿!$F70="転出","（転出）",""))</f>
        <v/>
      </c>
      <c r="D70" s="149"/>
      <c r="E70" s="61" t="str">
        <f aca="false">IF(OR($C70="",名簿!$F70="転出"),"",IF($C$2="学級ごと",$A70,IF($C$2="前の単元と同じ",単元10!$E70&amp;"",$D70&amp;"")))</f>
        <v/>
      </c>
      <c r="F70" s="150"/>
      <c r="G70" s="150"/>
      <c r="H70" s="150"/>
      <c r="I70" s="151"/>
      <c r="J70" s="41" t="str">
        <f aca="false">IF($E70="","",$E70&amp;"|"&amp;COUNTIF($E$5:$E70,$E70))</f>
        <v/>
      </c>
      <c r="K70" s="40" t="str">
        <f aca="false">IF($I70="","",LEN($I70))</f>
        <v/>
      </c>
      <c r="L70" s="13"/>
      <c r="M70" s="13"/>
      <c r="N70" s="13"/>
      <c r="O70" s="13"/>
      <c r="P70" s="152"/>
      <c r="Q70" s="149"/>
      <c r="R70" s="152"/>
      <c r="S70" s="152"/>
      <c r="T70" s="62" t="str">
        <f aca="false">IF(OR($C70="",R70=""),"",IF(R70/IF($R$2="",100,$R$2)&gt;=設定!$I$28,設定!$G$8,IF(R70/IF($R$2="",100,$R$2)&lt;設定!$I$29,設定!$G$10,設定!$G$9)))</f>
        <v/>
      </c>
      <c r="U70" s="62" t="str">
        <f aca="false">IF(OR($C70="",S70=""),"",IF(S70/IF($S$2="",100,$S$2)&gt;=設定!$I$28,設定!$G$8,IF(S70/IF($S$2="",100,$S$2)&lt;設定!$I$29,設定!$G$10,設定!$G$9)))</f>
        <v/>
      </c>
    </row>
    <row r="71" customFormat="false" ht="21" hidden="false" customHeight="true" outlineLevel="0" collapsed="false">
      <c r="A71" s="91" t="str">
        <f aca="false">IF(名簿!$D71="","",名簿!$B71&amp;"")</f>
        <v/>
      </c>
      <c r="B71" s="91" t="str">
        <f aca="false">IF(名簿!$D71="","",名簿!$C71)</f>
        <v/>
      </c>
      <c r="C71" s="59" t="str">
        <f aca="false">IF(名簿!$D71="","",名簿!$D71&amp;IF(名簿!$F71="転出","（転出）",""))</f>
        <v/>
      </c>
      <c r="D71" s="149"/>
      <c r="E71" s="61" t="str">
        <f aca="false">IF(OR($C71="",名簿!$F71="転出"),"",IF($C$2="学級ごと",$A71,IF($C$2="前の単元と同じ",単元10!$E71&amp;"",$D71&amp;"")))</f>
        <v/>
      </c>
      <c r="F71" s="150"/>
      <c r="G71" s="150"/>
      <c r="H71" s="150"/>
      <c r="I71" s="151"/>
      <c r="J71" s="41" t="str">
        <f aca="false">IF($E71="","",$E71&amp;"|"&amp;COUNTIF($E$5:$E71,$E71))</f>
        <v/>
      </c>
      <c r="K71" s="40" t="str">
        <f aca="false">IF($I71="","",LEN($I71))</f>
        <v/>
      </c>
      <c r="L71" s="13"/>
      <c r="M71" s="13"/>
      <c r="N71" s="13"/>
      <c r="O71" s="13"/>
      <c r="P71" s="152"/>
      <c r="Q71" s="149"/>
      <c r="R71" s="152"/>
      <c r="S71" s="152"/>
      <c r="T71" s="62" t="str">
        <f aca="false">IF(OR($C71="",R71=""),"",IF(R71/IF($R$2="",100,$R$2)&gt;=設定!$I$28,設定!$G$8,IF(R71/IF($R$2="",100,$R$2)&lt;設定!$I$29,設定!$G$10,設定!$G$9)))</f>
        <v/>
      </c>
      <c r="U71" s="62" t="str">
        <f aca="false">IF(OR($C71="",S71=""),"",IF(S71/IF($S$2="",100,$S$2)&gt;=設定!$I$28,設定!$G$8,IF(S71/IF($S$2="",100,$S$2)&lt;設定!$I$29,設定!$G$10,設定!$G$9)))</f>
        <v/>
      </c>
    </row>
    <row r="72" customFormat="false" ht="21" hidden="false" customHeight="true" outlineLevel="0" collapsed="false">
      <c r="A72" s="91" t="str">
        <f aca="false">IF(名簿!$D72="","",名簿!$B72&amp;"")</f>
        <v/>
      </c>
      <c r="B72" s="91" t="str">
        <f aca="false">IF(名簿!$D72="","",名簿!$C72)</f>
        <v/>
      </c>
      <c r="C72" s="59" t="str">
        <f aca="false">IF(名簿!$D72="","",名簿!$D72&amp;IF(名簿!$F72="転出","（転出）",""))</f>
        <v/>
      </c>
      <c r="D72" s="149"/>
      <c r="E72" s="61" t="str">
        <f aca="false">IF(OR($C72="",名簿!$F72="転出"),"",IF($C$2="学級ごと",$A72,IF($C$2="前の単元と同じ",単元10!$E72&amp;"",$D72&amp;"")))</f>
        <v/>
      </c>
      <c r="F72" s="150"/>
      <c r="G72" s="150"/>
      <c r="H72" s="150"/>
      <c r="I72" s="151"/>
      <c r="J72" s="41" t="str">
        <f aca="false">IF($E72="","",$E72&amp;"|"&amp;COUNTIF($E$5:$E72,$E72))</f>
        <v/>
      </c>
      <c r="K72" s="40" t="str">
        <f aca="false">IF($I72="","",LEN($I72))</f>
        <v/>
      </c>
      <c r="L72" s="13"/>
      <c r="M72" s="13"/>
      <c r="N72" s="13"/>
      <c r="O72" s="13"/>
      <c r="P72" s="152"/>
      <c r="Q72" s="149"/>
      <c r="R72" s="152"/>
      <c r="S72" s="152"/>
      <c r="T72" s="62" t="str">
        <f aca="false">IF(OR($C72="",R72=""),"",IF(R72/IF($R$2="",100,$R$2)&gt;=設定!$I$28,設定!$G$8,IF(R72/IF($R$2="",100,$R$2)&lt;設定!$I$29,設定!$G$10,設定!$G$9)))</f>
        <v/>
      </c>
      <c r="U72" s="62" t="str">
        <f aca="false">IF(OR($C72="",S72=""),"",IF(S72/IF($S$2="",100,$S$2)&gt;=設定!$I$28,設定!$G$8,IF(S72/IF($S$2="",100,$S$2)&lt;設定!$I$29,設定!$G$10,設定!$G$9)))</f>
        <v/>
      </c>
    </row>
    <row r="73" customFormat="false" ht="21" hidden="false" customHeight="true" outlineLevel="0" collapsed="false">
      <c r="A73" s="91" t="str">
        <f aca="false">IF(名簿!$D73="","",名簿!$B73&amp;"")</f>
        <v/>
      </c>
      <c r="B73" s="91" t="str">
        <f aca="false">IF(名簿!$D73="","",名簿!$C73)</f>
        <v/>
      </c>
      <c r="C73" s="59" t="str">
        <f aca="false">IF(名簿!$D73="","",名簿!$D73&amp;IF(名簿!$F73="転出","（転出）",""))</f>
        <v/>
      </c>
      <c r="D73" s="149"/>
      <c r="E73" s="61" t="str">
        <f aca="false">IF(OR($C73="",名簿!$F73="転出"),"",IF($C$2="学級ごと",$A73,IF($C$2="前の単元と同じ",単元10!$E73&amp;"",$D73&amp;"")))</f>
        <v/>
      </c>
      <c r="F73" s="150"/>
      <c r="G73" s="150"/>
      <c r="H73" s="150"/>
      <c r="I73" s="151"/>
      <c r="J73" s="41" t="str">
        <f aca="false">IF($E73="","",$E73&amp;"|"&amp;COUNTIF($E$5:$E73,$E73))</f>
        <v/>
      </c>
      <c r="K73" s="40" t="str">
        <f aca="false">IF($I73="","",LEN($I73))</f>
        <v/>
      </c>
      <c r="L73" s="13"/>
      <c r="M73" s="13"/>
      <c r="N73" s="13"/>
      <c r="O73" s="13"/>
      <c r="P73" s="152"/>
      <c r="Q73" s="149"/>
      <c r="R73" s="152"/>
      <c r="S73" s="152"/>
      <c r="T73" s="62" t="str">
        <f aca="false">IF(OR($C73="",R73=""),"",IF(R73/IF($R$2="",100,$R$2)&gt;=設定!$I$28,設定!$G$8,IF(R73/IF($R$2="",100,$R$2)&lt;設定!$I$29,設定!$G$10,設定!$G$9)))</f>
        <v/>
      </c>
      <c r="U73" s="62" t="str">
        <f aca="false">IF(OR($C73="",S73=""),"",IF(S73/IF($S$2="",100,$S$2)&gt;=設定!$I$28,設定!$G$8,IF(S73/IF($S$2="",100,$S$2)&lt;設定!$I$29,設定!$G$10,設定!$G$9)))</f>
        <v/>
      </c>
    </row>
    <row r="74" customFormat="false" ht="21" hidden="false" customHeight="true" outlineLevel="0" collapsed="false">
      <c r="A74" s="91" t="str">
        <f aca="false">IF(名簿!$D74="","",名簿!$B74&amp;"")</f>
        <v/>
      </c>
      <c r="B74" s="91" t="str">
        <f aca="false">IF(名簿!$D74="","",名簿!$C74)</f>
        <v/>
      </c>
      <c r="C74" s="59" t="str">
        <f aca="false">IF(名簿!$D74="","",名簿!$D74&amp;IF(名簿!$F74="転出","（転出）",""))</f>
        <v/>
      </c>
      <c r="D74" s="149"/>
      <c r="E74" s="61" t="str">
        <f aca="false">IF(OR($C74="",名簿!$F74="転出"),"",IF($C$2="学級ごと",$A74,IF($C$2="前の単元と同じ",単元10!$E74&amp;"",$D74&amp;"")))</f>
        <v/>
      </c>
      <c r="F74" s="150"/>
      <c r="G74" s="150"/>
      <c r="H74" s="150"/>
      <c r="I74" s="151"/>
      <c r="J74" s="41" t="str">
        <f aca="false">IF($E74="","",$E74&amp;"|"&amp;COUNTIF($E$5:$E74,$E74))</f>
        <v/>
      </c>
      <c r="K74" s="40" t="str">
        <f aca="false">IF($I74="","",LEN($I74))</f>
        <v/>
      </c>
      <c r="L74" s="13"/>
      <c r="M74" s="13"/>
      <c r="N74" s="13"/>
      <c r="O74" s="13"/>
      <c r="P74" s="152"/>
      <c r="Q74" s="149"/>
      <c r="R74" s="152"/>
      <c r="S74" s="152"/>
      <c r="T74" s="62" t="str">
        <f aca="false">IF(OR($C74="",R74=""),"",IF(R74/IF($R$2="",100,$R$2)&gt;=設定!$I$28,設定!$G$8,IF(R74/IF($R$2="",100,$R$2)&lt;設定!$I$29,設定!$G$10,設定!$G$9)))</f>
        <v/>
      </c>
      <c r="U74" s="62" t="str">
        <f aca="false">IF(OR($C74="",S74=""),"",IF(S74/IF($S$2="",100,$S$2)&gt;=設定!$I$28,設定!$G$8,IF(S74/IF($S$2="",100,$S$2)&lt;設定!$I$29,設定!$G$10,設定!$G$9)))</f>
        <v/>
      </c>
    </row>
    <row r="75" customFormat="false" ht="21" hidden="false" customHeight="true" outlineLevel="0" collapsed="false">
      <c r="A75" s="91" t="str">
        <f aca="false">IF(名簿!$D75="","",名簿!$B75&amp;"")</f>
        <v/>
      </c>
      <c r="B75" s="91" t="str">
        <f aca="false">IF(名簿!$D75="","",名簿!$C75)</f>
        <v/>
      </c>
      <c r="C75" s="59" t="str">
        <f aca="false">IF(名簿!$D75="","",名簿!$D75&amp;IF(名簿!$F75="転出","（転出）",""))</f>
        <v/>
      </c>
      <c r="D75" s="149"/>
      <c r="E75" s="61" t="str">
        <f aca="false">IF(OR($C75="",名簿!$F75="転出"),"",IF($C$2="学級ごと",$A75,IF($C$2="前の単元と同じ",単元10!$E75&amp;"",$D75&amp;"")))</f>
        <v/>
      </c>
      <c r="F75" s="150"/>
      <c r="G75" s="150"/>
      <c r="H75" s="150"/>
      <c r="I75" s="151"/>
      <c r="J75" s="41" t="str">
        <f aca="false">IF($E75="","",$E75&amp;"|"&amp;COUNTIF($E$5:$E75,$E75))</f>
        <v/>
      </c>
      <c r="K75" s="40" t="str">
        <f aca="false">IF($I75="","",LEN($I75))</f>
        <v/>
      </c>
      <c r="L75" s="13"/>
      <c r="M75" s="13"/>
      <c r="N75" s="13"/>
      <c r="O75" s="13"/>
      <c r="P75" s="152"/>
      <c r="Q75" s="149"/>
      <c r="R75" s="152"/>
      <c r="S75" s="152"/>
      <c r="T75" s="62" t="str">
        <f aca="false">IF(OR($C75="",R75=""),"",IF(R75/IF($R$2="",100,$R$2)&gt;=設定!$I$28,設定!$G$8,IF(R75/IF($R$2="",100,$R$2)&lt;設定!$I$29,設定!$G$10,設定!$G$9)))</f>
        <v/>
      </c>
      <c r="U75" s="62" t="str">
        <f aca="false">IF(OR($C75="",S75=""),"",IF(S75/IF($S$2="",100,$S$2)&gt;=設定!$I$28,設定!$G$8,IF(S75/IF($S$2="",100,$S$2)&lt;設定!$I$29,設定!$G$10,設定!$G$9)))</f>
        <v/>
      </c>
    </row>
    <row r="76" customFormat="false" ht="21" hidden="false" customHeight="true" outlineLevel="0" collapsed="false">
      <c r="A76" s="91" t="str">
        <f aca="false">IF(名簿!$D76="","",名簿!$B76&amp;"")</f>
        <v/>
      </c>
      <c r="B76" s="91" t="str">
        <f aca="false">IF(名簿!$D76="","",名簿!$C76)</f>
        <v/>
      </c>
      <c r="C76" s="59" t="str">
        <f aca="false">IF(名簿!$D76="","",名簿!$D76&amp;IF(名簿!$F76="転出","（転出）",""))</f>
        <v/>
      </c>
      <c r="D76" s="149"/>
      <c r="E76" s="61" t="str">
        <f aca="false">IF(OR($C76="",名簿!$F76="転出"),"",IF($C$2="学級ごと",$A76,IF($C$2="前の単元と同じ",単元10!$E76&amp;"",$D76&amp;"")))</f>
        <v/>
      </c>
      <c r="F76" s="150"/>
      <c r="G76" s="150"/>
      <c r="H76" s="150"/>
      <c r="I76" s="151"/>
      <c r="J76" s="41" t="str">
        <f aca="false">IF($E76="","",$E76&amp;"|"&amp;COUNTIF($E$5:$E76,$E76))</f>
        <v/>
      </c>
      <c r="K76" s="40" t="str">
        <f aca="false">IF($I76="","",LEN($I76))</f>
        <v/>
      </c>
      <c r="L76" s="13"/>
      <c r="M76" s="13"/>
      <c r="N76" s="13"/>
      <c r="O76" s="13"/>
      <c r="P76" s="152"/>
      <c r="Q76" s="149"/>
      <c r="R76" s="152"/>
      <c r="S76" s="152"/>
      <c r="T76" s="62" t="str">
        <f aca="false">IF(OR($C76="",R76=""),"",IF(R76/IF($R$2="",100,$R$2)&gt;=設定!$I$28,設定!$G$8,IF(R76/IF($R$2="",100,$R$2)&lt;設定!$I$29,設定!$G$10,設定!$G$9)))</f>
        <v/>
      </c>
      <c r="U76" s="62" t="str">
        <f aca="false">IF(OR($C76="",S76=""),"",IF(S76/IF($S$2="",100,$S$2)&gt;=設定!$I$28,設定!$G$8,IF(S76/IF($S$2="",100,$S$2)&lt;設定!$I$29,設定!$G$10,設定!$G$9)))</f>
        <v/>
      </c>
    </row>
    <row r="77" customFormat="false" ht="21" hidden="false" customHeight="true" outlineLevel="0" collapsed="false">
      <c r="A77" s="91" t="str">
        <f aca="false">IF(名簿!$D77="","",名簿!$B77&amp;"")</f>
        <v/>
      </c>
      <c r="B77" s="91" t="str">
        <f aca="false">IF(名簿!$D77="","",名簿!$C77)</f>
        <v/>
      </c>
      <c r="C77" s="59" t="str">
        <f aca="false">IF(名簿!$D77="","",名簿!$D77&amp;IF(名簿!$F77="転出","（転出）",""))</f>
        <v/>
      </c>
      <c r="D77" s="149"/>
      <c r="E77" s="61" t="str">
        <f aca="false">IF(OR($C77="",名簿!$F77="転出"),"",IF($C$2="学級ごと",$A77,IF($C$2="前の単元と同じ",単元10!$E77&amp;"",$D77&amp;"")))</f>
        <v/>
      </c>
      <c r="F77" s="150"/>
      <c r="G77" s="150"/>
      <c r="H77" s="150"/>
      <c r="I77" s="151"/>
      <c r="J77" s="41" t="str">
        <f aca="false">IF($E77="","",$E77&amp;"|"&amp;COUNTIF($E$5:$E77,$E77))</f>
        <v/>
      </c>
      <c r="K77" s="40" t="str">
        <f aca="false">IF($I77="","",LEN($I77))</f>
        <v/>
      </c>
      <c r="L77" s="13"/>
      <c r="M77" s="13"/>
      <c r="N77" s="13"/>
      <c r="O77" s="13"/>
      <c r="P77" s="152"/>
      <c r="Q77" s="149"/>
      <c r="R77" s="152"/>
      <c r="S77" s="152"/>
      <c r="T77" s="62" t="str">
        <f aca="false">IF(OR($C77="",R77=""),"",IF(R77/IF($R$2="",100,$R$2)&gt;=設定!$I$28,設定!$G$8,IF(R77/IF($R$2="",100,$R$2)&lt;設定!$I$29,設定!$G$10,設定!$G$9)))</f>
        <v/>
      </c>
      <c r="U77" s="62" t="str">
        <f aca="false">IF(OR($C77="",S77=""),"",IF(S77/IF($S$2="",100,$S$2)&gt;=設定!$I$28,設定!$G$8,IF(S77/IF($S$2="",100,$S$2)&lt;設定!$I$29,設定!$G$10,設定!$G$9)))</f>
        <v/>
      </c>
    </row>
    <row r="78" customFormat="false" ht="21" hidden="false" customHeight="true" outlineLevel="0" collapsed="false">
      <c r="A78" s="91" t="str">
        <f aca="false">IF(名簿!$D78="","",名簿!$B78&amp;"")</f>
        <v/>
      </c>
      <c r="B78" s="91" t="str">
        <f aca="false">IF(名簿!$D78="","",名簿!$C78)</f>
        <v/>
      </c>
      <c r="C78" s="59" t="str">
        <f aca="false">IF(名簿!$D78="","",名簿!$D78&amp;IF(名簿!$F78="転出","（転出）",""))</f>
        <v/>
      </c>
      <c r="D78" s="149"/>
      <c r="E78" s="61" t="str">
        <f aca="false">IF(OR($C78="",名簿!$F78="転出"),"",IF($C$2="学級ごと",$A78,IF($C$2="前の単元と同じ",単元10!$E78&amp;"",$D78&amp;"")))</f>
        <v/>
      </c>
      <c r="F78" s="150"/>
      <c r="G78" s="150"/>
      <c r="H78" s="150"/>
      <c r="I78" s="151"/>
      <c r="J78" s="41" t="str">
        <f aca="false">IF($E78="","",$E78&amp;"|"&amp;COUNTIF($E$5:$E78,$E78))</f>
        <v/>
      </c>
      <c r="K78" s="40" t="str">
        <f aca="false">IF($I78="","",LEN($I78))</f>
        <v/>
      </c>
      <c r="L78" s="13"/>
      <c r="M78" s="13"/>
      <c r="N78" s="13"/>
      <c r="O78" s="13"/>
      <c r="P78" s="152"/>
      <c r="Q78" s="149"/>
      <c r="R78" s="152"/>
      <c r="S78" s="152"/>
      <c r="T78" s="62" t="str">
        <f aca="false">IF(OR($C78="",R78=""),"",IF(R78/IF($R$2="",100,$R$2)&gt;=設定!$I$28,設定!$G$8,IF(R78/IF($R$2="",100,$R$2)&lt;設定!$I$29,設定!$G$10,設定!$G$9)))</f>
        <v/>
      </c>
      <c r="U78" s="62" t="str">
        <f aca="false">IF(OR($C78="",S78=""),"",IF(S78/IF($S$2="",100,$S$2)&gt;=設定!$I$28,設定!$G$8,IF(S78/IF($S$2="",100,$S$2)&lt;設定!$I$29,設定!$G$10,設定!$G$9)))</f>
        <v/>
      </c>
    </row>
    <row r="79" customFormat="false" ht="21" hidden="false" customHeight="true" outlineLevel="0" collapsed="false">
      <c r="A79" s="91" t="str">
        <f aca="false">IF(名簿!$D79="","",名簿!$B79&amp;"")</f>
        <v/>
      </c>
      <c r="B79" s="91" t="str">
        <f aca="false">IF(名簿!$D79="","",名簿!$C79)</f>
        <v/>
      </c>
      <c r="C79" s="59" t="str">
        <f aca="false">IF(名簿!$D79="","",名簿!$D79&amp;IF(名簿!$F79="転出","（転出）",""))</f>
        <v/>
      </c>
      <c r="D79" s="149"/>
      <c r="E79" s="61" t="str">
        <f aca="false">IF(OR($C79="",名簿!$F79="転出"),"",IF($C$2="学級ごと",$A79,IF($C$2="前の単元と同じ",単元10!$E79&amp;"",$D79&amp;"")))</f>
        <v/>
      </c>
      <c r="F79" s="150"/>
      <c r="G79" s="150"/>
      <c r="H79" s="150"/>
      <c r="I79" s="151"/>
      <c r="J79" s="41" t="str">
        <f aca="false">IF($E79="","",$E79&amp;"|"&amp;COUNTIF($E$5:$E79,$E79))</f>
        <v/>
      </c>
      <c r="K79" s="40" t="str">
        <f aca="false">IF($I79="","",LEN($I79))</f>
        <v/>
      </c>
      <c r="L79" s="13"/>
      <c r="M79" s="13"/>
      <c r="N79" s="13"/>
      <c r="O79" s="13"/>
      <c r="P79" s="152"/>
      <c r="Q79" s="149"/>
      <c r="R79" s="152"/>
      <c r="S79" s="152"/>
      <c r="T79" s="62" t="str">
        <f aca="false">IF(OR($C79="",R79=""),"",IF(R79/IF($R$2="",100,$R$2)&gt;=設定!$I$28,設定!$G$8,IF(R79/IF($R$2="",100,$R$2)&lt;設定!$I$29,設定!$G$10,設定!$G$9)))</f>
        <v/>
      </c>
      <c r="U79" s="62" t="str">
        <f aca="false">IF(OR($C79="",S79=""),"",IF(S79/IF($S$2="",100,$S$2)&gt;=設定!$I$28,設定!$G$8,IF(S79/IF($S$2="",100,$S$2)&lt;設定!$I$29,設定!$G$10,設定!$G$9)))</f>
        <v/>
      </c>
    </row>
    <row r="80" customFormat="false" ht="21" hidden="false" customHeight="true" outlineLevel="0" collapsed="false">
      <c r="A80" s="91" t="str">
        <f aca="false">IF(名簿!$D80="","",名簿!$B80&amp;"")</f>
        <v/>
      </c>
      <c r="B80" s="91" t="str">
        <f aca="false">IF(名簿!$D80="","",名簿!$C80)</f>
        <v/>
      </c>
      <c r="C80" s="59" t="str">
        <f aca="false">IF(名簿!$D80="","",名簿!$D80&amp;IF(名簿!$F80="転出","（転出）",""))</f>
        <v/>
      </c>
      <c r="D80" s="149"/>
      <c r="E80" s="61" t="str">
        <f aca="false">IF(OR($C80="",名簿!$F80="転出"),"",IF($C$2="学級ごと",$A80,IF($C$2="前の単元と同じ",単元10!$E80&amp;"",$D80&amp;"")))</f>
        <v/>
      </c>
      <c r="F80" s="150"/>
      <c r="G80" s="150"/>
      <c r="H80" s="150"/>
      <c r="I80" s="151"/>
      <c r="J80" s="41" t="str">
        <f aca="false">IF($E80="","",$E80&amp;"|"&amp;COUNTIF($E$5:$E80,$E80))</f>
        <v/>
      </c>
      <c r="K80" s="40" t="str">
        <f aca="false">IF($I80="","",LEN($I80))</f>
        <v/>
      </c>
      <c r="L80" s="13"/>
      <c r="M80" s="13"/>
      <c r="N80" s="13"/>
      <c r="O80" s="13"/>
      <c r="P80" s="152"/>
      <c r="Q80" s="149"/>
      <c r="R80" s="152"/>
      <c r="S80" s="152"/>
      <c r="T80" s="62" t="str">
        <f aca="false">IF(OR($C80="",R80=""),"",IF(R80/IF($R$2="",100,$R$2)&gt;=設定!$I$28,設定!$G$8,IF(R80/IF($R$2="",100,$R$2)&lt;設定!$I$29,設定!$G$10,設定!$G$9)))</f>
        <v/>
      </c>
      <c r="U80" s="62" t="str">
        <f aca="false">IF(OR($C80="",S80=""),"",IF(S80/IF($S$2="",100,$S$2)&gt;=設定!$I$28,設定!$G$8,IF(S80/IF($S$2="",100,$S$2)&lt;設定!$I$29,設定!$G$10,設定!$G$9)))</f>
        <v/>
      </c>
    </row>
    <row r="81" customFormat="false" ht="21" hidden="false" customHeight="true" outlineLevel="0" collapsed="false">
      <c r="A81" s="91" t="str">
        <f aca="false">IF(名簿!$D81="","",名簿!$B81&amp;"")</f>
        <v/>
      </c>
      <c r="B81" s="91" t="str">
        <f aca="false">IF(名簿!$D81="","",名簿!$C81)</f>
        <v/>
      </c>
      <c r="C81" s="59" t="str">
        <f aca="false">IF(名簿!$D81="","",名簿!$D81&amp;IF(名簿!$F81="転出","（転出）",""))</f>
        <v/>
      </c>
      <c r="D81" s="149"/>
      <c r="E81" s="61" t="str">
        <f aca="false">IF(OR($C81="",名簿!$F81="転出"),"",IF($C$2="学級ごと",$A81,IF($C$2="前の単元と同じ",単元10!$E81&amp;"",$D81&amp;"")))</f>
        <v/>
      </c>
      <c r="F81" s="150"/>
      <c r="G81" s="150"/>
      <c r="H81" s="150"/>
      <c r="I81" s="151"/>
      <c r="J81" s="41" t="str">
        <f aca="false">IF($E81="","",$E81&amp;"|"&amp;COUNTIF($E$5:$E81,$E81))</f>
        <v/>
      </c>
      <c r="K81" s="40" t="str">
        <f aca="false">IF($I81="","",LEN($I81))</f>
        <v/>
      </c>
      <c r="L81" s="13"/>
      <c r="M81" s="13"/>
      <c r="N81" s="13"/>
      <c r="O81" s="13"/>
      <c r="P81" s="152"/>
      <c r="Q81" s="149"/>
      <c r="R81" s="152"/>
      <c r="S81" s="152"/>
      <c r="T81" s="62" t="str">
        <f aca="false">IF(OR($C81="",R81=""),"",IF(R81/IF($R$2="",100,$R$2)&gt;=設定!$I$28,設定!$G$8,IF(R81/IF($R$2="",100,$R$2)&lt;設定!$I$29,設定!$G$10,設定!$G$9)))</f>
        <v/>
      </c>
      <c r="U81" s="62" t="str">
        <f aca="false">IF(OR($C81="",S81=""),"",IF(S81/IF($S$2="",100,$S$2)&gt;=設定!$I$28,設定!$G$8,IF(S81/IF($S$2="",100,$S$2)&lt;設定!$I$29,設定!$G$10,設定!$G$9)))</f>
        <v/>
      </c>
    </row>
    <row r="82" customFormat="false" ht="21" hidden="false" customHeight="true" outlineLevel="0" collapsed="false">
      <c r="A82" s="91" t="str">
        <f aca="false">IF(名簿!$D82="","",名簿!$B82&amp;"")</f>
        <v/>
      </c>
      <c r="B82" s="91" t="str">
        <f aca="false">IF(名簿!$D82="","",名簿!$C82)</f>
        <v/>
      </c>
      <c r="C82" s="59" t="str">
        <f aca="false">IF(名簿!$D82="","",名簿!$D82&amp;IF(名簿!$F82="転出","（転出）",""))</f>
        <v/>
      </c>
      <c r="D82" s="149"/>
      <c r="E82" s="61" t="str">
        <f aca="false">IF(OR($C82="",名簿!$F82="転出"),"",IF($C$2="学級ごと",$A82,IF($C$2="前の単元と同じ",単元10!$E82&amp;"",$D82&amp;"")))</f>
        <v/>
      </c>
      <c r="F82" s="150"/>
      <c r="G82" s="150"/>
      <c r="H82" s="150"/>
      <c r="I82" s="151"/>
      <c r="J82" s="41" t="str">
        <f aca="false">IF($E82="","",$E82&amp;"|"&amp;COUNTIF($E$5:$E82,$E82))</f>
        <v/>
      </c>
      <c r="K82" s="40" t="str">
        <f aca="false">IF($I82="","",LEN($I82))</f>
        <v/>
      </c>
      <c r="L82" s="13"/>
      <c r="M82" s="13"/>
      <c r="N82" s="13"/>
      <c r="O82" s="13"/>
      <c r="P82" s="152"/>
      <c r="Q82" s="149"/>
      <c r="R82" s="152"/>
      <c r="S82" s="152"/>
      <c r="T82" s="62" t="str">
        <f aca="false">IF(OR($C82="",R82=""),"",IF(R82/IF($R$2="",100,$R$2)&gt;=設定!$I$28,設定!$G$8,IF(R82/IF($R$2="",100,$R$2)&lt;設定!$I$29,設定!$G$10,設定!$G$9)))</f>
        <v/>
      </c>
      <c r="U82" s="62" t="str">
        <f aca="false">IF(OR($C82="",S82=""),"",IF(S82/IF($S$2="",100,$S$2)&gt;=設定!$I$28,設定!$G$8,IF(S82/IF($S$2="",100,$S$2)&lt;設定!$I$29,設定!$G$10,設定!$G$9)))</f>
        <v/>
      </c>
    </row>
    <row r="83" customFormat="false" ht="21" hidden="false" customHeight="true" outlineLevel="0" collapsed="false">
      <c r="A83" s="91" t="str">
        <f aca="false">IF(名簿!$D83="","",名簿!$B83&amp;"")</f>
        <v/>
      </c>
      <c r="B83" s="91" t="str">
        <f aca="false">IF(名簿!$D83="","",名簿!$C83)</f>
        <v/>
      </c>
      <c r="C83" s="59" t="str">
        <f aca="false">IF(名簿!$D83="","",名簿!$D83&amp;IF(名簿!$F83="転出","（転出）",""))</f>
        <v/>
      </c>
      <c r="D83" s="149"/>
      <c r="E83" s="61" t="str">
        <f aca="false">IF(OR($C83="",名簿!$F83="転出"),"",IF($C$2="学級ごと",$A83,IF($C$2="前の単元と同じ",単元10!$E83&amp;"",$D83&amp;"")))</f>
        <v/>
      </c>
      <c r="F83" s="150"/>
      <c r="G83" s="150"/>
      <c r="H83" s="150"/>
      <c r="I83" s="151"/>
      <c r="J83" s="41" t="str">
        <f aca="false">IF($E83="","",$E83&amp;"|"&amp;COUNTIF($E$5:$E83,$E83))</f>
        <v/>
      </c>
      <c r="K83" s="40" t="str">
        <f aca="false">IF($I83="","",LEN($I83))</f>
        <v/>
      </c>
      <c r="L83" s="13"/>
      <c r="M83" s="13"/>
      <c r="N83" s="13"/>
      <c r="O83" s="13"/>
      <c r="P83" s="152"/>
      <c r="Q83" s="149"/>
      <c r="R83" s="152"/>
      <c r="S83" s="152"/>
      <c r="T83" s="62" t="str">
        <f aca="false">IF(OR($C83="",R83=""),"",IF(R83/IF($R$2="",100,$R$2)&gt;=設定!$I$28,設定!$G$8,IF(R83/IF($R$2="",100,$R$2)&lt;設定!$I$29,設定!$G$10,設定!$G$9)))</f>
        <v/>
      </c>
      <c r="U83" s="62" t="str">
        <f aca="false">IF(OR($C83="",S83=""),"",IF(S83/IF($S$2="",100,$S$2)&gt;=設定!$I$28,設定!$G$8,IF(S83/IF($S$2="",100,$S$2)&lt;設定!$I$29,設定!$G$10,設定!$G$9)))</f>
        <v/>
      </c>
    </row>
    <row r="84" customFormat="false" ht="21" hidden="false" customHeight="true" outlineLevel="0" collapsed="false">
      <c r="A84" s="91" t="str">
        <f aca="false">IF(名簿!$D84="","",名簿!$B84&amp;"")</f>
        <v/>
      </c>
      <c r="B84" s="91" t="str">
        <f aca="false">IF(名簿!$D84="","",名簿!$C84)</f>
        <v/>
      </c>
      <c r="C84" s="59" t="str">
        <f aca="false">IF(名簿!$D84="","",名簿!$D84&amp;IF(名簿!$F84="転出","（転出）",""))</f>
        <v/>
      </c>
      <c r="D84" s="149"/>
      <c r="E84" s="61" t="str">
        <f aca="false">IF(OR($C84="",名簿!$F84="転出"),"",IF($C$2="学級ごと",$A84,IF($C$2="前の単元と同じ",単元10!$E84&amp;"",$D84&amp;"")))</f>
        <v/>
      </c>
      <c r="F84" s="150"/>
      <c r="G84" s="150"/>
      <c r="H84" s="150"/>
      <c r="I84" s="151"/>
      <c r="J84" s="41" t="str">
        <f aca="false">IF($E84="","",$E84&amp;"|"&amp;COUNTIF($E$5:$E84,$E84))</f>
        <v/>
      </c>
      <c r="K84" s="40" t="str">
        <f aca="false">IF($I84="","",LEN($I84))</f>
        <v/>
      </c>
      <c r="L84" s="13"/>
      <c r="M84" s="13"/>
      <c r="N84" s="13"/>
      <c r="O84" s="13"/>
      <c r="P84" s="152"/>
      <c r="Q84" s="149"/>
      <c r="R84" s="152"/>
      <c r="S84" s="152"/>
      <c r="T84" s="62" t="str">
        <f aca="false">IF(OR($C84="",R84=""),"",IF(R84/IF($R$2="",100,$R$2)&gt;=設定!$I$28,設定!$G$8,IF(R84/IF($R$2="",100,$R$2)&lt;設定!$I$29,設定!$G$10,設定!$G$9)))</f>
        <v/>
      </c>
      <c r="U84" s="62" t="str">
        <f aca="false">IF(OR($C84="",S84=""),"",IF(S84/IF($S$2="",100,$S$2)&gt;=設定!$I$28,設定!$G$8,IF(S84/IF($S$2="",100,$S$2)&lt;設定!$I$29,設定!$G$10,設定!$G$9)))</f>
        <v/>
      </c>
    </row>
    <row r="85" customFormat="false" ht="21" hidden="false" customHeight="true" outlineLevel="0" collapsed="false">
      <c r="A85" s="91" t="str">
        <f aca="false">IF(名簿!$D85="","",名簿!$B85&amp;"")</f>
        <v/>
      </c>
      <c r="B85" s="91" t="str">
        <f aca="false">IF(名簿!$D85="","",名簿!$C85)</f>
        <v/>
      </c>
      <c r="C85" s="59" t="str">
        <f aca="false">IF(名簿!$D85="","",名簿!$D85&amp;IF(名簿!$F85="転出","（転出）",""))</f>
        <v/>
      </c>
      <c r="D85" s="149"/>
      <c r="E85" s="61" t="str">
        <f aca="false">IF(OR($C85="",名簿!$F85="転出"),"",IF($C$2="学級ごと",$A85,IF($C$2="前の単元と同じ",単元10!$E85&amp;"",$D85&amp;"")))</f>
        <v/>
      </c>
      <c r="F85" s="150"/>
      <c r="G85" s="150"/>
      <c r="H85" s="150"/>
      <c r="I85" s="151"/>
      <c r="J85" s="41" t="str">
        <f aca="false">IF($E85="","",$E85&amp;"|"&amp;COUNTIF($E$5:$E85,$E85))</f>
        <v/>
      </c>
      <c r="K85" s="40" t="str">
        <f aca="false">IF($I85="","",LEN($I85))</f>
        <v/>
      </c>
      <c r="L85" s="13"/>
      <c r="M85" s="13"/>
      <c r="N85" s="13"/>
      <c r="O85" s="13"/>
      <c r="P85" s="152"/>
      <c r="Q85" s="149"/>
      <c r="R85" s="152"/>
      <c r="S85" s="152"/>
      <c r="T85" s="62" t="str">
        <f aca="false">IF(OR($C85="",R85=""),"",IF(R85/IF($R$2="",100,$R$2)&gt;=設定!$I$28,設定!$G$8,IF(R85/IF($R$2="",100,$R$2)&lt;設定!$I$29,設定!$G$10,設定!$G$9)))</f>
        <v/>
      </c>
      <c r="U85" s="62" t="str">
        <f aca="false">IF(OR($C85="",S85=""),"",IF(S85/IF($S$2="",100,$S$2)&gt;=設定!$I$28,設定!$G$8,IF(S85/IF($S$2="",100,$S$2)&lt;設定!$I$29,設定!$G$10,設定!$G$9)))</f>
        <v/>
      </c>
    </row>
    <row r="86" customFormat="false" ht="21" hidden="false" customHeight="true" outlineLevel="0" collapsed="false">
      <c r="A86" s="91" t="str">
        <f aca="false">IF(名簿!$D86="","",名簿!$B86&amp;"")</f>
        <v/>
      </c>
      <c r="B86" s="91" t="str">
        <f aca="false">IF(名簿!$D86="","",名簿!$C86)</f>
        <v/>
      </c>
      <c r="C86" s="59" t="str">
        <f aca="false">IF(名簿!$D86="","",名簿!$D86&amp;IF(名簿!$F86="転出","（転出）",""))</f>
        <v/>
      </c>
      <c r="D86" s="149"/>
      <c r="E86" s="61" t="str">
        <f aca="false">IF(OR($C86="",名簿!$F86="転出"),"",IF($C$2="学級ごと",$A86,IF($C$2="前の単元と同じ",単元10!$E86&amp;"",$D86&amp;"")))</f>
        <v/>
      </c>
      <c r="F86" s="150"/>
      <c r="G86" s="150"/>
      <c r="H86" s="150"/>
      <c r="I86" s="151"/>
      <c r="J86" s="41" t="str">
        <f aca="false">IF($E86="","",$E86&amp;"|"&amp;COUNTIF($E$5:$E86,$E86))</f>
        <v/>
      </c>
      <c r="K86" s="40" t="str">
        <f aca="false">IF($I86="","",LEN($I86))</f>
        <v/>
      </c>
      <c r="L86" s="13"/>
      <c r="M86" s="13"/>
      <c r="N86" s="13"/>
      <c r="O86" s="13"/>
      <c r="P86" s="152"/>
      <c r="Q86" s="149"/>
      <c r="R86" s="152"/>
      <c r="S86" s="152"/>
      <c r="T86" s="62" t="str">
        <f aca="false">IF(OR($C86="",R86=""),"",IF(R86/IF($R$2="",100,$R$2)&gt;=設定!$I$28,設定!$G$8,IF(R86/IF($R$2="",100,$R$2)&lt;設定!$I$29,設定!$G$10,設定!$G$9)))</f>
        <v/>
      </c>
      <c r="U86" s="62" t="str">
        <f aca="false">IF(OR($C86="",S86=""),"",IF(S86/IF($S$2="",100,$S$2)&gt;=設定!$I$28,設定!$G$8,IF(S86/IF($S$2="",100,$S$2)&lt;設定!$I$29,設定!$G$10,設定!$G$9)))</f>
        <v/>
      </c>
    </row>
    <row r="87" customFormat="false" ht="21" hidden="false" customHeight="true" outlineLevel="0" collapsed="false">
      <c r="A87" s="91" t="str">
        <f aca="false">IF(名簿!$D87="","",名簿!$B87&amp;"")</f>
        <v/>
      </c>
      <c r="B87" s="91" t="str">
        <f aca="false">IF(名簿!$D87="","",名簿!$C87)</f>
        <v/>
      </c>
      <c r="C87" s="59" t="str">
        <f aca="false">IF(名簿!$D87="","",名簿!$D87&amp;IF(名簿!$F87="転出","（転出）",""))</f>
        <v/>
      </c>
      <c r="D87" s="149"/>
      <c r="E87" s="61" t="str">
        <f aca="false">IF(OR($C87="",名簿!$F87="転出"),"",IF($C$2="学級ごと",$A87,IF($C$2="前の単元と同じ",単元10!$E87&amp;"",$D87&amp;"")))</f>
        <v/>
      </c>
      <c r="F87" s="150"/>
      <c r="G87" s="150"/>
      <c r="H87" s="150"/>
      <c r="I87" s="151"/>
      <c r="J87" s="41" t="str">
        <f aca="false">IF($E87="","",$E87&amp;"|"&amp;COUNTIF($E$5:$E87,$E87))</f>
        <v/>
      </c>
      <c r="K87" s="40" t="str">
        <f aca="false">IF($I87="","",LEN($I87))</f>
        <v/>
      </c>
      <c r="L87" s="13"/>
      <c r="M87" s="13"/>
      <c r="N87" s="13"/>
      <c r="O87" s="13"/>
      <c r="P87" s="152"/>
      <c r="Q87" s="149"/>
      <c r="R87" s="152"/>
      <c r="S87" s="152"/>
      <c r="T87" s="62" t="str">
        <f aca="false">IF(OR($C87="",R87=""),"",IF(R87/IF($R$2="",100,$R$2)&gt;=設定!$I$28,設定!$G$8,IF(R87/IF($R$2="",100,$R$2)&lt;設定!$I$29,設定!$G$10,設定!$G$9)))</f>
        <v/>
      </c>
      <c r="U87" s="62" t="str">
        <f aca="false">IF(OR($C87="",S87=""),"",IF(S87/IF($S$2="",100,$S$2)&gt;=設定!$I$28,設定!$G$8,IF(S87/IF($S$2="",100,$S$2)&lt;設定!$I$29,設定!$G$10,設定!$G$9)))</f>
        <v/>
      </c>
    </row>
    <row r="88" customFormat="false" ht="21" hidden="false" customHeight="true" outlineLevel="0" collapsed="false">
      <c r="A88" s="91" t="str">
        <f aca="false">IF(名簿!$D88="","",名簿!$B88&amp;"")</f>
        <v/>
      </c>
      <c r="B88" s="91" t="str">
        <f aca="false">IF(名簿!$D88="","",名簿!$C88)</f>
        <v/>
      </c>
      <c r="C88" s="59" t="str">
        <f aca="false">IF(名簿!$D88="","",名簿!$D88&amp;IF(名簿!$F88="転出","（転出）",""))</f>
        <v/>
      </c>
      <c r="D88" s="149"/>
      <c r="E88" s="61" t="str">
        <f aca="false">IF(OR($C88="",名簿!$F88="転出"),"",IF($C$2="学級ごと",$A88,IF($C$2="前の単元と同じ",単元10!$E88&amp;"",$D88&amp;"")))</f>
        <v/>
      </c>
      <c r="F88" s="150"/>
      <c r="G88" s="150"/>
      <c r="H88" s="150"/>
      <c r="I88" s="151"/>
      <c r="J88" s="41" t="str">
        <f aca="false">IF($E88="","",$E88&amp;"|"&amp;COUNTIF($E$5:$E88,$E88))</f>
        <v/>
      </c>
      <c r="K88" s="40" t="str">
        <f aca="false">IF($I88="","",LEN($I88))</f>
        <v/>
      </c>
      <c r="L88" s="13"/>
      <c r="M88" s="13"/>
      <c r="N88" s="13"/>
      <c r="O88" s="13"/>
      <c r="P88" s="152"/>
      <c r="Q88" s="149"/>
      <c r="R88" s="152"/>
      <c r="S88" s="152"/>
      <c r="T88" s="62" t="str">
        <f aca="false">IF(OR($C88="",R88=""),"",IF(R88/IF($R$2="",100,$R$2)&gt;=設定!$I$28,設定!$G$8,IF(R88/IF($R$2="",100,$R$2)&lt;設定!$I$29,設定!$G$10,設定!$G$9)))</f>
        <v/>
      </c>
      <c r="U88" s="62" t="str">
        <f aca="false">IF(OR($C88="",S88=""),"",IF(S88/IF($S$2="",100,$S$2)&gt;=設定!$I$28,設定!$G$8,IF(S88/IF($S$2="",100,$S$2)&lt;設定!$I$29,設定!$G$10,設定!$G$9)))</f>
        <v/>
      </c>
    </row>
    <row r="89" customFormat="false" ht="21" hidden="false" customHeight="true" outlineLevel="0" collapsed="false">
      <c r="A89" s="91" t="str">
        <f aca="false">IF(名簿!$D89="","",名簿!$B89&amp;"")</f>
        <v/>
      </c>
      <c r="B89" s="91" t="str">
        <f aca="false">IF(名簿!$D89="","",名簿!$C89)</f>
        <v/>
      </c>
      <c r="C89" s="59" t="str">
        <f aca="false">IF(名簿!$D89="","",名簿!$D89&amp;IF(名簿!$F89="転出","（転出）",""))</f>
        <v/>
      </c>
      <c r="D89" s="149"/>
      <c r="E89" s="61" t="str">
        <f aca="false">IF(OR($C89="",名簿!$F89="転出"),"",IF($C$2="学級ごと",$A89,IF($C$2="前の単元と同じ",単元10!$E89&amp;"",$D89&amp;"")))</f>
        <v/>
      </c>
      <c r="F89" s="150"/>
      <c r="G89" s="150"/>
      <c r="H89" s="150"/>
      <c r="I89" s="151"/>
      <c r="J89" s="41" t="str">
        <f aca="false">IF($E89="","",$E89&amp;"|"&amp;COUNTIF($E$5:$E89,$E89))</f>
        <v/>
      </c>
      <c r="K89" s="40" t="str">
        <f aca="false">IF($I89="","",LEN($I89))</f>
        <v/>
      </c>
      <c r="L89" s="13"/>
      <c r="M89" s="13"/>
      <c r="N89" s="13"/>
      <c r="O89" s="13"/>
      <c r="P89" s="152"/>
      <c r="Q89" s="149"/>
      <c r="R89" s="152"/>
      <c r="S89" s="152"/>
      <c r="T89" s="62" t="str">
        <f aca="false">IF(OR($C89="",R89=""),"",IF(R89/IF($R$2="",100,$R$2)&gt;=設定!$I$28,設定!$G$8,IF(R89/IF($R$2="",100,$R$2)&lt;設定!$I$29,設定!$G$10,設定!$G$9)))</f>
        <v/>
      </c>
      <c r="U89" s="62" t="str">
        <f aca="false">IF(OR($C89="",S89=""),"",IF(S89/IF($S$2="",100,$S$2)&gt;=設定!$I$28,設定!$G$8,IF(S89/IF($S$2="",100,$S$2)&lt;設定!$I$29,設定!$G$10,設定!$G$9)))</f>
        <v/>
      </c>
    </row>
    <row r="90" customFormat="false" ht="21" hidden="false" customHeight="true" outlineLevel="0" collapsed="false">
      <c r="A90" s="91" t="str">
        <f aca="false">IF(名簿!$D90="","",名簿!$B90&amp;"")</f>
        <v/>
      </c>
      <c r="B90" s="91" t="str">
        <f aca="false">IF(名簿!$D90="","",名簿!$C90)</f>
        <v/>
      </c>
      <c r="C90" s="59" t="str">
        <f aca="false">IF(名簿!$D90="","",名簿!$D90&amp;IF(名簿!$F90="転出","（転出）",""))</f>
        <v/>
      </c>
      <c r="D90" s="149"/>
      <c r="E90" s="61" t="str">
        <f aca="false">IF(OR($C90="",名簿!$F90="転出"),"",IF($C$2="学級ごと",$A90,IF($C$2="前の単元と同じ",単元10!$E90&amp;"",$D90&amp;"")))</f>
        <v/>
      </c>
      <c r="F90" s="150"/>
      <c r="G90" s="150"/>
      <c r="H90" s="150"/>
      <c r="I90" s="151"/>
      <c r="J90" s="41" t="str">
        <f aca="false">IF($E90="","",$E90&amp;"|"&amp;COUNTIF($E$5:$E90,$E90))</f>
        <v/>
      </c>
      <c r="K90" s="40" t="str">
        <f aca="false">IF($I90="","",LEN($I90))</f>
        <v/>
      </c>
      <c r="L90" s="13"/>
      <c r="M90" s="13"/>
      <c r="N90" s="13"/>
      <c r="O90" s="13"/>
      <c r="P90" s="152"/>
      <c r="Q90" s="149"/>
      <c r="R90" s="152"/>
      <c r="S90" s="152"/>
      <c r="T90" s="62" t="str">
        <f aca="false">IF(OR($C90="",R90=""),"",IF(R90/IF($R$2="",100,$R$2)&gt;=設定!$I$28,設定!$G$8,IF(R90/IF($R$2="",100,$R$2)&lt;設定!$I$29,設定!$G$10,設定!$G$9)))</f>
        <v/>
      </c>
      <c r="U90" s="62" t="str">
        <f aca="false">IF(OR($C90="",S90=""),"",IF(S90/IF($S$2="",100,$S$2)&gt;=設定!$I$28,設定!$G$8,IF(S90/IF($S$2="",100,$S$2)&lt;設定!$I$29,設定!$G$10,設定!$G$9)))</f>
        <v/>
      </c>
    </row>
    <row r="91" customFormat="false" ht="21" hidden="false" customHeight="true" outlineLevel="0" collapsed="false">
      <c r="A91" s="91" t="str">
        <f aca="false">IF(名簿!$D91="","",名簿!$B91&amp;"")</f>
        <v/>
      </c>
      <c r="B91" s="91" t="str">
        <f aca="false">IF(名簿!$D91="","",名簿!$C91)</f>
        <v/>
      </c>
      <c r="C91" s="59" t="str">
        <f aca="false">IF(名簿!$D91="","",名簿!$D91&amp;IF(名簿!$F91="転出","（転出）",""))</f>
        <v/>
      </c>
      <c r="D91" s="149"/>
      <c r="E91" s="61" t="str">
        <f aca="false">IF(OR($C91="",名簿!$F91="転出"),"",IF($C$2="学級ごと",$A91,IF($C$2="前の単元と同じ",単元10!$E91&amp;"",$D91&amp;"")))</f>
        <v/>
      </c>
      <c r="F91" s="150"/>
      <c r="G91" s="150"/>
      <c r="H91" s="150"/>
      <c r="I91" s="151"/>
      <c r="J91" s="41" t="str">
        <f aca="false">IF($E91="","",$E91&amp;"|"&amp;COUNTIF($E$5:$E91,$E91))</f>
        <v/>
      </c>
      <c r="K91" s="40" t="str">
        <f aca="false">IF($I91="","",LEN($I91))</f>
        <v/>
      </c>
      <c r="L91" s="13"/>
      <c r="M91" s="13"/>
      <c r="N91" s="13"/>
      <c r="O91" s="13"/>
      <c r="P91" s="152"/>
      <c r="Q91" s="149"/>
      <c r="R91" s="152"/>
      <c r="S91" s="152"/>
      <c r="T91" s="62" t="str">
        <f aca="false">IF(OR($C91="",R91=""),"",IF(R91/IF($R$2="",100,$R$2)&gt;=設定!$I$28,設定!$G$8,IF(R91/IF($R$2="",100,$R$2)&lt;設定!$I$29,設定!$G$10,設定!$G$9)))</f>
        <v/>
      </c>
      <c r="U91" s="62" t="str">
        <f aca="false">IF(OR($C91="",S91=""),"",IF(S91/IF($S$2="",100,$S$2)&gt;=設定!$I$28,設定!$G$8,IF(S91/IF($S$2="",100,$S$2)&lt;設定!$I$29,設定!$G$10,設定!$G$9)))</f>
        <v/>
      </c>
    </row>
    <row r="92" customFormat="false" ht="21" hidden="false" customHeight="true" outlineLevel="0" collapsed="false">
      <c r="A92" s="91" t="str">
        <f aca="false">IF(名簿!$D92="","",名簿!$B92&amp;"")</f>
        <v/>
      </c>
      <c r="B92" s="91" t="str">
        <f aca="false">IF(名簿!$D92="","",名簿!$C92)</f>
        <v/>
      </c>
      <c r="C92" s="59" t="str">
        <f aca="false">IF(名簿!$D92="","",名簿!$D92&amp;IF(名簿!$F92="転出","（転出）",""))</f>
        <v/>
      </c>
      <c r="D92" s="149"/>
      <c r="E92" s="61" t="str">
        <f aca="false">IF(OR($C92="",名簿!$F92="転出"),"",IF($C$2="学級ごと",$A92,IF($C$2="前の単元と同じ",単元10!$E92&amp;"",$D92&amp;"")))</f>
        <v/>
      </c>
      <c r="F92" s="150"/>
      <c r="G92" s="150"/>
      <c r="H92" s="150"/>
      <c r="I92" s="151"/>
      <c r="J92" s="41" t="str">
        <f aca="false">IF($E92="","",$E92&amp;"|"&amp;COUNTIF($E$5:$E92,$E92))</f>
        <v/>
      </c>
      <c r="K92" s="40" t="str">
        <f aca="false">IF($I92="","",LEN($I92))</f>
        <v/>
      </c>
      <c r="L92" s="13"/>
      <c r="M92" s="13"/>
      <c r="N92" s="13"/>
      <c r="O92" s="13"/>
      <c r="P92" s="152"/>
      <c r="Q92" s="149"/>
      <c r="R92" s="152"/>
      <c r="S92" s="152"/>
      <c r="T92" s="62" t="str">
        <f aca="false">IF(OR($C92="",R92=""),"",IF(R92/IF($R$2="",100,$R$2)&gt;=設定!$I$28,設定!$G$8,IF(R92/IF($R$2="",100,$R$2)&lt;設定!$I$29,設定!$G$10,設定!$G$9)))</f>
        <v/>
      </c>
      <c r="U92" s="62" t="str">
        <f aca="false">IF(OR($C92="",S92=""),"",IF(S92/IF($S$2="",100,$S$2)&gt;=設定!$I$28,設定!$G$8,IF(S92/IF($S$2="",100,$S$2)&lt;設定!$I$29,設定!$G$10,設定!$G$9)))</f>
        <v/>
      </c>
    </row>
    <row r="93" customFormat="false" ht="21" hidden="false" customHeight="true" outlineLevel="0" collapsed="false">
      <c r="A93" s="91" t="str">
        <f aca="false">IF(名簿!$D93="","",名簿!$B93&amp;"")</f>
        <v/>
      </c>
      <c r="B93" s="91" t="str">
        <f aca="false">IF(名簿!$D93="","",名簿!$C93)</f>
        <v/>
      </c>
      <c r="C93" s="59" t="str">
        <f aca="false">IF(名簿!$D93="","",名簿!$D93&amp;IF(名簿!$F93="転出","（転出）",""))</f>
        <v/>
      </c>
      <c r="D93" s="149"/>
      <c r="E93" s="61" t="str">
        <f aca="false">IF(OR($C93="",名簿!$F93="転出"),"",IF($C$2="学級ごと",$A93,IF($C$2="前の単元と同じ",単元10!$E93&amp;"",$D93&amp;"")))</f>
        <v/>
      </c>
      <c r="F93" s="150"/>
      <c r="G93" s="150"/>
      <c r="H93" s="150"/>
      <c r="I93" s="151"/>
      <c r="J93" s="41" t="str">
        <f aca="false">IF($E93="","",$E93&amp;"|"&amp;COUNTIF($E$5:$E93,$E93))</f>
        <v/>
      </c>
      <c r="K93" s="40" t="str">
        <f aca="false">IF($I93="","",LEN($I93))</f>
        <v/>
      </c>
      <c r="L93" s="13"/>
      <c r="M93" s="13"/>
      <c r="N93" s="13"/>
      <c r="O93" s="13"/>
      <c r="P93" s="152"/>
      <c r="Q93" s="149"/>
      <c r="R93" s="152"/>
      <c r="S93" s="152"/>
      <c r="T93" s="62" t="str">
        <f aca="false">IF(OR($C93="",R93=""),"",IF(R93/IF($R$2="",100,$R$2)&gt;=設定!$I$28,設定!$G$8,IF(R93/IF($R$2="",100,$R$2)&lt;設定!$I$29,設定!$G$10,設定!$G$9)))</f>
        <v/>
      </c>
      <c r="U93" s="62" t="str">
        <f aca="false">IF(OR($C93="",S93=""),"",IF(S93/IF($S$2="",100,$S$2)&gt;=設定!$I$28,設定!$G$8,IF(S93/IF($S$2="",100,$S$2)&lt;設定!$I$29,設定!$G$10,設定!$G$9)))</f>
        <v/>
      </c>
    </row>
    <row r="94" customFormat="false" ht="21" hidden="false" customHeight="true" outlineLevel="0" collapsed="false">
      <c r="A94" s="91" t="str">
        <f aca="false">IF(名簿!$D94="","",名簿!$B94&amp;"")</f>
        <v/>
      </c>
      <c r="B94" s="91" t="str">
        <f aca="false">IF(名簿!$D94="","",名簿!$C94)</f>
        <v/>
      </c>
      <c r="C94" s="59" t="str">
        <f aca="false">IF(名簿!$D94="","",名簿!$D94&amp;IF(名簿!$F94="転出","（転出）",""))</f>
        <v/>
      </c>
      <c r="D94" s="149"/>
      <c r="E94" s="61" t="str">
        <f aca="false">IF(OR($C94="",名簿!$F94="転出"),"",IF($C$2="学級ごと",$A94,IF($C$2="前の単元と同じ",単元10!$E94&amp;"",$D94&amp;"")))</f>
        <v/>
      </c>
      <c r="F94" s="150"/>
      <c r="G94" s="150"/>
      <c r="H94" s="150"/>
      <c r="I94" s="151"/>
      <c r="J94" s="41" t="str">
        <f aca="false">IF($E94="","",$E94&amp;"|"&amp;COUNTIF($E$5:$E94,$E94))</f>
        <v/>
      </c>
      <c r="K94" s="40" t="str">
        <f aca="false">IF($I94="","",LEN($I94))</f>
        <v/>
      </c>
      <c r="L94" s="13"/>
      <c r="M94" s="13"/>
      <c r="N94" s="13"/>
      <c r="O94" s="13"/>
      <c r="P94" s="152"/>
      <c r="Q94" s="149"/>
      <c r="R94" s="152"/>
      <c r="S94" s="152"/>
      <c r="T94" s="62" t="str">
        <f aca="false">IF(OR($C94="",R94=""),"",IF(R94/IF($R$2="",100,$R$2)&gt;=設定!$I$28,設定!$G$8,IF(R94/IF($R$2="",100,$R$2)&lt;設定!$I$29,設定!$G$10,設定!$G$9)))</f>
        <v/>
      </c>
      <c r="U94" s="62" t="str">
        <f aca="false">IF(OR($C94="",S94=""),"",IF(S94/IF($S$2="",100,$S$2)&gt;=設定!$I$28,設定!$G$8,IF(S94/IF($S$2="",100,$S$2)&lt;設定!$I$29,設定!$G$10,設定!$G$9)))</f>
        <v/>
      </c>
    </row>
    <row r="95" customFormat="false" ht="21" hidden="false" customHeight="true" outlineLevel="0" collapsed="false">
      <c r="A95" s="91" t="str">
        <f aca="false">IF(名簿!$D95="","",名簿!$B95&amp;"")</f>
        <v/>
      </c>
      <c r="B95" s="91" t="str">
        <f aca="false">IF(名簿!$D95="","",名簿!$C95)</f>
        <v/>
      </c>
      <c r="C95" s="59" t="str">
        <f aca="false">IF(名簿!$D95="","",名簿!$D95&amp;IF(名簿!$F95="転出","（転出）",""))</f>
        <v/>
      </c>
      <c r="D95" s="149"/>
      <c r="E95" s="61" t="str">
        <f aca="false">IF(OR($C95="",名簿!$F95="転出"),"",IF($C$2="学級ごと",$A95,IF($C$2="前の単元と同じ",単元10!$E95&amp;"",$D95&amp;"")))</f>
        <v/>
      </c>
      <c r="F95" s="150"/>
      <c r="G95" s="150"/>
      <c r="H95" s="150"/>
      <c r="I95" s="151"/>
      <c r="J95" s="41" t="str">
        <f aca="false">IF($E95="","",$E95&amp;"|"&amp;COUNTIF($E$5:$E95,$E95))</f>
        <v/>
      </c>
      <c r="K95" s="40" t="str">
        <f aca="false">IF($I95="","",LEN($I95))</f>
        <v/>
      </c>
      <c r="L95" s="13"/>
      <c r="M95" s="13"/>
      <c r="N95" s="13"/>
      <c r="O95" s="13"/>
      <c r="P95" s="152"/>
      <c r="Q95" s="149"/>
      <c r="R95" s="152"/>
      <c r="S95" s="152"/>
      <c r="T95" s="62" t="str">
        <f aca="false">IF(OR($C95="",R95=""),"",IF(R95/IF($R$2="",100,$R$2)&gt;=設定!$I$28,設定!$G$8,IF(R95/IF($R$2="",100,$R$2)&lt;設定!$I$29,設定!$G$10,設定!$G$9)))</f>
        <v/>
      </c>
      <c r="U95" s="62" t="str">
        <f aca="false">IF(OR($C95="",S95=""),"",IF(S95/IF($S$2="",100,$S$2)&gt;=設定!$I$28,設定!$G$8,IF(S95/IF($S$2="",100,$S$2)&lt;設定!$I$29,設定!$G$10,設定!$G$9)))</f>
        <v/>
      </c>
    </row>
    <row r="96" customFormat="false" ht="21" hidden="false" customHeight="true" outlineLevel="0" collapsed="false">
      <c r="A96" s="91" t="str">
        <f aca="false">IF(名簿!$D96="","",名簿!$B96&amp;"")</f>
        <v/>
      </c>
      <c r="B96" s="91" t="str">
        <f aca="false">IF(名簿!$D96="","",名簿!$C96)</f>
        <v/>
      </c>
      <c r="C96" s="59" t="str">
        <f aca="false">IF(名簿!$D96="","",名簿!$D96&amp;IF(名簿!$F96="転出","（転出）",""))</f>
        <v/>
      </c>
      <c r="D96" s="149"/>
      <c r="E96" s="61" t="str">
        <f aca="false">IF(OR($C96="",名簿!$F96="転出"),"",IF($C$2="学級ごと",$A96,IF($C$2="前の単元と同じ",単元10!$E96&amp;"",$D96&amp;"")))</f>
        <v/>
      </c>
      <c r="F96" s="150"/>
      <c r="G96" s="150"/>
      <c r="H96" s="150"/>
      <c r="I96" s="151"/>
      <c r="J96" s="41" t="str">
        <f aca="false">IF($E96="","",$E96&amp;"|"&amp;COUNTIF($E$5:$E96,$E96))</f>
        <v/>
      </c>
      <c r="K96" s="40" t="str">
        <f aca="false">IF($I96="","",LEN($I96))</f>
        <v/>
      </c>
      <c r="L96" s="13"/>
      <c r="M96" s="13"/>
      <c r="N96" s="13"/>
      <c r="O96" s="13"/>
      <c r="P96" s="152"/>
      <c r="Q96" s="149"/>
      <c r="R96" s="152"/>
      <c r="S96" s="152"/>
      <c r="T96" s="62" t="str">
        <f aca="false">IF(OR($C96="",R96=""),"",IF(R96/IF($R$2="",100,$R$2)&gt;=設定!$I$28,設定!$G$8,IF(R96/IF($R$2="",100,$R$2)&lt;設定!$I$29,設定!$G$10,設定!$G$9)))</f>
        <v/>
      </c>
      <c r="U96" s="62" t="str">
        <f aca="false">IF(OR($C96="",S96=""),"",IF(S96/IF($S$2="",100,$S$2)&gt;=設定!$I$28,設定!$G$8,IF(S96/IF($S$2="",100,$S$2)&lt;設定!$I$29,設定!$G$10,設定!$G$9)))</f>
        <v/>
      </c>
    </row>
    <row r="97" customFormat="false" ht="21" hidden="false" customHeight="true" outlineLevel="0" collapsed="false">
      <c r="A97" s="91" t="str">
        <f aca="false">IF(名簿!$D97="","",名簿!$B97&amp;"")</f>
        <v/>
      </c>
      <c r="B97" s="91" t="str">
        <f aca="false">IF(名簿!$D97="","",名簿!$C97)</f>
        <v/>
      </c>
      <c r="C97" s="59" t="str">
        <f aca="false">IF(名簿!$D97="","",名簿!$D97&amp;IF(名簿!$F97="転出","（転出）",""))</f>
        <v/>
      </c>
      <c r="D97" s="149"/>
      <c r="E97" s="61" t="str">
        <f aca="false">IF(OR($C97="",名簿!$F97="転出"),"",IF($C$2="学級ごと",$A97,IF($C$2="前の単元と同じ",単元10!$E97&amp;"",$D97&amp;"")))</f>
        <v/>
      </c>
      <c r="F97" s="150"/>
      <c r="G97" s="150"/>
      <c r="H97" s="150"/>
      <c r="I97" s="151"/>
      <c r="J97" s="41" t="str">
        <f aca="false">IF($E97="","",$E97&amp;"|"&amp;COUNTIF($E$5:$E97,$E97))</f>
        <v/>
      </c>
      <c r="K97" s="40" t="str">
        <f aca="false">IF($I97="","",LEN($I97))</f>
        <v/>
      </c>
      <c r="L97" s="13"/>
      <c r="M97" s="13"/>
      <c r="N97" s="13"/>
      <c r="O97" s="13"/>
      <c r="P97" s="152"/>
      <c r="Q97" s="149"/>
      <c r="R97" s="152"/>
      <c r="S97" s="152"/>
      <c r="T97" s="62" t="str">
        <f aca="false">IF(OR($C97="",R97=""),"",IF(R97/IF($R$2="",100,$R$2)&gt;=設定!$I$28,設定!$G$8,IF(R97/IF($R$2="",100,$R$2)&lt;設定!$I$29,設定!$G$10,設定!$G$9)))</f>
        <v/>
      </c>
      <c r="U97" s="62" t="str">
        <f aca="false">IF(OR($C97="",S97=""),"",IF(S97/IF($S$2="",100,$S$2)&gt;=設定!$I$28,設定!$G$8,IF(S97/IF($S$2="",100,$S$2)&lt;設定!$I$29,設定!$G$10,設定!$G$9)))</f>
        <v/>
      </c>
    </row>
    <row r="98" customFormat="false" ht="21" hidden="false" customHeight="true" outlineLevel="0" collapsed="false">
      <c r="A98" s="91" t="str">
        <f aca="false">IF(名簿!$D98="","",名簿!$B98&amp;"")</f>
        <v/>
      </c>
      <c r="B98" s="91" t="str">
        <f aca="false">IF(名簿!$D98="","",名簿!$C98)</f>
        <v/>
      </c>
      <c r="C98" s="59" t="str">
        <f aca="false">IF(名簿!$D98="","",名簿!$D98&amp;IF(名簿!$F98="転出","（転出）",""))</f>
        <v/>
      </c>
      <c r="D98" s="149"/>
      <c r="E98" s="61" t="str">
        <f aca="false">IF(OR($C98="",名簿!$F98="転出"),"",IF($C$2="学級ごと",$A98,IF($C$2="前の単元と同じ",単元10!$E98&amp;"",$D98&amp;"")))</f>
        <v/>
      </c>
      <c r="F98" s="150"/>
      <c r="G98" s="150"/>
      <c r="H98" s="150"/>
      <c r="I98" s="151"/>
      <c r="J98" s="41" t="str">
        <f aca="false">IF($E98="","",$E98&amp;"|"&amp;COUNTIF($E$5:$E98,$E98))</f>
        <v/>
      </c>
      <c r="K98" s="40" t="str">
        <f aca="false">IF($I98="","",LEN($I98))</f>
        <v/>
      </c>
      <c r="L98" s="13"/>
      <c r="M98" s="13"/>
      <c r="N98" s="13"/>
      <c r="O98" s="13"/>
      <c r="P98" s="152"/>
      <c r="Q98" s="149"/>
      <c r="R98" s="152"/>
      <c r="S98" s="152"/>
      <c r="T98" s="62" t="str">
        <f aca="false">IF(OR($C98="",R98=""),"",IF(R98/IF($R$2="",100,$R$2)&gt;=設定!$I$28,設定!$G$8,IF(R98/IF($R$2="",100,$R$2)&lt;設定!$I$29,設定!$G$10,設定!$G$9)))</f>
        <v/>
      </c>
      <c r="U98" s="62" t="str">
        <f aca="false">IF(OR($C98="",S98=""),"",IF(S98/IF($S$2="",100,$S$2)&gt;=設定!$I$28,設定!$G$8,IF(S98/IF($S$2="",100,$S$2)&lt;設定!$I$29,設定!$G$10,設定!$G$9)))</f>
        <v/>
      </c>
    </row>
    <row r="99" customFormat="false" ht="21" hidden="false" customHeight="true" outlineLevel="0" collapsed="false">
      <c r="A99" s="91" t="str">
        <f aca="false">IF(名簿!$D99="","",名簿!$B99&amp;"")</f>
        <v/>
      </c>
      <c r="B99" s="91" t="str">
        <f aca="false">IF(名簿!$D99="","",名簿!$C99)</f>
        <v/>
      </c>
      <c r="C99" s="59" t="str">
        <f aca="false">IF(名簿!$D99="","",名簿!$D99&amp;IF(名簿!$F99="転出","（転出）",""))</f>
        <v/>
      </c>
      <c r="D99" s="149"/>
      <c r="E99" s="61" t="str">
        <f aca="false">IF(OR($C99="",名簿!$F99="転出"),"",IF($C$2="学級ごと",$A99,IF($C$2="前の単元と同じ",単元10!$E99&amp;"",$D99&amp;"")))</f>
        <v/>
      </c>
      <c r="F99" s="150"/>
      <c r="G99" s="150"/>
      <c r="H99" s="150"/>
      <c r="I99" s="151"/>
      <c r="J99" s="41" t="str">
        <f aca="false">IF($E99="","",$E99&amp;"|"&amp;COUNTIF($E$5:$E99,$E99))</f>
        <v/>
      </c>
      <c r="K99" s="40" t="str">
        <f aca="false">IF($I99="","",LEN($I99))</f>
        <v/>
      </c>
      <c r="L99" s="13"/>
      <c r="M99" s="13"/>
      <c r="N99" s="13"/>
      <c r="O99" s="13"/>
      <c r="P99" s="152"/>
      <c r="Q99" s="149"/>
      <c r="R99" s="152"/>
      <c r="S99" s="152"/>
      <c r="T99" s="62" t="str">
        <f aca="false">IF(OR($C99="",R99=""),"",IF(R99/IF($R$2="",100,$R$2)&gt;=設定!$I$28,設定!$G$8,IF(R99/IF($R$2="",100,$R$2)&lt;設定!$I$29,設定!$G$10,設定!$G$9)))</f>
        <v/>
      </c>
      <c r="U99" s="62" t="str">
        <f aca="false">IF(OR($C99="",S99=""),"",IF(S99/IF($S$2="",100,$S$2)&gt;=設定!$I$28,設定!$G$8,IF(S99/IF($S$2="",100,$S$2)&lt;設定!$I$29,設定!$G$10,設定!$G$9)))</f>
        <v/>
      </c>
    </row>
    <row r="100" customFormat="false" ht="21" hidden="false" customHeight="true" outlineLevel="0" collapsed="false">
      <c r="A100" s="91" t="str">
        <f aca="false">IF(名簿!$D100="","",名簿!$B100&amp;"")</f>
        <v/>
      </c>
      <c r="B100" s="91" t="str">
        <f aca="false">IF(名簿!$D100="","",名簿!$C100)</f>
        <v/>
      </c>
      <c r="C100" s="59" t="str">
        <f aca="false">IF(名簿!$D100="","",名簿!$D100&amp;IF(名簿!$F100="転出","（転出）",""))</f>
        <v/>
      </c>
      <c r="D100" s="149"/>
      <c r="E100" s="61" t="str">
        <f aca="false">IF(OR($C100="",名簿!$F100="転出"),"",IF($C$2="学級ごと",$A100,IF($C$2="前の単元と同じ",単元10!$E100&amp;"",$D100&amp;"")))</f>
        <v/>
      </c>
      <c r="F100" s="150"/>
      <c r="G100" s="150"/>
      <c r="H100" s="150"/>
      <c r="I100" s="151"/>
      <c r="J100" s="41" t="str">
        <f aca="false">IF($E100="","",$E100&amp;"|"&amp;COUNTIF($E$5:$E100,$E100))</f>
        <v/>
      </c>
      <c r="K100" s="40" t="str">
        <f aca="false">IF($I100="","",LEN($I100))</f>
        <v/>
      </c>
      <c r="L100" s="13"/>
      <c r="M100" s="13"/>
      <c r="N100" s="13"/>
      <c r="O100" s="13"/>
      <c r="P100" s="152"/>
      <c r="Q100" s="149"/>
      <c r="R100" s="152"/>
      <c r="S100" s="152"/>
      <c r="T100" s="62" t="str">
        <f aca="false">IF(OR($C100="",R100=""),"",IF(R100/IF($R$2="",100,$R$2)&gt;=設定!$I$28,設定!$G$8,IF(R100/IF($R$2="",100,$R$2)&lt;設定!$I$29,設定!$G$10,設定!$G$9)))</f>
        <v/>
      </c>
      <c r="U100" s="62" t="str">
        <f aca="false">IF(OR($C100="",S100=""),"",IF(S100/IF($S$2="",100,$S$2)&gt;=設定!$I$28,設定!$G$8,IF(S100/IF($S$2="",100,$S$2)&lt;設定!$I$29,設定!$G$10,設定!$G$9)))</f>
        <v/>
      </c>
    </row>
    <row r="101" customFormat="false" ht="21" hidden="false" customHeight="true" outlineLevel="0" collapsed="false">
      <c r="A101" s="91" t="str">
        <f aca="false">IF(名簿!$D101="","",名簿!$B101&amp;"")</f>
        <v/>
      </c>
      <c r="B101" s="91" t="str">
        <f aca="false">IF(名簿!$D101="","",名簿!$C101)</f>
        <v/>
      </c>
      <c r="C101" s="59" t="str">
        <f aca="false">IF(名簿!$D101="","",名簿!$D101&amp;IF(名簿!$F101="転出","（転出）",""))</f>
        <v/>
      </c>
      <c r="D101" s="149"/>
      <c r="E101" s="61" t="str">
        <f aca="false">IF(OR($C101="",名簿!$F101="転出"),"",IF($C$2="学級ごと",$A101,IF($C$2="前の単元と同じ",単元10!$E101&amp;"",$D101&amp;"")))</f>
        <v/>
      </c>
      <c r="F101" s="150"/>
      <c r="G101" s="150"/>
      <c r="H101" s="150"/>
      <c r="I101" s="151"/>
      <c r="J101" s="41" t="str">
        <f aca="false">IF($E101="","",$E101&amp;"|"&amp;COUNTIF($E$5:$E101,$E101))</f>
        <v/>
      </c>
      <c r="K101" s="40" t="str">
        <f aca="false">IF($I101="","",LEN($I101))</f>
        <v/>
      </c>
      <c r="L101" s="13"/>
      <c r="M101" s="13"/>
      <c r="N101" s="13"/>
      <c r="O101" s="13"/>
      <c r="P101" s="152"/>
      <c r="Q101" s="149"/>
      <c r="R101" s="152"/>
      <c r="S101" s="152"/>
      <c r="T101" s="62" t="str">
        <f aca="false">IF(OR($C101="",R101=""),"",IF(R101/IF($R$2="",100,$R$2)&gt;=設定!$I$28,設定!$G$8,IF(R101/IF($R$2="",100,$R$2)&lt;設定!$I$29,設定!$G$10,設定!$G$9)))</f>
        <v/>
      </c>
      <c r="U101" s="62" t="str">
        <f aca="false">IF(OR($C101="",S101=""),"",IF(S101/IF($S$2="",100,$S$2)&gt;=設定!$I$28,設定!$G$8,IF(S101/IF($S$2="",100,$S$2)&lt;設定!$I$29,設定!$G$10,設定!$G$9)))</f>
        <v/>
      </c>
    </row>
    <row r="102" customFormat="false" ht="21" hidden="false" customHeight="true" outlineLevel="0" collapsed="false">
      <c r="A102" s="91" t="str">
        <f aca="false">IF(名簿!$D102="","",名簿!$B102&amp;"")</f>
        <v/>
      </c>
      <c r="B102" s="91" t="str">
        <f aca="false">IF(名簿!$D102="","",名簿!$C102)</f>
        <v/>
      </c>
      <c r="C102" s="59" t="str">
        <f aca="false">IF(名簿!$D102="","",名簿!$D102&amp;IF(名簿!$F102="転出","（転出）",""))</f>
        <v/>
      </c>
      <c r="D102" s="149"/>
      <c r="E102" s="61" t="str">
        <f aca="false">IF(OR($C102="",名簿!$F102="転出"),"",IF($C$2="学級ごと",$A102,IF($C$2="前の単元と同じ",単元10!$E102&amp;"",$D102&amp;"")))</f>
        <v/>
      </c>
      <c r="F102" s="150"/>
      <c r="G102" s="150"/>
      <c r="H102" s="150"/>
      <c r="I102" s="151"/>
      <c r="J102" s="41" t="str">
        <f aca="false">IF($E102="","",$E102&amp;"|"&amp;COUNTIF($E$5:$E102,$E102))</f>
        <v/>
      </c>
      <c r="K102" s="40" t="str">
        <f aca="false">IF($I102="","",LEN($I102))</f>
        <v/>
      </c>
      <c r="L102" s="13"/>
      <c r="M102" s="13"/>
      <c r="N102" s="13"/>
      <c r="O102" s="13"/>
      <c r="P102" s="152"/>
      <c r="Q102" s="149"/>
      <c r="R102" s="152"/>
      <c r="S102" s="152"/>
      <c r="T102" s="62" t="str">
        <f aca="false">IF(OR($C102="",R102=""),"",IF(R102/IF($R$2="",100,$R$2)&gt;=設定!$I$28,設定!$G$8,IF(R102/IF($R$2="",100,$R$2)&lt;設定!$I$29,設定!$G$10,設定!$G$9)))</f>
        <v/>
      </c>
      <c r="U102" s="62" t="str">
        <f aca="false">IF(OR($C102="",S102=""),"",IF(S102/IF($S$2="",100,$S$2)&gt;=設定!$I$28,設定!$G$8,IF(S102/IF($S$2="",100,$S$2)&lt;設定!$I$29,設定!$G$10,設定!$G$9)))</f>
        <v/>
      </c>
    </row>
    <row r="103" customFormat="false" ht="21" hidden="false" customHeight="true" outlineLevel="0" collapsed="false">
      <c r="A103" s="91" t="str">
        <f aca="false">IF(名簿!$D103="","",名簿!$B103&amp;"")</f>
        <v/>
      </c>
      <c r="B103" s="91" t="str">
        <f aca="false">IF(名簿!$D103="","",名簿!$C103)</f>
        <v/>
      </c>
      <c r="C103" s="59" t="str">
        <f aca="false">IF(名簿!$D103="","",名簿!$D103&amp;IF(名簿!$F103="転出","（転出）",""))</f>
        <v/>
      </c>
      <c r="D103" s="149"/>
      <c r="E103" s="61" t="str">
        <f aca="false">IF(OR($C103="",名簿!$F103="転出"),"",IF($C$2="学級ごと",$A103,IF($C$2="前の単元と同じ",単元10!$E103&amp;"",$D103&amp;"")))</f>
        <v/>
      </c>
      <c r="F103" s="150"/>
      <c r="G103" s="150"/>
      <c r="H103" s="150"/>
      <c r="I103" s="151"/>
      <c r="J103" s="41" t="str">
        <f aca="false">IF($E103="","",$E103&amp;"|"&amp;COUNTIF($E$5:$E103,$E103))</f>
        <v/>
      </c>
      <c r="K103" s="40" t="str">
        <f aca="false">IF($I103="","",LEN($I103))</f>
        <v/>
      </c>
      <c r="L103" s="13"/>
      <c r="M103" s="13"/>
      <c r="N103" s="13"/>
      <c r="O103" s="13"/>
      <c r="P103" s="152"/>
      <c r="Q103" s="149"/>
      <c r="R103" s="152"/>
      <c r="S103" s="152"/>
      <c r="T103" s="62" t="str">
        <f aca="false">IF(OR($C103="",R103=""),"",IF(R103/IF($R$2="",100,$R$2)&gt;=設定!$I$28,設定!$G$8,IF(R103/IF($R$2="",100,$R$2)&lt;設定!$I$29,設定!$G$10,設定!$G$9)))</f>
        <v/>
      </c>
      <c r="U103" s="62" t="str">
        <f aca="false">IF(OR($C103="",S103=""),"",IF(S103/IF($S$2="",100,$S$2)&gt;=設定!$I$28,設定!$G$8,IF(S103/IF($S$2="",100,$S$2)&lt;設定!$I$29,設定!$G$10,設定!$G$9)))</f>
        <v/>
      </c>
    </row>
    <row r="104" customFormat="false" ht="21" hidden="false" customHeight="true" outlineLevel="0" collapsed="false">
      <c r="A104" s="91" t="str">
        <f aca="false">IF(名簿!$D104="","",名簿!$B104&amp;"")</f>
        <v/>
      </c>
      <c r="B104" s="91" t="str">
        <f aca="false">IF(名簿!$D104="","",名簿!$C104)</f>
        <v/>
      </c>
      <c r="C104" s="59" t="str">
        <f aca="false">IF(名簿!$D104="","",名簿!$D104&amp;IF(名簿!$F104="転出","（転出）",""))</f>
        <v/>
      </c>
      <c r="D104" s="149"/>
      <c r="E104" s="61" t="str">
        <f aca="false">IF(OR($C104="",名簿!$F104="転出"),"",IF($C$2="学級ごと",$A104,IF($C$2="前の単元と同じ",単元10!$E104&amp;"",$D104&amp;"")))</f>
        <v/>
      </c>
      <c r="F104" s="150"/>
      <c r="G104" s="150"/>
      <c r="H104" s="150"/>
      <c r="I104" s="151"/>
      <c r="J104" s="41" t="str">
        <f aca="false">IF($E104="","",$E104&amp;"|"&amp;COUNTIF($E$5:$E104,$E104))</f>
        <v/>
      </c>
      <c r="K104" s="40" t="str">
        <f aca="false">IF($I104="","",LEN($I104))</f>
        <v/>
      </c>
      <c r="L104" s="13"/>
      <c r="M104" s="13"/>
      <c r="N104" s="13"/>
      <c r="O104" s="13"/>
      <c r="P104" s="152"/>
      <c r="Q104" s="149"/>
      <c r="R104" s="152"/>
      <c r="S104" s="152"/>
      <c r="T104" s="62" t="str">
        <f aca="false">IF(OR($C104="",R104=""),"",IF(R104/IF($R$2="",100,$R$2)&gt;=設定!$I$28,設定!$G$8,IF(R104/IF($R$2="",100,$R$2)&lt;設定!$I$29,設定!$G$10,設定!$G$9)))</f>
        <v/>
      </c>
      <c r="U104" s="62" t="str">
        <f aca="false">IF(OR($C104="",S104=""),"",IF(S104/IF($S$2="",100,$S$2)&gt;=設定!$I$28,設定!$G$8,IF(S104/IF($S$2="",100,$S$2)&lt;設定!$I$29,設定!$G$10,設定!$G$9)))</f>
        <v/>
      </c>
    </row>
    <row r="105" customFormat="false" ht="21" hidden="false" customHeight="true" outlineLevel="0" collapsed="false">
      <c r="A105" s="91" t="str">
        <f aca="false">IF(名簿!$D105="","",名簿!$B105&amp;"")</f>
        <v/>
      </c>
      <c r="B105" s="91" t="str">
        <f aca="false">IF(名簿!$D105="","",名簿!$C105)</f>
        <v/>
      </c>
      <c r="C105" s="59" t="str">
        <f aca="false">IF(名簿!$D105="","",名簿!$D105&amp;IF(名簿!$F105="転出","（転出）",""))</f>
        <v/>
      </c>
      <c r="D105" s="149"/>
      <c r="E105" s="61" t="str">
        <f aca="false">IF(OR($C105="",名簿!$F105="転出"),"",IF($C$2="学級ごと",$A105,IF($C$2="前の単元と同じ",単元10!$E105&amp;"",$D105&amp;"")))</f>
        <v/>
      </c>
      <c r="F105" s="150"/>
      <c r="G105" s="150"/>
      <c r="H105" s="150"/>
      <c r="I105" s="151"/>
      <c r="J105" s="41" t="str">
        <f aca="false">IF($E105="","",$E105&amp;"|"&amp;COUNTIF($E$5:$E105,$E105))</f>
        <v/>
      </c>
      <c r="K105" s="40" t="str">
        <f aca="false">IF($I105="","",LEN($I105))</f>
        <v/>
      </c>
      <c r="L105" s="13"/>
      <c r="M105" s="13"/>
      <c r="N105" s="13"/>
      <c r="O105" s="13"/>
      <c r="P105" s="152"/>
      <c r="Q105" s="149"/>
      <c r="R105" s="152"/>
      <c r="S105" s="152"/>
      <c r="T105" s="62" t="str">
        <f aca="false">IF(OR($C105="",R105=""),"",IF(R105/IF($R$2="",100,$R$2)&gt;=設定!$I$28,設定!$G$8,IF(R105/IF($R$2="",100,$R$2)&lt;設定!$I$29,設定!$G$10,設定!$G$9)))</f>
        <v/>
      </c>
      <c r="U105" s="62" t="str">
        <f aca="false">IF(OR($C105="",S105=""),"",IF(S105/IF($S$2="",100,$S$2)&gt;=設定!$I$28,設定!$G$8,IF(S105/IF($S$2="",100,$S$2)&lt;設定!$I$29,設定!$G$10,設定!$G$9)))</f>
        <v/>
      </c>
    </row>
    <row r="106" customFormat="false" ht="21" hidden="false" customHeight="true" outlineLevel="0" collapsed="false">
      <c r="A106" s="91" t="str">
        <f aca="false">IF(名簿!$D106="","",名簿!$B106&amp;"")</f>
        <v/>
      </c>
      <c r="B106" s="91" t="str">
        <f aca="false">IF(名簿!$D106="","",名簿!$C106)</f>
        <v/>
      </c>
      <c r="C106" s="59" t="str">
        <f aca="false">IF(名簿!$D106="","",名簿!$D106&amp;IF(名簿!$F106="転出","（転出）",""))</f>
        <v/>
      </c>
      <c r="D106" s="149"/>
      <c r="E106" s="61" t="str">
        <f aca="false">IF(OR($C106="",名簿!$F106="転出"),"",IF($C$2="学級ごと",$A106,IF($C$2="前の単元と同じ",単元10!$E106&amp;"",$D106&amp;"")))</f>
        <v/>
      </c>
      <c r="F106" s="150"/>
      <c r="G106" s="150"/>
      <c r="H106" s="150"/>
      <c r="I106" s="151"/>
      <c r="J106" s="41" t="str">
        <f aca="false">IF($E106="","",$E106&amp;"|"&amp;COUNTIF($E$5:$E106,$E106))</f>
        <v/>
      </c>
      <c r="K106" s="40" t="str">
        <f aca="false">IF($I106="","",LEN($I106))</f>
        <v/>
      </c>
      <c r="L106" s="13"/>
      <c r="M106" s="13"/>
      <c r="N106" s="13"/>
      <c r="O106" s="13"/>
      <c r="P106" s="152"/>
      <c r="Q106" s="149"/>
      <c r="R106" s="152"/>
      <c r="S106" s="152"/>
      <c r="T106" s="62" t="str">
        <f aca="false">IF(OR($C106="",R106=""),"",IF(R106/IF($R$2="",100,$R$2)&gt;=設定!$I$28,設定!$G$8,IF(R106/IF($R$2="",100,$R$2)&lt;設定!$I$29,設定!$G$10,設定!$G$9)))</f>
        <v/>
      </c>
      <c r="U106" s="62" t="str">
        <f aca="false">IF(OR($C106="",S106=""),"",IF(S106/IF($S$2="",100,$S$2)&gt;=設定!$I$28,設定!$G$8,IF(S106/IF($S$2="",100,$S$2)&lt;設定!$I$29,設定!$G$10,設定!$G$9)))</f>
        <v/>
      </c>
    </row>
    <row r="107" customFormat="false" ht="21" hidden="false" customHeight="true" outlineLevel="0" collapsed="false">
      <c r="A107" s="91" t="str">
        <f aca="false">IF(名簿!$D107="","",名簿!$B107&amp;"")</f>
        <v/>
      </c>
      <c r="B107" s="91" t="str">
        <f aca="false">IF(名簿!$D107="","",名簿!$C107)</f>
        <v/>
      </c>
      <c r="C107" s="59" t="str">
        <f aca="false">IF(名簿!$D107="","",名簿!$D107&amp;IF(名簿!$F107="転出","（転出）",""))</f>
        <v/>
      </c>
      <c r="D107" s="149"/>
      <c r="E107" s="61" t="str">
        <f aca="false">IF(OR($C107="",名簿!$F107="転出"),"",IF($C$2="学級ごと",$A107,IF($C$2="前の単元と同じ",単元10!$E107&amp;"",$D107&amp;"")))</f>
        <v/>
      </c>
      <c r="F107" s="150"/>
      <c r="G107" s="150"/>
      <c r="H107" s="150"/>
      <c r="I107" s="151"/>
      <c r="J107" s="41" t="str">
        <f aca="false">IF($E107="","",$E107&amp;"|"&amp;COUNTIF($E$5:$E107,$E107))</f>
        <v/>
      </c>
      <c r="K107" s="40" t="str">
        <f aca="false">IF($I107="","",LEN($I107))</f>
        <v/>
      </c>
      <c r="L107" s="13"/>
      <c r="M107" s="13"/>
      <c r="N107" s="13"/>
      <c r="O107" s="13"/>
      <c r="P107" s="152"/>
      <c r="Q107" s="149"/>
      <c r="R107" s="152"/>
      <c r="S107" s="152"/>
      <c r="T107" s="62" t="str">
        <f aca="false">IF(OR($C107="",R107=""),"",IF(R107/IF($R$2="",100,$R$2)&gt;=設定!$I$28,設定!$G$8,IF(R107/IF($R$2="",100,$R$2)&lt;設定!$I$29,設定!$G$10,設定!$G$9)))</f>
        <v/>
      </c>
      <c r="U107" s="62" t="str">
        <f aca="false">IF(OR($C107="",S107=""),"",IF(S107/IF($S$2="",100,$S$2)&gt;=設定!$I$28,設定!$G$8,IF(S107/IF($S$2="",100,$S$2)&lt;設定!$I$29,設定!$G$10,設定!$G$9)))</f>
        <v/>
      </c>
    </row>
    <row r="108" customFormat="false" ht="21" hidden="false" customHeight="true" outlineLevel="0" collapsed="false">
      <c r="A108" s="91" t="str">
        <f aca="false">IF(名簿!$D108="","",名簿!$B108&amp;"")</f>
        <v/>
      </c>
      <c r="B108" s="91" t="str">
        <f aca="false">IF(名簿!$D108="","",名簿!$C108)</f>
        <v/>
      </c>
      <c r="C108" s="59" t="str">
        <f aca="false">IF(名簿!$D108="","",名簿!$D108&amp;IF(名簿!$F108="転出","（転出）",""))</f>
        <v/>
      </c>
      <c r="D108" s="149"/>
      <c r="E108" s="61" t="str">
        <f aca="false">IF(OR($C108="",名簿!$F108="転出"),"",IF($C$2="学級ごと",$A108,IF($C$2="前の単元と同じ",単元10!$E108&amp;"",$D108&amp;"")))</f>
        <v/>
      </c>
      <c r="F108" s="150"/>
      <c r="G108" s="150"/>
      <c r="H108" s="150"/>
      <c r="I108" s="151"/>
      <c r="J108" s="41" t="str">
        <f aca="false">IF($E108="","",$E108&amp;"|"&amp;COUNTIF($E$5:$E108,$E108))</f>
        <v/>
      </c>
      <c r="K108" s="40" t="str">
        <f aca="false">IF($I108="","",LEN($I108))</f>
        <v/>
      </c>
      <c r="L108" s="13"/>
      <c r="M108" s="13"/>
      <c r="N108" s="13"/>
      <c r="O108" s="13"/>
      <c r="P108" s="152"/>
      <c r="Q108" s="149"/>
      <c r="R108" s="152"/>
      <c r="S108" s="152"/>
      <c r="T108" s="62" t="str">
        <f aca="false">IF(OR($C108="",R108=""),"",IF(R108/IF($R$2="",100,$R$2)&gt;=設定!$I$28,設定!$G$8,IF(R108/IF($R$2="",100,$R$2)&lt;設定!$I$29,設定!$G$10,設定!$G$9)))</f>
        <v/>
      </c>
      <c r="U108" s="62" t="str">
        <f aca="false">IF(OR($C108="",S108=""),"",IF(S108/IF($S$2="",100,$S$2)&gt;=設定!$I$28,設定!$G$8,IF(S108/IF($S$2="",100,$S$2)&lt;設定!$I$29,設定!$G$10,設定!$G$9)))</f>
        <v/>
      </c>
    </row>
    <row r="109" customFormat="false" ht="21" hidden="false" customHeight="true" outlineLevel="0" collapsed="false">
      <c r="A109" s="91" t="str">
        <f aca="false">IF(名簿!$D109="","",名簿!$B109&amp;"")</f>
        <v/>
      </c>
      <c r="B109" s="91" t="str">
        <f aca="false">IF(名簿!$D109="","",名簿!$C109)</f>
        <v/>
      </c>
      <c r="C109" s="59" t="str">
        <f aca="false">IF(名簿!$D109="","",名簿!$D109&amp;IF(名簿!$F109="転出","（転出）",""))</f>
        <v/>
      </c>
      <c r="D109" s="149"/>
      <c r="E109" s="61" t="str">
        <f aca="false">IF(OR($C109="",名簿!$F109="転出"),"",IF($C$2="学級ごと",$A109,IF($C$2="前の単元と同じ",単元10!$E109&amp;"",$D109&amp;"")))</f>
        <v/>
      </c>
      <c r="F109" s="150"/>
      <c r="G109" s="150"/>
      <c r="H109" s="150"/>
      <c r="I109" s="151"/>
      <c r="J109" s="41" t="str">
        <f aca="false">IF($E109="","",$E109&amp;"|"&amp;COUNTIF($E$5:$E109,$E109))</f>
        <v/>
      </c>
      <c r="K109" s="40" t="str">
        <f aca="false">IF($I109="","",LEN($I109))</f>
        <v/>
      </c>
      <c r="L109" s="13"/>
      <c r="M109" s="13"/>
      <c r="N109" s="13"/>
      <c r="O109" s="13"/>
      <c r="P109" s="152"/>
      <c r="Q109" s="149"/>
      <c r="R109" s="152"/>
      <c r="S109" s="152"/>
      <c r="T109" s="62" t="str">
        <f aca="false">IF(OR($C109="",R109=""),"",IF(R109/IF($R$2="",100,$R$2)&gt;=設定!$I$28,設定!$G$8,IF(R109/IF($R$2="",100,$R$2)&lt;設定!$I$29,設定!$G$10,設定!$G$9)))</f>
        <v/>
      </c>
      <c r="U109" s="62" t="str">
        <f aca="false">IF(OR($C109="",S109=""),"",IF(S109/IF($S$2="",100,$S$2)&gt;=設定!$I$28,設定!$G$8,IF(S109/IF($S$2="",100,$S$2)&lt;設定!$I$29,設定!$G$10,設定!$G$9)))</f>
        <v/>
      </c>
    </row>
    <row r="110" customFormat="false" ht="21" hidden="false" customHeight="true" outlineLevel="0" collapsed="false">
      <c r="A110" s="91" t="str">
        <f aca="false">IF(名簿!$D110="","",名簿!$B110&amp;"")</f>
        <v/>
      </c>
      <c r="B110" s="91" t="str">
        <f aca="false">IF(名簿!$D110="","",名簿!$C110)</f>
        <v/>
      </c>
      <c r="C110" s="59" t="str">
        <f aca="false">IF(名簿!$D110="","",名簿!$D110&amp;IF(名簿!$F110="転出","（転出）",""))</f>
        <v/>
      </c>
      <c r="D110" s="149"/>
      <c r="E110" s="61" t="str">
        <f aca="false">IF(OR($C110="",名簿!$F110="転出"),"",IF($C$2="学級ごと",$A110,IF($C$2="前の単元と同じ",単元10!$E110&amp;"",$D110&amp;"")))</f>
        <v/>
      </c>
      <c r="F110" s="150"/>
      <c r="G110" s="150"/>
      <c r="H110" s="150"/>
      <c r="I110" s="151"/>
      <c r="J110" s="41" t="str">
        <f aca="false">IF($E110="","",$E110&amp;"|"&amp;COUNTIF($E$5:$E110,$E110))</f>
        <v/>
      </c>
      <c r="K110" s="40" t="str">
        <f aca="false">IF($I110="","",LEN($I110))</f>
        <v/>
      </c>
      <c r="L110" s="13"/>
      <c r="M110" s="13"/>
      <c r="N110" s="13"/>
      <c r="O110" s="13"/>
      <c r="P110" s="152"/>
      <c r="Q110" s="149"/>
      <c r="R110" s="152"/>
      <c r="S110" s="152"/>
      <c r="T110" s="62" t="str">
        <f aca="false">IF(OR($C110="",R110=""),"",IF(R110/IF($R$2="",100,$R$2)&gt;=設定!$I$28,設定!$G$8,IF(R110/IF($R$2="",100,$R$2)&lt;設定!$I$29,設定!$G$10,設定!$G$9)))</f>
        <v/>
      </c>
      <c r="U110" s="62" t="str">
        <f aca="false">IF(OR($C110="",S110=""),"",IF(S110/IF($S$2="",100,$S$2)&gt;=設定!$I$28,設定!$G$8,IF(S110/IF($S$2="",100,$S$2)&lt;設定!$I$29,設定!$G$10,設定!$G$9)))</f>
        <v/>
      </c>
    </row>
    <row r="111" customFormat="false" ht="21" hidden="false" customHeight="true" outlineLevel="0" collapsed="false">
      <c r="A111" s="91" t="str">
        <f aca="false">IF(名簿!$D111="","",名簿!$B111&amp;"")</f>
        <v/>
      </c>
      <c r="B111" s="91" t="str">
        <f aca="false">IF(名簿!$D111="","",名簿!$C111)</f>
        <v/>
      </c>
      <c r="C111" s="59" t="str">
        <f aca="false">IF(名簿!$D111="","",名簿!$D111&amp;IF(名簿!$F111="転出","（転出）",""))</f>
        <v/>
      </c>
      <c r="D111" s="149"/>
      <c r="E111" s="61" t="str">
        <f aca="false">IF(OR($C111="",名簿!$F111="転出"),"",IF($C$2="学級ごと",$A111,IF($C$2="前の単元と同じ",単元10!$E111&amp;"",$D111&amp;"")))</f>
        <v/>
      </c>
      <c r="F111" s="150"/>
      <c r="G111" s="150"/>
      <c r="H111" s="150"/>
      <c r="I111" s="151"/>
      <c r="J111" s="41" t="str">
        <f aca="false">IF($E111="","",$E111&amp;"|"&amp;COUNTIF($E$5:$E111,$E111))</f>
        <v/>
      </c>
      <c r="K111" s="40" t="str">
        <f aca="false">IF($I111="","",LEN($I111))</f>
        <v/>
      </c>
      <c r="L111" s="13"/>
      <c r="M111" s="13"/>
      <c r="N111" s="13"/>
      <c r="O111" s="13"/>
      <c r="P111" s="152"/>
      <c r="Q111" s="149"/>
      <c r="R111" s="152"/>
      <c r="S111" s="152"/>
      <c r="T111" s="62" t="str">
        <f aca="false">IF(OR($C111="",R111=""),"",IF(R111/IF($R$2="",100,$R$2)&gt;=設定!$I$28,設定!$G$8,IF(R111/IF($R$2="",100,$R$2)&lt;設定!$I$29,設定!$G$10,設定!$G$9)))</f>
        <v/>
      </c>
      <c r="U111" s="62" t="str">
        <f aca="false">IF(OR($C111="",S111=""),"",IF(S111/IF($S$2="",100,$S$2)&gt;=設定!$I$28,設定!$G$8,IF(S111/IF($S$2="",100,$S$2)&lt;設定!$I$29,設定!$G$10,設定!$G$9)))</f>
        <v/>
      </c>
    </row>
    <row r="112" customFormat="false" ht="21" hidden="false" customHeight="true" outlineLevel="0" collapsed="false">
      <c r="A112" s="91" t="str">
        <f aca="false">IF(名簿!$D112="","",名簿!$B112&amp;"")</f>
        <v/>
      </c>
      <c r="B112" s="91" t="str">
        <f aca="false">IF(名簿!$D112="","",名簿!$C112)</f>
        <v/>
      </c>
      <c r="C112" s="59" t="str">
        <f aca="false">IF(名簿!$D112="","",名簿!$D112&amp;IF(名簿!$F112="転出","（転出）",""))</f>
        <v/>
      </c>
      <c r="D112" s="149"/>
      <c r="E112" s="61" t="str">
        <f aca="false">IF(OR($C112="",名簿!$F112="転出"),"",IF($C$2="学級ごと",$A112,IF($C$2="前の単元と同じ",単元10!$E112&amp;"",$D112&amp;"")))</f>
        <v/>
      </c>
      <c r="F112" s="150"/>
      <c r="G112" s="150"/>
      <c r="H112" s="150"/>
      <c r="I112" s="151"/>
      <c r="J112" s="41" t="str">
        <f aca="false">IF($E112="","",$E112&amp;"|"&amp;COUNTIF($E$5:$E112,$E112))</f>
        <v/>
      </c>
      <c r="K112" s="40" t="str">
        <f aca="false">IF($I112="","",LEN($I112))</f>
        <v/>
      </c>
      <c r="L112" s="13"/>
      <c r="M112" s="13"/>
      <c r="N112" s="13"/>
      <c r="O112" s="13"/>
      <c r="P112" s="152"/>
      <c r="Q112" s="149"/>
      <c r="R112" s="152"/>
      <c r="S112" s="152"/>
      <c r="T112" s="62" t="str">
        <f aca="false">IF(OR($C112="",R112=""),"",IF(R112/IF($R$2="",100,$R$2)&gt;=設定!$I$28,設定!$G$8,IF(R112/IF($R$2="",100,$R$2)&lt;設定!$I$29,設定!$G$10,設定!$G$9)))</f>
        <v/>
      </c>
      <c r="U112" s="62" t="str">
        <f aca="false">IF(OR($C112="",S112=""),"",IF(S112/IF($S$2="",100,$S$2)&gt;=設定!$I$28,設定!$G$8,IF(S112/IF($S$2="",100,$S$2)&lt;設定!$I$29,設定!$G$10,設定!$G$9)))</f>
        <v/>
      </c>
    </row>
    <row r="113" customFormat="false" ht="21" hidden="false" customHeight="true" outlineLevel="0" collapsed="false">
      <c r="A113" s="91" t="str">
        <f aca="false">IF(名簿!$D113="","",名簿!$B113&amp;"")</f>
        <v/>
      </c>
      <c r="B113" s="91" t="str">
        <f aca="false">IF(名簿!$D113="","",名簿!$C113)</f>
        <v/>
      </c>
      <c r="C113" s="59" t="str">
        <f aca="false">IF(名簿!$D113="","",名簿!$D113&amp;IF(名簿!$F113="転出","（転出）",""))</f>
        <v/>
      </c>
      <c r="D113" s="149"/>
      <c r="E113" s="61" t="str">
        <f aca="false">IF(OR($C113="",名簿!$F113="転出"),"",IF($C$2="学級ごと",$A113,IF($C$2="前の単元と同じ",単元10!$E113&amp;"",$D113&amp;"")))</f>
        <v/>
      </c>
      <c r="F113" s="150"/>
      <c r="G113" s="150"/>
      <c r="H113" s="150"/>
      <c r="I113" s="151"/>
      <c r="J113" s="41" t="str">
        <f aca="false">IF($E113="","",$E113&amp;"|"&amp;COUNTIF($E$5:$E113,$E113))</f>
        <v/>
      </c>
      <c r="K113" s="40" t="str">
        <f aca="false">IF($I113="","",LEN($I113))</f>
        <v/>
      </c>
      <c r="L113" s="13"/>
      <c r="M113" s="13"/>
      <c r="N113" s="13"/>
      <c r="O113" s="13"/>
      <c r="P113" s="152"/>
      <c r="Q113" s="149"/>
      <c r="R113" s="152"/>
      <c r="S113" s="152"/>
      <c r="T113" s="62" t="str">
        <f aca="false">IF(OR($C113="",R113=""),"",IF(R113/IF($R$2="",100,$R$2)&gt;=設定!$I$28,設定!$G$8,IF(R113/IF($R$2="",100,$R$2)&lt;設定!$I$29,設定!$G$10,設定!$G$9)))</f>
        <v/>
      </c>
      <c r="U113" s="62" t="str">
        <f aca="false">IF(OR($C113="",S113=""),"",IF(S113/IF($S$2="",100,$S$2)&gt;=設定!$I$28,設定!$G$8,IF(S113/IF($S$2="",100,$S$2)&lt;設定!$I$29,設定!$G$10,設定!$G$9)))</f>
        <v/>
      </c>
    </row>
    <row r="114" customFormat="false" ht="21" hidden="false" customHeight="true" outlineLevel="0" collapsed="false">
      <c r="A114" s="91" t="str">
        <f aca="false">IF(名簿!$D114="","",名簿!$B114&amp;"")</f>
        <v/>
      </c>
      <c r="B114" s="91" t="str">
        <f aca="false">IF(名簿!$D114="","",名簿!$C114)</f>
        <v/>
      </c>
      <c r="C114" s="59" t="str">
        <f aca="false">IF(名簿!$D114="","",名簿!$D114&amp;IF(名簿!$F114="転出","（転出）",""))</f>
        <v/>
      </c>
      <c r="D114" s="149"/>
      <c r="E114" s="61" t="str">
        <f aca="false">IF(OR($C114="",名簿!$F114="転出"),"",IF($C$2="学級ごと",$A114,IF($C$2="前の単元と同じ",単元10!$E114&amp;"",$D114&amp;"")))</f>
        <v/>
      </c>
      <c r="F114" s="150"/>
      <c r="G114" s="150"/>
      <c r="H114" s="150"/>
      <c r="I114" s="151"/>
      <c r="J114" s="41" t="str">
        <f aca="false">IF($E114="","",$E114&amp;"|"&amp;COUNTIF($E$5:$E114,$E114))</f>
        <v/>
      </c>
      <c r="K114" s="40" t="str">
        <f aca="false">IF($I114="","",LEN($I114))</f>
        <v/>
      </c>
      <c r="L114" s="13"/>
      <c r="M114" s="13"/>
      <c r="N114" s="13"/>
      <c r="O114" s="13"/>
      <c r="P114" s="152"/>
      <c r="Q114" s="149"/>
      <c r="R114" s="152"/>
      <c r="S114" s="152"/>
      <c r="T114" s="62" t="str">
        <f aca="false">IF(OR($C114="",R114=""),"",IF(R114/IF($R$2="",100,$R$2)&gt;=設定!$I$28,設定!$G$8,IF(R114/IF($R$2="",100,$R$2)&lt;設定!$I$29,設定!$G$10,設定!$G$9)))</f>
        <v/>
      </c>
      <c r="U114" s="62" t="str">
        <f aca="false">IF(OR($C114="",S114=""),"",IF(S114/IF($S$2="",100,$S$2)&gt;=設定!$I$28,設定!$G$8,IF(S114/IF($S$2="",100,$S$2)&lt;設定!$I$29,設定!$G$10,設定!$G$9)))</f>
        <v/>
      </c>
    </row>
    <row r="115" customFormat="false" ht="21" hidden="false" customHeight="true" outlineLevel="0" collapsed="false">
      <c r="A115" s="91" t="str">
        <f aca="false">IF(名簿!$D115="","",名簿!$B115&amp;"")</f>
        <v/>
      </c>
      <c r="B115" s="91" t="str">
        <f aca="false">IF(名簿!$D115="","",名簿!$C115)</f>
        <v/>
      </c>
      <c r="C115" s="59" t="str">
        <f aca="false">IF(名簿!$D115="","",名簿!$D115&amp;IF(名簿!$F115="転出","（転出）",""))</f>
        <v/>
      </c>
      <c r="D115" s="149"/>
      <c r="E115" s="61" t="str">
        <f aca="false">IF(OR($C115="",名簿!$F115="転出"),"",IF($C$2="学級ごと",$A115,IF($C$2="前の単元と同じ",単元10!$E115&amp;"",$D115&amp;"")))</f>
        <v/>
      </c>
      <c r="F115" s="150"/>
      <c r="G115" s="150"/>
      <c r="H115" s="150"/>
      <c r="I115" s="151"/>
      <c r="J115" s="41" t="str">
        <f aca="false">IF($E115="","",$E115&amp;"|"&amp;COUNTIF($E$5:$E115,$E115))</f>
        <v/>
      </c>
      <c r="K115" s="40" t="str">
        <f aca="false">IF($I115="","",LEN($I115))</f>
        <v/>
      </c>
      <c r="L115" s="13"/>
      <c r="M115" s="13"/>
      <c r="N115" s="13"/>
      <c r="O115" s="13"/>
      <c r="P115" s="152"/>
      <c r="Q115" s="149"/>
      <c r="R115" s="152"/>
      <c r="S115" s="152"/>
      <c r="T115" s="62" t="str">
        <f aca="false">IF(OR($C115="",R115=""),"",IF(R115/IF($R$2="",100,$R$2)&gt;=設定!$I$28,設定!$G$8,IF(R115/IF($R$2="",100,$R$2)&lt;設定!$I$29,設定!$G$10,設定!$G$9)))</f>
        <v/>
      </c>
      <c r="U115" s="62" t="str">
        <f aca="false">IF(OR($C115="",S115=""),"",IF(S115/IF($S$2="",100,$S$2)&gt;=設定!$I$28,設定!$G$8,IF(S115/IF($S$2="",100,$S$2)&lt;設定!$I$29,設定!$G$10,設定!$G$9)))</f>
        <v/>
      </c>
    </row>
    <row r="116" customFormat="false" ht="21" hidden="false" customHeight="true" outlineLevel="0" collapsed="false">
      <c r="A116" s="91" t="str">
        <f aca="false">IF(名簿!$D116="","",名簿!$B116&amp;"")</f>
        <v/>
      </c>
      <c r="B116" s="91" t="str">
        <f aca="false">IF(名簿!$D116="","",名簿!$C116)</f>
        <v/>
      </c>
      <c r="C116" s="59" t="str">
        <f aca="false">IF(名簿!$D116="","",名簿!$D116&amp;IF(名簿!$F116="転出","（転出）",""))</f>
        <v/>
      </c>
      <c r="D116" s="149"/>
      <c r="E116" s="61" t="str">
        <f aca="false">IF(OR($C116="",名簿!$F116="転出"),"",IF($C$2="学級ごと",$A116,IF($C$2="前の単元と同じ",単元10!$E116&amp;"",$D116&amp;"")))</f>
        <v/>
      </c>
      <c r="F116" s="150"/>
      <c r="G116" s="150"/>
      <c r="H116" s="150"/>
      <c r="I116" s="151"/>
      <c r="J116" s="41" t="str">
        <f aca="false">IF($E116="","",$E116&amp;"|"&amp;COUNTIF($E$5:$E116,$E116))</f>
        <v/>
      </c>
      <c r="K116" s="40" t="str">
        <f aca="false">IF($I116="","",LEN($I116))</f>
        <v/>
      </c>
      <c r="L116" s="13"/>
      <c r="M116" s="13"/>
      <c r="N116" s="13"/>
      <c r="O116" s="13"/>
      <c r="P116" s="152"/>
      <c r="Q116" s="149"/>
      <c r="R116" s="152"/>
      <c r="S116" s="152"/>
      <c r="T116" s="62" t="str">
        <f aca="false">IF(OR($C116="",R116=""),"",IF(R116/IF($R$2="",100,$R$2)&gt;=設定!$I$28,設定!$G$8,IF(R116/IF($R$2="",100,$R$2)&lt;設定!$I$29,設定!$G$10,設定!$G$9)))</f>
        <v/>
      </c>
      <c r="U116" s="62" t="str">
        <f aca="false">IF(OR($C116="",S116=""),"",IF(S116/IF($S$2="",100,$S$2)&gt;=設定!$I$28,設定!$G$8,IF(S116/IF($S$2="",100,$S$2)&lt;設定!$I$29,設定!$G$10,設定!$G$9)))</f>
        <v/>
      </c>
    </row>
    <row r="117" customFormat="false" ht="21" hidden="false" customHeight="true" outlineLevel="0" collapsed="false">
      <c r="A117" s="91" t="str">
        <f aca="false">IF(名簿!$D117="","",名簿!$B117&amp;"")</f>
        <v/>
      </c>
      <c r="B117" s="91" t="str">
        <f aca="false">IF(名簿!$D117="","",名簿!$C117)</f>
        <v/>
      </c>
      <c r="C117" s="59" t="str">
        <f aca="false">IF(名簿!$D117="","",名簿!$D117&amp;IF(名簿!$F117="転出","（転出）",""))</f>
        <v/>
      </c>
      <c r="D117" s="149"/>
      <c r="E117" s="61" t="str">
        <f aca="false">IF(OR($C117="",名簿!$F117="転出"),"",IF($C$2="学級ごと",$A117,IF($C$2="前の単元と同じ",単元10!$E117&amp;"",$D117&amp;"")))</f>
        <v/>
      </c>
      <c r="F117" s="150"/>
      <c r="G117" s="150"/>
      <c r="H117" s="150"/>
      <c r="I117" s="151"/>
      <c r="J117" s="41" t="str">
        <f aca="false">IF($E117="","",$E117&amp;"|"&amp;COUNTIF($E$5:$E117,$E117))</f>
        <v/>
      </c>
      <c r="K117" s="40" t="str">
        <f aca="false">IF($I117="","",LEN($I117))</f>
        <v/>
      </c>
      <c r="L117" s="13"/>
      <c r="M117" s="13"/>
      <c r="N117" s="13"/>
      <c r="O117" s="13"/>
      <c r="P117" s="152"/>
      <c r="Q117" s="149"/>
      <c r="R117" s="152"/>
      <c r="S117" s="152"/>
      <c r="T117" s="62" t="str">
        <f aca="false">IF(OR($C117="",R117=""),"",IF(R117/IF($R$2="",100,$R$2)&gt;=設定!$I$28,設定!$G$8,IF(R117/IF($R$2="",100,$R$2)&lt;設定!$I$29,設定!$G$10,設定!$G$9)))</f>
        <v/>
      </c>
      <c r="U117" s="62" t="str">
        <f aca="false">IF(OR($C117="",S117=""),"",IF(S117/IF($S$2="",100,$S$2)&gt;=設定!$I$28,設定!$G$8,IF(S117/IF($S$2="",100,$S$2)&lt;設定!$I$29,設定!$G$10,設定!$G$9)))</f>
        <v/>
      </c>
    </row>
    <row r="118" customFormat="false" ht="21" hidden="false" customHeight="true" outlineLevel="0" collapsed="false">
      <c r="A118" s="91" t="str">
        <f aca="false">IF(名簿!$D118="","",名簿!$B118&amp;"")</f>
        <v/>
      </c>
      <c r="B118" s="91" t="str">
        <f aca="false">IF(名簿!$D118="","",名簿!$C118)</f>
        <v/>
      </c>
      <c r="C118" s="59" t="str">
        <f aca="false">IF(名簿!$D118="","",名簿!$D118&amp;IF(名簿!$F118="転出","（転出）",""))</f>
        <v/>
      </c>
      <c r="D118" s="149"/>
      <c r="E118" s="61" t="str">
        <f aca="false">IF(OR($C118="",名簿!$F118="転出"),"",IF($C$2="学級ごと",$A118,IF($C$2="前の単元と同じ",単元10!$E118&amp;"",$D118&amp;"")))</f>
        <v/>
      </c>
      <c r="F118" s="150"/>
      <c r="G118" s="150"/>
      <c r="H118" s="150"/>
      <c r="I118" s="151"/>
      <c r="J118" s="41" t="str">
        <f aca="false">IF($E118="","",$E118&amp;"|"&amp;COUNTIF($E$5:$E118,$E118))</f>
        <v/>
      </c>
      <c r="K118" s="40" t="str">
        <f aca="false">IF($I118="","",LEN($I118))</f>
        <v/>
      </c>
      <c r="L118" s="13"/>
      <c r="M118" s="13"/>
      <c r="N118" s="13"/>
      <c r="O118" s="13"/>
      <c r="P118" s="152"/>
      <c r="Q118" s="149"/>
      <c r="R118" s="152"/>
      <c r="S118" s="152"/>
      <c r="T118" s="62" t="str">
        <f aca="false">IF(OR($C118="",R118=""),"",IF(R118/IF($R$2="",100,$R$2)&gt;=設定!$I$28,設定!$G$8,IF(R118/IF($R$2="",100,$R$2)&lt;設定!$I$29,設定!$G$10,設定!$G$9)))</f>
        <v/>
      </c>
      <c r="U118" s="62" t="str">
        <f aca="false">IF(OR($C118="",S118=""),"",IF(S118/IF($S$2="",100,$S$2)&gt;=設定!$I$28,設定!$G$8,IF(S118/IF($S$2="",100,$S$2)&lt;設定!$I$29,設定!$G$10,設定!$G$9)))</f>
        <v/>
      </c>
    </row>
    <row r="119" customFormat="false" ht="21" hidden="false" customHeight="true" outlineLevel="0" collapsed="false">
      <c r="A119" s="91" t="str">
        <f aca="false">IF(名簿!$D119="","",名簿!$B119&amp;"")</f>
        <v/>
      </c>
      <c r="B119" s="91" t="str">
        <f aca="false">IF(名簿!$D119="","",名簿!$C119)</f>
        <v/>
      </c>
      <c r="C119" s="59" t="str">
        <f aca="false">IF(名簿!$D119="","",名簿!$D119&amp;IF(名簿!$F119="転出","（転出）",""))</f>
        <v/>
      </c>
      <c r="D119" s="149"/>
      <c r="E119" s="61" t="str">
        <f aca="false">IF(OR($C119="",名簿!$F119="転出"),"",IF($C$2="学級ごと",$A119,IF($C$2="前の単元と同じ",単元10!$E119&amp;"",$D119&amp;"")))</f>
        <v/>
      </c>
      <c r="F119" s="150"/>
      <c r="G119" s="150"/>
      <c r="H119" s="150"/>
      <c r="I119" s="151"/>
      <c r="J119" s="41" t="str">
        <f aca="false">IF($E119="","",$E119&amp;"|"&amp;COUNTIF($E$5:$E119,$E119))</f>
        <v/>
      </c>
      <c r="K119" s="40" t="str">
        <f aca="false">IF($I119="","",LEN($I119))</f>
        <v/>
      </c>
      <c r="L119" s="13"/>
      <c r="M119" s="13"/>
      <c r="N119" s="13"/>
      <c r="O119" s="13"/>
      <c r="P119" s="152"/>
      <c r="Q119" s="149"/>
      <c r="R119" s="152"/>
      <c r="S119" s="152"/>
      <c r="T119" s="62" t="str">
        <f aca="false">IF(OR($C119="",R119=""),"",IF(R119/IF($R$2="",100,$R$2)&gt;=設定!$I$28,設定!$G$8,IF(R119/IF($R$2="",100,$R$2)&lt;設定!$I$29,設定!$G$10,設定!$G$9)))</f>
        <v/>
      </c>
      <c r="U119" s="62" t="str">
        <f aca="false">IF(OR($C119="",S119=""),"",IF(S119/IF($S$2="",100,$S$2)&gt;=設定!$I$28,設定!$G$8,IF(S119/IF($S$2="",100,$S$2)&lt;設定!$I$29,設定!$G$10,設定!$G$9)))</f>
        <v/>
      </c>
    </row>
    <row r="120" customFormat="false" ht="21" hidden="false" customHeight="true" outlineLevel="0" collapsed="false">
      <c r="A120" s="91" t="str">
        <f aca="false">IF(名簿!$D120="","",名簿!$B120&amp;"")</f>
        <v/>
      </c>
      <c r="B120" s="91" t="str">
        <f aca="false">IF(名簿!$D120="","",名簿!$C120)</f>
        <v/>
      </c>
      <c r="C120" s="59" t="str">
        <f aca="false">IF(名簿!$D120="","",名簿!$D120&amp;IF(名簿!$F120="転出","（転出）",""))</f>
        <v/>
      </c>
      <c r="D120" s="149"/>
      <c r="E120" s="61" t="str">
        <f aca="false">IF(OR($C120="",名簿!$F120="転出"),"",IF($C$2="学級ごと",$A120,IF($C$2="前の単元と同じ",単元10!$E120&amp;"",$D120&amp;"")))</f>
        <v/>
      </c>
      <c r="F120" s="150"/>
      <c r="G120" s="150"/>
      <c r="H120" s="150"/>
      <c r="I120" s="151"/>
      <c r="J120" s="41" t="str">
        <f aca="false">IF($E120="","",$E120&amp;"|"&amp;COUNTIF($E$5:$E120,$E120))</f>
        <v/>
      </c>
      <c r="K120" s="40" t="str">
        <f aca="false">IF($I120="","",LEN($I120))</f>
        <v/>
      </c>
      <c r="L120" s="13"/>
      <c r="M120" s="13"/>
      <c r="N120" s="13"/>
      <c r="O120" s="13"/>
      <c r="P120" s="152"/>
      <c r="Q120" s="149"/>
      <c r="R120" s="152"/>
      <c r="S120" s="152"/>
      <c r="T120" s="62" t="str">
        <f aca="false">IF(OR($C120="",R120=""),"",IF(R120/IF($R$2="",100,$R$2)&gt;=設定!$I$28,設定!$G$8,IF(R120/IF($R$2="",100,$R$2)&lt;設定!$I$29,設定!$G$10,設定!$G$9)))</f>
        <v/>
      </c>
      <c r="U120" s="62" t="str">
        <f aca="false">IF(OR($C120="",S120=""),"",IF(S120/IF($S$2="",100,$S$2)&gt;=設定!$I$28,設定!$G$8,IF(S120/IF($S$2="",100,$S$2)&lt;設定!$I$29,設定!$G$10,設定!$G$9)))</f>
        <v/>
      </c>
    </row>
    <row r="121" customFormat="false" ht="21" hidden="false" customHeight="true" outlineLevel="0" collapsed="false">
      <c r="A121" s="91" t="str">
        <f aca="false">IF(名簿!$D121="","",名簿!$B121&amp;"")</f>
        <v/>
      </c>
      <c r="B121" s="91" t="str">
        <f aca="false">IF(名簿!$D121="","",名簿!$C121)</f>
        <v/>
      </c>
      <c r="C121" s="59" t="str">
        <f aca="false">IF(名簿!$D121="","",名簿!$D121&amp;IF(名簿!$F121="転出","（転出）",""))</f>
        <v/>
      </c>
      <c r="D121" s="149"/>
      <c r="E121" s="61" t="str">
        <f aca="false">IF(OR($C121="",名簿!$F121="転出"),"",IF($C$2="学級ごと",$A121,IF($C$2="前の単元と同じ",単元10!$E121&amp;"",$D121&amp;"")))</f>
        <v/>
      </c>
      <c r="F121" s="150"/>
      <c r="G121" s="150"/>
      <c r="H121" s="150"/>
      <c r="I121" s="151"/>
      <c r="J121" s="41" t="str">
        <f aca="false">IF($E121="","",$E121&amp;"|"&amp;COUNTIF($E$5:$E121,$E121))</f>
        <v/>
      </c>
      <c r="K121" s="40" t="str">
        <f aca="false">IF($I121="","",LEN($I121))</f>
        <v/>
      </c>
      <c r="L121" s="13"/>
      <c r="M121" s="13"/>
      <c r="N121" s="13"/>
      <c r="O121" s="13"/>
      <c r="P121" s="152"/>
      <c r="Q121" s="149"/>
      <c r="R121" s="152"/>
      <c r="S121" s="152"/>
      <c r="T121" s="62" t="str">
        <f aca="false">IF(OR($C121="",R121=""),"",IF(R121/IF($R$2="",100,$R$2)&gt;=設定!$I$28,設定!$G$8,IF(R121/IF($R$2="",100,$R$2)&lt;設定!$I$29,設定!$G$10,設定!$G$9)))</f>
        <v/>
      </c>
      <c r="U121" s="62" t="str">
        <f aca="false">IF(OR($C121="",S121=""),"",IF(S121/IF($S$2="",100,$S$2)&gt;=設定!$I$28,設定!$G$8,IF(S121/IF($S$2="",100,$S$2)&lt;設定!$I$29,設定!$G$10,設定!$G$9)))</f>
        <v/>
      </c>
    </row>
    <row r="122" customFormat="false" ht="21" hidden="false" customHeight="true" outlineLevel="0" collapsed="false">
      <c r="A122" s="91" t="str">
        <f aca="false">IF(名簿!$D122="","",名簿!$B122&amp;"")</f>
        <v/>
      </c>
      <c r="B122" s="91" t="str">
        <f aca="false">IF(名簿!$D122="","",名簿!$C122)</f>
        <v/>
      </c>
      <c r="C122" s="59" t="str">
        <f aca="false">IF(名簿!$D122="","",名簿!$D122&amp;IF(名簿!$F122="転出","（転出）",""))</f>
        <v/>
      </c>
      <c r="D122" s="149"/>
      <c r="E122" s="61" t="str">
        <f aca="false">IF(OR($C122="",名簿!$F122="転出"),"",IF($C$2="学級ごと",$A122,IF($C$2="前の単元と同じ",単元10!$E122&amp;"",$D122&amp;"")))</f>
        <v/>
      </c>
      <c r="F122" s="150"/>
      <c r="G122" s="150"/>
      <c r="H122" s="150"/>
      <c r="I122" s="151"/>
      <c r="J122" s="41" t="str">
        <f aca="false">IF($E122="","",$E122&amp;"|"&amp;COUNTIF($E$5:$E122,$E122))</f>
        <v/>
      </c>
      <c r="K122" s="40" t="str">
        <f aca="false">IF($I122="","",LEN($I122))</f>
        <v/>
      </c>
      <c r="L122" s="13"/>
      <c r="M122" s="13"/>
      <c r="N122" s="13"/>
      <c r="O122" s="13"/>
      <c r="P122" s="152"/>
      <c r="Q122" s="149"/>
      <c r="R122" s="152"/>
      <c r="S122" s="152"/>
      <c r="T122" s="62" t="str">
        <f aca="false">IF(OR($C122="",R122=""),"",IF(R122/IF($R$2="",100,$R$2)&gt;=設定!$I$28,設定!$G$8,IF(R122/IF($R$2="",100,$R$2)&lt;設定!$I$29,設定!$G$10,設定!$G$9)))</f>
        <v/>
      </c>
      <c r="U122" s="62" t="str">
        <f aca="false">IF(OR($C122="",S122=""),"",IF(S122/IF($S$2="",100,$S$2)&gt;=設定!$I$28,設定!$G$8,IF(S122/IF($S$2="",100,$S$2)&lt;設定!$I$29,設定!$G$10,設定!$G$9)))</f>
        <v/>
      </c>
    </row>
    <row r="123" customFormat="false" ht="21" hidden="false" customHeight="true" outlineLevel="0" collapsed="false">
      <c r="A123" s="91" t="str">
        <f aca="false">IF(名簿!$D123="","",名簿!$B123&amp;"")</f>
        <v/>
      </c>
      <c r="B123" s="91" t="str">
        <f aca="false">IF(名簿!$D123="","",名簿!$C123)</f>
        <v/>
      </c>
      <c r="C123" s="59" t="str">
        <f aca="false">IF(名簿!$D123="","",名簿!$D123&amp;IF(名簿!$F123="転出","（転出）",""))</f>
        <v/>
      </c>
      <c r="D123" s="149"/>
      <c r="E123" s="61" t="str">
        <f aca="false">IF(OR($C123="",名簿!$F123="転出"),"",IF($C$2="学級ごと",$A123,IF($C$2="前の単元と同じ",単元10!$E123&amp;"",$D123&amp;"")))</f>
        <v/>
      </c>
      <c r="F123" s="150"/>
      <c r="G123" s="150"/>
      <c r="H123" s="150"/>
      <c r="I123" s="151"/>
      <c r="J123" s="41" t="str">
        <f aca="false">IF($E123="","",$E123&amp;"|"&amp;COUNTIF($E$5:$E123,$E123))</f>
        <v/>
      </c>
      <c r="K123" s="40" t="str">
        <f aca="false">IF($I123="","",LEN($I123))</f>
        <v/>
      </c>
      <c r="L123" s="13"/>
      <c r="M123" s="13"/>
      <c r="N123" s="13"/>
      <c r="O123" s="13"/>
      <c r="P123" s="152"/>
      <c r="Q123" s="149"/>
      <c r="R123" s="152"/>
      <c r="S123" s="152"/>
      <c r="T123" s="62" t="str">
        <f aca="false">IF(OR($C123="",R123=""),"",IF(R123/IF($R$2="",100,$R$2)&gt;=設定!$I$28,設定!$G$8,IF(R123/IF($R$2="",100,$R$2)&lt;設定!$I$29,設定!$G$10,設定!$G$9)))</f>
        <v/>
      </c>
      <c r="U123" s="62" t="str">
        <f aca="false">IF(OR($C123="",S123=""),"",IF(S123/IF($S$2="",100,$S$2)&gt;=設定!$I$28,設定!$G$8,IF(S123/IF($S$2="",100,$S$2)&lt;設定!$I$29,設定!$G$10,設定!$G$9)))</f>
        <v/>
      </c>
    </row>
    <row r="124" customFormat="false" ht="21" hidden="false" customHeight="true" outlineLevel="0" collapsed="false">
      <c r="A124" s="91" t="str">
        <f aca="false">IF(名簿!$D124="","",名簿!$B124&amp;"")</f>
        <v/>
      </c>
      <c r="B124" s="91" t="str">
        <f aca="false">IF(名簿!$D124="","",名簿!$C124)</f>
        <v/>
      </c>
      <c r="C124" s="59" t="str">
        <f aca="false">IF(名簿!$D124="","",名簿!$D124&amp;IF(名簿!$F124="転出","（転出）",""))</f>
        <v/>
      </c>
      <c r="D124" s="149"/>
      <c r="E124" s="61" t="str">
        <f aca="false">IF(OR($C124="",名簿!$F124="転出"),"",IF($C$2="学級ごと",$A124,IF($C$2="前の単元と同じ",単元10!$E124&amp;"",$D124&amp;"")))</f>
        <v/>
      </c>
      <c r="F124" s="150"/>
      <c r="G124" s="150"/>
      <c r="H124" s="150"/>
      <c r="I124" s="151"/>
      <c r="J124" s="41" t="str">
        <f aca="false">IF($E124="","",$E124&amp;"|"&amp;COUNTIF($E$5:$E124,$E124))</f>
        <v/>
      </c>
      <c r="K124" s="40" t="str">
        <f aca="false">IF($I124="","",LEN($I124))</f>
        <v/>
      </c>
      <c r="L124" s="13"/>
      <c r="M124" s="13"/>
      <c r="N124" s="13"/>
      <c r="O124" s="13"/>
      <c r="P124" s="152"/>
      <c r="Q124" s="149"/>
      <c r="R124" s="152"/>
      <c r="S124" s="152"/>
      <c r="T124" s="62" t="str">
        <f aca="false">IF(OR($C124="",R124=""),"",IF(R124/IF($R$2="",100,$R$2)&gt;=設定!$I$28,設定!$G$8,IF(R124/IF($R$2="",100,$R$2)&lt;設定!$I$29,設定!$G$10,設定!$G$9)))</f>
        <v/>
      </c>
      <c r="U124" s="62" t="str">
        <f aca="false">IF(OR($C124="",S124=""),"",IF(S124/IF($S$2="",100,$S$2)&gt;=設定!$I$28,設定!$G$8,IF(S124/IF($S$2="",100,$S$2)&lt;設定!$I$29,設定!$G$10,設定!$G$9)))</f>
        <v/>
      </c>
    </row>
    <row r="125" customFormat="false" ht="21" hidden="false" customHeight="true" outlineLevel="0" collapsed="false">
      <c r="A125" s="91" t="str">
        <f aca="false">IF(名簿!$D125="","",名簿!$B125&amp;"")</f>
        <v/>
      </c>
      <c r="B125" s="91" t="str">
        <f aca="false">IF(名簿!$D125="","",名簿!$C125)</f>
        <v/>
      </c>
      <c r="C125" s="59" t="str">
        <f aca="false">IF(名簿!$D125="","",名簿!$D125&amp;IF(名簿!$F125="転出","（転出）",""))</f>
        <v/>
      </c>
      <c r="D125" s="149"/>
      <c r="E125" s="61" t="str">
        <f aca="false">IF(OR($C125="",名簿!$F125="転出"),"",IF($C$2="学級ごと",$A125,IF($C$2="前の単元と同じ",単元10!$E125&amp;"",$D125&amp;"")))</f>
        <v/>
      </c>
      <c r="F125" s="150"/>
      <c r="G125" s="150"/>
      <c r="H125" s="150"/>
      <c r="I125" s="151"/>
      <c r="J125" s="41" t="str">
        <f aca="false">IF($E125="","",$E125&amp;"|"&amp;COUNTIF($E$5:$E125,$E125))</f>
        <v/>
      </c>
      <c r="K125" s="40" t="str">
        <f aca="false">IF($I125="","",LEN($I125))</f>
        <v/>
      </c>
      <c r="L125" s="13"/>
      <c r="M125" s="13"/>
      <c r="N125" s="13"/>
      <c r="O125" s="13"/>
      <c r="P125" s="152"/>
      <c r="Q125" s="149"/>
      <c r="R125" s="152"/>
      <c r="S125" s="152"/>
      <c r="T125" s="62" t="str">
        <f aca="false">IF(OR($C125="",R125=""),"",IF(R125/IF($R$2="",100,$R$2)&gt;=設定!$I$28,設定!$G$8,IF(R125/IF($R$2="",100,$R$2)&lt;設定!$I$29,設定!$G$10,設定!$G$9)))</f>
        <v/>
      </c>
      <c r="U125" s="62" t="str">
        <f aca="false">IF(OR($C125="",S125=""),"",IF(S125/IF($S$2="",100,$S$2)&gt;=設定!$I$28,設定!$G$8,IF(S125/IF($S$2="",100,$S$2)&lt;設定!$I$29,設定!$G$10,設定!$G$9)))</f>
        <v/>
      </c>
    </row>
    <row r="126" customFormat="false" ht="21" hidden="false" customHeight="true" outlineLevel="0" collapsed="false">
      <c r="A126" s="91" t="str">
        <f aca="false">IF(名簿!$D126="","",名簿!$B126&amp;"")</f>
        <v/>
      </c>
      <c r="B126" s="91" t="str">
        <f aca="false">IF(名簿!$D126="","",名簿!$C126)</f>
        <v/>
      </c>
      <c r="C126" s="59" t="str">
        <f aca="false">IF(名簿!$D126="","",名簿!$D126&amp;IF(名簿!$F126="転出","（転出）",""))</f>
        <v/>
      </c>
      <c r="D126" s="149"/>
      <c r="E126" s="61" t="str">
        <f aca="false">IF(OR($C126="",名簿!$F126="転出"),"",IF($C$2="学級ごと",$A126,IF($C$2="前の単元と同じ",単元10!$E126&amp;"",$D126&amp;"")))</f>
        <v/>
      </c>
      <c r="F126" s="150"/>
      <c r="G126" s="150"/>
      <c r="H126" s="150"/>
      <c r="I126" s="151"/>
      <c r="J126" s="41" t="str">
        <f aca="false">IF($E126="","",$E126&amp;"|"&amp;COUNTIF($E$5:$E126,$E126))</f>
        <v/>
      </c>
      <c r="K126" s="40" t="str">
        <f aca="false">IF($I126="","",LEN($I126))</f>
        <v/>
      </c>
      <c r="L126" s="13"/>
      <c r="M126" s="13"/>
      <c r="N126" s="13"/>
      <c r="O126" s="13"/>
      <c r="P126" s="152"/>
      <c r="Q126" s="149"/>
      <c r="R126" s="152"/>
      <c r="S126" s="152"/>
      <c r="T126" s="62" t="str">
        <f aca="false">IF(OR($C126="",R126=""),"",IF(R126/IF($R$2="",100,$R$2)&gt;=設定!$I$28,設定!$G$8,IF(R126/IF($R$2="",100,$R$2)&lt;設定!$I$29,設定!$G$10,設定!$G$9)))</f>
        <v/>
      </c>
      <c r="U126" s="62" t="str">
        <f aca="false">IF(OR($C126="",S126=""),"",IF(S126/IF($S$2="",100,$S$2)&gt;=設定!$I$28,設定!$G$8,IF(S126/IF($S$2="",100,$S$2)&lt;設定!$I$29,設定!$G$10,設定!$G$9)))</f>
        <v/>
      </c>
    </row>
    <row r="127" customFormat="false" ht="21" hidden="false" customHeight="true" outlineLevel="0" collapsed="false">
      <c r="A127" s="91" t="str">
        <f aca="false">IF(名簿!$D127="","",名簿!$B127&amp;"")</f>
        <v/>
      </c>
      <c r="B127" s="91" t="str">
        <f aca="false">IF(名簿!$D127="","",名簿!$C127)</f>
        <v/>
      </c>
      <c r="C127" s="59" t="str">
        <f aca="false">IF(名簿!$D127="","",名簿!$D127&amp;IF(名簿!$F127="転出","（転出）",""))</f>
        <v/>
      </c>
      <c r="D127" s="149"/>
      <c r="E127" s="61" t="str">
        <f aca="false">IF(OR($C127="",名簿!$F127="転出"),"",IF($C$2="学級ごと",$A127,IF($C$2="前の単元と同じ",単元10!$E127&amp;"",$D127&amp;"")))</f>
        <v/>
      </c>
      <c r="F127" s="150"/>
      <c r="G127" s="150"/>
      <c r="H127" s="150"/>
      <c r="I127" s="151"/>
      <c r="J127" s="41" t="str">
        <f aca="false">IF($E127="","",$E127&amp;"|"&amp;COUNTIF($E$5:$E127,$E127))</f>
        <v/>
      </c>
      <c r="K127" s="40" t="str">
        <f aca="false">IF($I127="","",LEN($I127))</f>
        <v/>
      </c>
      <c r="L127" s="13"/>
      <c r="M127" s="13"/>
      <c r="N127" s="13"/>
      <c r="O127" s="13"/>
      <c r="P127" s="152"/>
      <c r="Q127" s="149"/>
      <c r="R127" s="152"/>
      <c r="S127" s="152"/>
      <c r="T127" s="62" t="str">
        <f aca="false">IF(OR($C127="",R127=""),"",IF(R127/IF($R$2="",100,$R$2)&gt;=設定!$I$28,設定!$G$8,IF(R127/IF($R$2="",100,$R$2)&lt;設定!$I$29,設定!$G$10,設定!$G$9)))</f>
        <v/>
      </c>
      <c r="U127" s="62" t="str">
        <f aca="false">IF(OR($C127="",S127=""),"",IF(S127/IF($S$2="",100,$S$2)&gt;=設定!$I$28,設定!$G$8,IF(S127/IF($S$2="",100,$S$2)&lt;設定!$I$29,設定!$G$10,設定!$G$9)))</f>
        <v/>
      </c>
    </row>
    <row r="128" customFormat="false" ht="21" hidden="false" customHeight="true" outlineLevel="0" collapsed="false">
      <c r="A128" s="91" t="str">
        <f aca="false">IF(名簿!$D128="","",名簿!$B128&amp;"")</f>
        <v/>
      </c>
      <c r="B128" s="91" t="str">
        <f aca="false">IF(名簿!$D128="","",名簿!$C128)</f>
        <v/>
      </c>
      <c r="C128" s="59" t="str">
        <f aca="false">IF(名簿!$D128="","",名簿!$D128&amp;IF(名簿!$F128="転出","（転出）",""))</f>
        <v/>
      </c>
      <c r="D128" s="149"/>
      <c r="E128" s="61" t="str">
        <f aca="false">IF(OR($C128="",名簿!$F128="転出"),"",IF($C$2="学級ごと",$A128,IF($C$2="前の単元と同じ",単元10!$E128&amp;"",$D128&amp;"")))</f>
        <v/>
      </c>
      <c r="F128" s="150"/>
      <c r="G128" s="150"/>
      <c r="H128" s="150"/>
      <c r="I128" s="151"/>
      <c r="J128" s="41" t="str">
        <f aca="false">IF($E128="","",$E128&amp;"|"&amp;COUNTIF($E$5:$E128,$E128))</f>
        <v/>
      </c>
      <c r="K128" s="40" t="str">
        <f aca="false">IF($I128="","",LEN($I128))</f>
        <v/>
      </c>
      <c r="L128" s="13"/>
      <c r="M128" s="13"/>
      <c r="N128" s="13"/>
      <c r="O128" s="13"/>
      <c r="P128" s="152"/>
      <c r="Q128" s="149"/>
      <c r="R128" s="152"/>
      <c r="S128" s="152"/>
      <c r="T128" s="62" t="str">
        <f aca="false">IF(OR($C128="",R128=""),"",IF(R128/IF($R$2="",100,$R$2)&gt;=設定!$I$28,設定!$G$8,IF(R128/IF($R$2="",100,$R$2)&lt;設定!$I$29,設定!$G$10,設定!$G$9)))</f>
        <v/>
      </c>
      <c r="U128" s="62" t="str">
        <f aca="false">IF(OR($C128="",S128=""),"",IF(S128/IF($S$2="",100,$S$2)&gt;=設定!$I$28,設定!$G$8,IF(S128/IF($S$2="",100,$S$2)&lt;設定!$I$29,設定!$G$10,設定!$G$9)))</f>
        <v/>
      </c>
    </row>
    <row r="129" customFormat="false" ht="21" hidden="false" customHeight="true" outlineLevel="0" collapsed="false">
      <c r="A129" s="91" t="str">
        <f aca="false">IF(名簿!$D129="","",名簿!$B129&amp;"")</f>
        <v/>
      </c>
      <c r="B129" s="91" t="str">
        <f aca="false">IF(名簿!$D129="","",名簿!$C129)</f>
        <v/>
      </c>
      <c r="C129" s="59" t="str">
        <f aca="false">IF(名簿!$D129="","",名簿!$D129&amp;IF(名簿!$F129="転出","（転出）",""))</f>
        <v/>
      </c>
      <c r="D129" s="149"/>
      <c r="E129" s="61" t="str">
        <f aca="false">IF(OR($C129="",名簿!$F129="転出"),"",IF($C$2="学級ごと",$A129,IF($C$2="前の単元と同じ",単元10!$E129&amp;"",$D129&amp;"")))</f>
        <v/>
      </c>
      <c r="F129" s="150"/>
      <c r="G129" s="150"/>
      <c r="H129" s="150"/>
      <c r="I129" s="151"/>
      <c r="J129" s="41" t="str">
        <f aca="false">IF($E129="","",$E129&amp;"|"&amp;COUNTIF($E$5:$E129,$E129))</f>
        <v/>
      </c>
      <c r="K129" s="40" t="str">
        <f aca="false">IF($I129="","",LEN($I129))</f>
        <v/>
      </c>
      <c r="L129" s="13"/>
      <c r="M129" s="13"/>
      <c r="N129" s="13"/>
      <c r="O129" s="13"/>
      <c r="P129" s="152"/>
      <c r="Q129" s="149"/>
      <c r="R129" s="152"/>
      <c r="S129" s="152"/>
      <c r="T129" s="62" t="str">
        <f aca="false">IF(OR($C129="",R129=""),"",IF(R129/IF($R$2="",100,$R$2)&gt;=設定!$I$28,設定!$G$8,IF(R129/IF($R$2="",100,$R$2)&lt;設定!$I$29,設定!$G$10,設定!$G$9)))</f>
        <v/>
      </c>
      <c r="U129" s="62" t="str">
        <f aca="false">IF(OR($C129="",S129=""),"",IF(S129/IF($S$2="",100,$S$2)&gt;=設定!$I$28,設定!$G$8,IF(S129/IF($S$2="",100,$S$2)&lt;設定!$I$29,設定!$G$10,設定!$G$9)))</f>
        <v/>
      </c>
    </row>
    <row r="130" customFormat="false" ht="21" hidden="false" customHeight="true" outlineLevel="0" collapsed="false">
      <c r="A130" s="91" t="str">
        <f aca="false">IF(名簿!$D130="","",名簿!$B130&amp;"")</f>
        <v/>
      </c>
      <c r="B130" s="91" t="str">
        <f aca="false">IF(名簿!$D130="","",名簿!$C130)</f>
        <v/>
      </c>
      <c r="C130" s="59" t="str">
        <f aca="false">IF(名簿!$D130="","",名簿!$D130&amp;IF(名簿!$F130="転出","（転出）",""))</f>
        <v/>
      </c>
      <c r="D130" s="149"/>
      <c r="E130" s="61" t="str">
        <f aca="false">IF(OR($C130="",名簿!$F130="転出"),"",IF($C$2="学級ごと",$A130,IF($C$2="前の単元と同じ",単元10!$E130&amp;"",$D130&amp;"")))</f>
        <v/>
      </c>
      <c r="F130" s="150"/>
      <c r="G130" s="150"/>
      <c r="H130" s="150"/>
      <c r="I130" s="151"/>
      <c r="J130" s="41" t="str">
        <f aca="false">IF($E130="","",$E130&amp;"|"&amp;COUNTIF($E$5:$E130,$E130))</f>
        <v/>
      </c>
      <c r="K130" s="40" t="str">
        <f aca="false">IF($I130="","",LEN($I130))</f>
        <v/>
      </c>
      <c r="L130" s="13"/>
      <c r="M130" s="13"/>
      <c r="N130" s="13"/>
      <c r="O130" s="13"/>
      <c r="P130" s="152"/>
      <c r="Q130" s="149"/>
      <c r="R130" s="152"/>
      <c r="S130" s="152"/>
      <c r="T130" s="62" t="str">
        <f aca="false">IF(OR($C130="",R130=""),"",IF(R130/IF($R$2="",100,$R$2)&gt;=設定!$I$28,設定!$G$8,IF(R130/IF($R$2="",100,$R$2)&lt;設定!$I$29,設定!$G$10,設定!$G$9)))</f>
        <v/>
      </c>
      <c r="U130" s="62" t="str">
        <f aca="false">IF(OR($C130="",S130=""),"",IF(S130/IF($S$2="",100,$S$2)&gt;=設定!$I$28,設定!$G$8,IF(S130/IF($S$2="",100,$S$2)&lt;設定!$I$29,設定!$G$10,設定!$G$9)))</f>
        <v/>
      </c>
    </row>
    <row r="131" customFormat="false" ht="21" hidden="false" customHeight="true" outlineLevel="0" collapsed="false">
      <c r="A131" s="91" t="str">
        <f aca="false">IF(名簿!$D131="","",名簿!$B131&amp;"")</f>
        <v/>
      </c>
      <c r="B131" s="91" t="str">
        <f aca="false">IF(名簿!$D131="","",名簿!$C131)</f>
        <v/>
      </c>
      <c r="C131" s="59" t="str">
        <f aca="false">IF(名簿!$D131="","",名簿!$D131&amp;IF(名簿!$F131="転出","（転出）",""))</f>
        <v/>
      </c>
      <c r="D131" s="149"/>
      <c r="E131" s="61" t="str">
        <f aca="false">IF(OR($C131="",名簿!$F131="転出"),"",IF($C$2="学級ごと",$A131,IF($C$2="前の単元と同じ",単元10!$E131&amp;"",$D131&amp;"")))</f>
        <v/>
      </c>
      <c r="F131" s="150"/>
      <c r="G131" s="150"/>
      <c r="H131" s="150"/>
      <c r="I131" s="151"/>
      <c r="J131" s="41" t="str">
        <f aca="false">IF($E131="","",$E131&amp;"|"&amp;COUNTIF($E$5:$E131,$E131))</f>
        <v/>
      </c>
      <c r="K131" s="40" t="str">
        <f aca="false">IF($I131="","",LEN($I131))</f>
        <v/>
      </c>
      <c r="L131" s="13"/>
      <c r="M131" s="13"/>
      <c r="N131" s="13"/>
      <c r="O131" s="13"/>
      <c r="P131" s="152"/>
      <c r="Q131" s="149"/>
      <c r="R131" s="152"/>
      <c r="S131" s="152"/>
      <c r="T131" s="62" t="str">
        <f aca="false">IF(OR($C131="",R131=""),"",IF(R131/IF($R$2="",100,$R$2)&gt;=設定!$I$28,設定!$G$8,IF(R131/IF($R$2="",100,$R$2)&lt;設定!$I$29,設定!$G$10,設定!$G$9)))</f>
        <v/>
      </c>
      <c r="U131" s="62" t="str">
        <f aca="false">IF(OR($C131="",S131=""),"",IF(S131/IF($S$2="",100,$S$2)&gt;=設定!$I$28,設定!$G$8,IF(S131/IF($S$2="",100,$S$2)&lt;設定!$I$29,設定!$G$10,設定!$G$9)))</f>
        <v/>
      </c>
    </row>
    <row r="132" customFormat="false" ht="21" hidden="false" customHeight="true" outlineLevel="0" collapsed="false">
      <c r="A132" s="91" t="str">
        <f aca="false">IF(名簿!$D132="","",名簿!$B132&amp;"")</f>
        <v/>
      </c>
      <c r="B132" s="91" t="str">
        <f aca="false">IF(名簿!$D132="","",名簿!$C132)</f>
        <v/>
      </c>
      <c r="C132" s="59" t="str">
        <f aca="false">IF(名簿!$D132="","",名簿!$D132&amp;IF(名簿!$F132="転出","（転出）",""))</f>
        <v/>
      </c>
      <c r="D132" s="149"/>
      <c r="E132" s="61" t="str">
        <f aca="false">IF(OR($C132="",名簿!$F132="転出"),"",IF($C$2="学級ごと",$A132,IF($C$2="前の単元と同じ",単元10!$E132&amp;"",$D132&amp;"")))</f>
        <v/>
      </c>
      <c r="F132" s="150"/>
      <c r="G132" s="150"/>
      <c r="H132" s="150"/>
      <c r="I132" s="151"/>
      <c r="J132" s="41" t="str">
        <f aca="false">IF($E132="","",$E132&amp;"|"&amp;COUNTIF($E$5:$E132,$E132))</f>
        <v/>
      </c>
      <c r="K132" s="40" t="str">
        <f aca="false">IF($I132="","",LEN($I132))</f>
        <v/>
      </c>
      <c r="L132" s="13"/>
      <c r="M132" s="13"/>
      <c r="N132" s="13"/>
      <c r="O132" s="13"/>
      <c r="P132" s="152"/>
      <c r="Q132" s="149"/>
      <c r="R132" s="152"/>
      <c r="S132" s="152"/>
      <c r="T132" s="62" t="str">
        <f aca="false">IF(OR($C132="",R132=""),"",IF(R132/IF($R$2="",100,$R$2)&gt;=設定!$I$28,設定!$G$8,IF(R132/IF($R$2="",100,$R$2)&lt;設定!$I$29,設定!$G$10,設定!$G$9)))</f>
        <v/>
      </c>
      <c r="U132" s="62" t="str">
        <f aca="false">IF(OR($C132="",S132=""),"",IF(S132/IF($S$2="",100,$S$2)&gt;=設定!$I$28,設定!$G$8,IF(S132/IF($S$2="",100,$S$2)&lt;設定!$I$29,設定!$G$10,設定!$G$9)))</f>
        <v/>
      </c>
    </row>
    <row r="133" customFormat="false" ht="21" hidden="false" customHeight="true" outlineLevel="0" collapsed="false">
      <c r="A133" s="91" t="str">
        <f aca="false">IF(名簿!$D133="","",名簿!$B133&amp;"")</f>
        <v/>
      </c>
      <c r="B133" s="91" t="str">
        <f aca="false">IF(名簿!$D133="","",名簿!$C133)</f>
        <v/>
      </c>
      <c r="C133" s="59" t="str">
        <f aca="false">IF(名簿!$D133="","",名簿!$D133&amp;IF(名簿!$F133="転出","（転出）",""))</f>
        <v/>
      </c>
      <c r="D133" s="149"/>
      <c r="E133" s="61" t="str">
        <f aca="false">IF(OR($C133="",名簿!$F133="転出"),"",IF($C$2="学級ごと",$A133,IF($C$2="前の単元と同じ",単元10!$E133&amp;"",$D133&amp;"")))</f>
        <v/>
      </c>
      <c r="F133" s="150"/>
      <c r="G133" s="150"/>
      <c r="H133" s="150"/>
      <c r="I133" s="151"/>
      <c r="J133" s="41" t="str">
        <f aca="false">IF($E133="","",$E133&amp;"|"&amp;COUNTIF($E$5:$E133,$E133))</f>
        <v/>
      </c>
      <c r="K133" s="40" t="str">
        <f aca="false">IF($I133="","",LEN($I133))</f>
        <v/>
      </c>
      <c r="L133" s="13"/>
      <c r="M133" s="13"/>
      <c r="N133" s="13"/>
      <c r="O133" s="13"/>
      <c r="P133" s="152"/>
      <c r="Q133" s="149"/>
      <c r="R133" s="152"/>
      <c r="S133" s="152"/>
      <c r="T133" s="62" t="str">
        <f aca="false">IF(OR($C133="",R133=""),"",IF(R133/IF($R$2="",100,$R$2)&gt;=設定!$I$28,設定!$G$8,IF(R133/IF($R$2="",100,$R$2)&lt;設定!$I$29,設定!$G$10,設定!$G$9)))</f>
        <v/>
      </c>
      <c r="U133" s="62" t="str">
        <f aca="false">IF(OR($C133="",S133=""),"",IF(S133/IF($S$2="",100,$S$2)&gt;=設定!$I$28,設定!$G$8,IF(S133/IF($S$2="",100,$S$2)&lt;設定!$I$29,設定!$G$10,設定!$G$9)))</f>
        <v/>
      </c>
    </row>
    <row r="134" customFormat="false" ht="21" hidden="false" customHeight="true" outlineLevel="0" collapsed="false">
      <c r="A134" s="91" t="str">
        <f aca="false">IF(名簿!$D134="","",名簿!$B134&amp;"")</f>
        <v/>
      </c>
      <c r="B134" s="91" t="str">
        <f aca="false">IF(名簿!$D134="","",名簿!$C134)</f>
        <v/>
      </c>
      <c r="C134" s="59" t="str">
        <f aca="false">IF(名簿!$D134="","",名簿!$D134&amp;IF(名簿!$F134="転出","（転出）",""))</f>
        <v/>
      </c>
      <c r="D134" s="149"/>
      <c r="E134" s="61" t="str">
        <f aca="false">IF(OR($C134="",名簿!$F134="転出"),"",IF($C$2="学級ごと",$A134,IF($C$2="前の単元と同じ",単元10!$E134&amp;"",$D134&amp;"")))</f>
        <v/>
      </c>
      <c r="F134" s="150"/>
      <c r="G134" s="150"/>
      <c r="H134" s="150"/>
      <c r="I134" s="151"/>
      <c r="J134" s="41" t="str">
        <f aca="false">IF($E134="","",$E134&amp;"|"&amp;COUNTIF($E$5:$E134,$E134))</f>
        <v/>
      </c>
      <c r="K134" s="40" t="str">
        <f aca="false">IF($I134="","",LEN($I134))</f>
        <v/>
      </c>
      <c r="L134" s="13"/>
      <c r="M134" s="13"/>
      <c r="N134" s="13"/>
      <c r="O134" s="13"/>
      <c r="P134" s="152"/>
      <c r="Q134" s="149"/>
      <c r="R134" s="152"/>
      <c r="S134" s="152"/>
      <c r="T134" s="62" t="str">
        <f aca="false">IF(OR($C134="",R134=""),"",IF(R134/IF($R$2="",100,$R$2)&gt;=設定!$I$28,設定!$G$8,IF(R134/IF($R$2="",100,$R$2)&lt;設定!$I$29,設定!$G$10,設定!$G$9)))</f>
        <v/>
      </c>
      <c r="U134" s="62" t="str">
        <f aca="false">IF(OR($C134="",S134=""),"",IF(S134/IF($S$2="",100,$S$2)&gt;=設定!$I$28,設定!$G$8,IF(S134/IF($S$2="",100,$S$2)&lt;設定!$I$29,設定!$G$10,設定!$G$9)))</f>
        <v/>
      </c>
    </row>
    <row r="135" customFormat="false" ht="21" hidden="false" customHeight="true" outlineLevel="0" collapsed="false">
      <c r="A135" s="91" t="str">
        <f aca="false">IF(名簿!$D135="","",名簿!$B135&amp;"")</f>
        <v/>
      </c>
      <c r="B135" s="91" t="str">
        <f aca="false">IF(名簿!$D135="","",名簿!$C135)</f>
        <v/>
      </c>
      <c r="C135" s="59" t="str">
        <f aca="false">IF(名簿!$D135="","",名簿!$D135&amp;IF(名簿!$F135="転出","（転出）",""))</f>
        <v/>
      </c>
      <c r="D135" s="149"/>
      <c r="E135" s="61" t="str">
        <f aca="false">IF(OR($C135="",名簿!$F135="転出"),"",IF($C$2="学級ごと",$A135,IF($C$2="前の単元と同じ",単元10!$E135&amp;"",$D135&amp;"")))</f>
        <v/>
      </c>
      <c r="F135" s="150"/>
      <c r="G135" s="150"/>
      <c r="H135" s="150"/>
      <c r="I135" s="151"/>
      <c r="J135" s="41" t="str">
        <f aca="false">IF($E135="","",$E135&amp;"|"&amp;COUNTIF($E$5:$E135,$E135))</f>
        <v/>
      </c>
      <c r="K135" s="40" t="str">
        <f aca="false">IF($I135="","",LEN($I135))</f>
        <v/>
      </c>
      <c r="L135" s="13"/>
      <c r="M135" s="13"/>
      <c r="N135" s="13"/>
      <c r="O135" s="13"/>
      <c r="P135" s="152"/>
      <c r="Q135" s="149"/>
      <c r="R135" s="152"/>
      <c r="S135" s="152"/>
      <c r="T135" s="62" t="str">
        <f aca="false">IF(OR($C135="",R135=""),"",IF(R135/IF($R$2="",100,$R$2)&gt;=設定!$I$28,設定!$G$8,IF(R135/IF($R$2="",100,$R$2)&lt;設定!$I$29,設定!$G$10,設定!$G$9)))</f>
        <v/>
      </c>
      <c r="U135" s="62" t="str">
        <f aca="false">IF(OR($C135="",S135=""),"",IF(S135/IF($S$2="",100,$S$2)&gt;=設定!$I$28,設定!$G$8,IF(S135/IF($S$2="",100,$S$2)&lt;設定!$I$29,設定!$G$10,設定!$G$9)))</f>
        <v/>
      </c>
    </row>
    <row r="136" customFormat="false" ht="21" hidden="false" customHeight="true" outlineLevel="0" collapsed="false">
      <c r="A136" s="91" t="str">
        <f aca="false">IF(名簿!$D136="","",名簿!$B136&amp;"")</f>
        <v/>
      </c>
      <c r="B136" s="91" t="str">
        <f aca="false">IF(名簿!$D136="","",名簿!$C136)</f>
        <v/>
      </c>
      <c r="C136" s="59" t="str">
        <f aca="false">IF(名簿!$D136="","",名簿!$D136&amp;IF(名簿!$F136="転出","（転出）",""))</f>
        <v/>
      </c>
      <c r="D136" s="149"/>
      <c r="E136" s="61" t="str">
        <f aca="false">IF(OR($C136="",名簿!$F136="転出"),"",IF($C$2="学級ごと",$A136,IF($C$2="前の単元と同じ",単元10!$E136&amp;"",$D136&amp;"")))</f>
        <v/>
      </c>
      <c r="F136" s="150"/>
      <c r="G136" s="150"/>
      <c r="H136" s="150"/>
      <c r="I136" s="151"/>
      <c r="J136" s="41" t="str">
        <f aca="false">IF($E136="","",$E136&amp;"|"&amp;COUNTIF($E$5:$E136,$E136))</f>
        <v/>
      </c>
      <c r="K136" s="40" t="str">
        <f aca="false">IF($I136="","",LEN($I136))</f>
        <v/>
      </c>
      <c r="L136" s="13"/>
      <c r="M136" s="13"/>
      <c r="N136" s="13"/>
      <c r="O136" s="13"/>
      <c r="P136" s="152"/>
      <c r="Q136" s="149"/>
      <c r="R136" s="152"/>
      <c r="S136" s="152"/>
      <c r="T136" s="62" t="str">
        <f aca="false">IF(OR($C136="",R136=""),"",IF(R136/IF($R$2="",100,$R$2)&gt;=設定!$I$28,設定!$G$8,IF(R136/IF($R$2="",100,$R$2)&lt;設定!$I$29,設定!$G$10,設定!$G$9)))</f>
        <v/>
      </c>
      <c r="U136" s="62" t="str">
        <f aca="false">IF(OR($C136="",S136=""),"",IF(S136/IF($S$2="",100,$S$2)&gt;=設定!$I$28,設定!$G$8,IF(S136/IF($S$2="",100,$S$2)&lt;設定!$I$29,設定!$G$10,設定!$G$9)))</f>
        <v/>
      </c>
    </row>
    <row r="137" customFormat="false" ht="21" hidden="false" customHeight="true" outlineLevel="0" collapsed="false">
      <c r="A137" s="91" t="str">
        <f aca="false">IF(名簿!$D137="","",名簿!$B137&amp;"")</f>
        <v/>
      </c>
      <c r="B137" s="91" t="str">
        <f aca="false">IF(名簿!$D137="","",名簿!$C137)</f>
        <v/>
      </c>
      <c r="C137" s="59" t="str">
        <f aca="false">IF(名簿!$D137="","",名簿!$D137&amp;IF(名簿!$F137="転出","（転出）",""))</f>
        <v/>
      </c>
      <c r="D137" s="149"/>
      <c r="E137" s="61" t="str">
        <f aca="false">IF(OR($C137="",名簿!$F137="転出"),"",IF($C$2="学級ごと",$A137,IF($C$2="前の単元と同じ",単元10!$E137&amp;"",$D137&amp;"")))</f>
        <v/>
      </c>
      <c r="F137" s="150"/>
      <c r="G137" s="150"/>
      <c r="H137" s="150"/>
      <c r="I137" s="151"/>
      <c r="J137" s="41" t="str">
        <f aca="false">IF($E137="","",$E137&amp;"|"&amp;COUNTIF($E$5:$E137,$E137))</f>
        <v/>
      </c>
      <c r="K137" s="40" t="str">
        <f aca="false">IF($I137="","",LEN($I137))</f>
        <v/>
      </c>
      <c r="L137" s="13"/>
      <c r="M137" s="13"/>
      <c r="N137" s="13"/>
      <c r="O137" s="13"/>
      <c r="P137" s="152"/>
      <c r="Q137" s="149"/>
      <c r="R137" s="152"/>
      <c r="S137" s="152"/>
      <c r="T137" s="62" t="str">
        <f aca="false">IF(OR($C137="",R137=""),"",IF(R137/IF($R$2="",100,$R$2)&gt;=設定!$I$28,設定!$G$8,IF(R137/IF($R$2="",100,$R$2)&lt;設定!$I$29,設定!$G$10,設定!$G$9)))</f>
        <v/>
      </c>
      <c r="U137" s="62" t="str">
        <f aca="false">IF(OR($C137="",S137=""),"",IF(S137/IF($S$2="",100,$S$2)&gt;=設定!$I$28,設定!$G$8,IF(S137/IF($S$2="",100,$S$2)&lt;設定!$I$29,設定!$G$10,設定!$G$9)))</f>
        <v/>
      </c>
    </row>
    <row r="138" customFormat="false" ht="21" hidden="false" customHeight="true" outlineLevel="0" collapsed="false">
      <c r="A138" s="91" t="str">
        <f aca="false">IF(名簿!$D138="","",名簿!$B138&amp;"")</f>
        <v/>
      </c>
      <c r="B138" s="91" t="str">
        <f aca="false">IF(名簿!$D138="","",名簿!$C138)</f>
        <v/>
      </c>
      <c r="C138" s="59" t="str">
        <f aca="false">IF(名簿!$D138="","",名簿!$D138&amp;IF(名簿!$F138="転出","（転出）",""))</f>
        <v/>
      </c>
      <c r="D138" s="149"/>
      <c r="E138" s="61" t="str">
        <f aca="false">IF(OR($C138="",名簿!$F138="転出"),"",IF($C$2="学級ごと",$A138,IF($C$2="前の単元と同じ",単元10!$E138&amp;"",$D138&amp;"")))</f>
        <v/>
      </c>
      <c r="F138" s="150"/>
      <c r="G138" s="150"/>
      <c r="H138" s="150"/>
      <c r="I138" s="151"/>
      <c r="J138" s="41" t="str">
        <f aca="false">IF($E138="","",$E138&amp;"|"&amp;COUNTIF($E$5:$E138,$E138))</f>
        <v/>
      </c>
      <c r="K138" s="40" t="str">
        <f aca="false">IF($I138="","",LEN($I138))</f>
        <v/>
      </c>
      <c r="L138" s="13"/>
      <c r="M138" s="13"/>
      <c r="N138" s="13"/>
      <c r="O138" s="13"/>
      <c r="P138" s="152"/>
      <c r="Q138" s="149"/>
      <c r="R138" s="152"/>
      <c r="S138" s="152"/>
      <c r="T138" s="62" t="str">
        <f aca="false">IF(OR($C138="",R138=""),"",IF(R138/IF($R$2="",100,$R$2)&gt;=設定!$I$28,設定!$G$8,IF(R138/IF($R$2="",100,$R$2)&lt;設定!$I$29,設定!$G$10,設定!$G$9)))</f>
        <v/>
      </c>
      <c r="U138" s="62" t="str">
        <f aca="false">IF(OR($C138="",S138=""),"",IF(S138/IF($S$2="",100,$S$2)&gt;=設定!$I$28,設定!$G$8,IF(S138/IF($S$2="",100,$S$2)&lt;設定!$I$29,設定!$G$10,設定!$G$9)))</f>
        <v/>
      </c>
    </row>
    <row r="139" customFormat="false" ht="21" hidden="false" customHeight="true" outlineLevel="0" collapsed="false">
      <c r="A139" s="91" t="str">
        <f aca="false">IF(名簿!$D139="","",名簿!$B139&amp;"")</f>
        <v/>
      </c>
      <c r="B139" s="91" t="str">
        <f aca="false">IF(名簿!$D139="","",名簿!$C139)</f>
        <v/>
      </c>
      <c r="C139" s="59" t="str">
        <f aca="false">IF(名簿!$D139="","",名簿!$D139&amp;IF(名簿!$F139="転出","（転出）",""))</f>
        <v/>
      </c>
      <c r="D139" s="149"/>
      <c r="E139" s="61" t="str">
        <f aca="false">IF(OR($C139="",名簿!$F139="転出"),"",IF($C$2="学級ごと",$A139,IF($C$2="前の単元と同じ",単元10!$E139&amp;"",$D139&amp;"")))</f>
        <v/>
      </c>
      <c r="F139" s="150"/>
      <c r="G139" s="150"/>
      <c r="H139" s="150"/>
      <c r="I139" s="151"/>
      <c r="J139" s="41" t="str">
        <f aca="false">IF($E139="","",$E139&amp;"|"&amp;COUNTIF($E$5:$E139,$E139))</f>
        <v/>
      </c>
      <c r="K139" s="40" t="str">
        <f aca="false">IF($I139="","",LEN($I139))</f>
        <v/>
      </c>
      <c r="L139" s="13"/>
      <c r="M139" s="13"/>
      <c r="N139" s="13"/>
      <c r="O139" s="13"/>
      <c r="P139" s="152"/>
      <c r="Q139" s="149"/>
      <c r="R139" s="152"/>
      <c r="S139" s="152"/>
      <c r="T139" s="62" t="str">
        <f aca="false">IF(OR($C139="",R139=""),"",IF(R139/IF($R$2="",100,$R$2)&gt;=設定!$I$28,設定!$G$8,IF(R139/IF($R$2="",100,$R$2)&lt;設定!$I$29,設定!$G$10,設定!$G$9)))</f>
        <v/>
      </c>
      <c r="U139" s="62" t="str">
        <f aca="false">IF(OR($C139="",S139=""),"",IF(S139/IF($S$2="",100,$S$2)&gt;=設定!$I$28,設定!$G$8,IF(S139/IF($S$2="",100,$S$2)&lt;設定!$I$29,設定!$G$10,設定!$G$9)))</f>
        <v/>
      </c>
    </row>
    <row r="140" customFormat="false" ht="21" hidden="false" customHeight="true" outlineLevel="0" collapsed="false">
      <c r="A140" s="91" t="str">
        <f aca="false">IF(名簿!$D140="","",名簿!$B140&amp;"")</f>
        <v/>
      </c>
      <c r="B140" s="91" t="str">
        <f aca="false">IF(名簿!$D140="","",名簿!$C140)</f>
        <v/>
      </c>
      <c r="C140" s="59" t="str">
        <f aca="false">IF(名簿!$D140="","",名簿!$D140&amp;IF(名簿!$F140="転出","（転出）",""))</f>
        <v/>
      </c>
      <c r="D140" s="149"/>
      <c r="E140" s="61" t="str">
        <f aca="false">IF(OR($C140="",名簿!$F140="転出"),"",IF($C$2="学級ごと",$A140,IF($C$2="前の単元と同じ",単元10!$E140&amp;"",$D140&amp;"")))</f>
        <v/>
      </c>
      <c r="F140" s="150"/>
      <c r="G140" s="150"/>
      <c r="H140" s="150"/>
      <c r="I140" s="151"/>
      <c r="J140" s="41" t="str">
        <f aca="false">IF($E140="","",$E140&amp;"|"&amp;COUNTIF($E$5:$E140,$E140))</f>
        <v/>
      </c>
      <c r="K140" s="40" t="str">
        <f aca="false">IF($I140="","",LEN($I140))</f>
        <v/>
      </c>
      <c r="L140" s="13"/>
      <c r="M140" s="13"/>
      <c r="N140" s="13"/>
      <c r="O140" s="13"/>
      <c r="P140" s="152"/>
      <c r="Q140" s="149"/>
      <c r="R140" s="152"/>
      <c r="S140" s="152"/>
      <c r="T140" s="62" t="str">
        <f aca="false">IF(OR($C140="",R140=""),"",IF(R140/IF($R$2="",100,$R$2)&gt;=設定!$I$28,設定!$G$8,IF(R140/IF($R$2="",100,$R$2)&lt;設定!$I$29,設定!$G$10,設定!$G$9)))</f>
        <v/>
      </c>
      <c r="U140" s="62" t="str">
        <f aca="false">IF(OR($C140="",S140=""),"",IF(S140/IF($S$2="",100,$S$2)&gt;=設定!$I$28,設定!$G$8,IF(S140/IF($S$2="",100,$S$2)&lt;設定!$I$29,設定!$G$10,設定!$G$9)))</f>
        <v/>
      </c>
    </row>
    <row r="141" customFormat="false" ht="21" hidden="false" customHeight="true" outlineLevel="0" collapsed="false">
      <c r="A141" s="91" t="str">
        <f aca="false">IF(名簿!$D141="","",名簿!$B141&amp;"")</f>
        <v/>
      </c>
      <c r="B141" s="91" t="str">
        <f aca="false">IF(名簿!$D141="","",名簿!$C141)</f>
        <v/>
      </c>
      <c r="C141" s="59" t="str">
        <f aca="false">IF(名簿!$D141="","",名簿!$D141&amp;IF(名簿!$F141="転出","（転出）",""))</f>
        <v/>
      </c>
      <c r="D141" s="149"/>
      <c r="E141" s="61" t="str">
        <f aca="false">IF(OR($C141="",名簿!$F141="転出"),"",IF($C$2="学級ごと",$A141,IF($C$2="前の単元と同じ",単元10!$E141&amp;"",$D141&amp;"")))</f>
        <v/>
      </c>
      <c r="F141" s="150"/>
      <c r="G141" s="150"/>
      <c r="H141" s="150"/>
      <c r="I141" s="151"/>
      <c r="J141" s="41" t="str">
        <f aca="false">IF($E141="","",$E141&amp;"|"&amp;COUNTIF($E$5:$E141,$E141))</f>
        <v/>
      </c>
      <c r="K141" s="40" t="str">
        <f aca="false">IF($I141="","",LEN($I141))</f>
        <v/>
      </c>
      <c r="L141" s="13"/>
      <c r="M141" s="13"/>
      <c r="N141" s="13"/>
      <c r="O141" s="13"/>
      <c r="P141" s="152"/>
      <c r="Q141" s="149"/>
      <c r="R141" s="152"/>
      <c r="S141" s="152"/>
      <c r="T141" s="62" t="str">
        <f aca="false">IF(OR($C141="",R141=""),"",IF(R141/IF($R$2="",100,$R$2)&gt;=設定!$I$28,設定!$G$8,IF(R141/IF($R$2="",100,$R$2)&lt;設定!$I$29,設定!$G$10,設定!$G$9)))</f>
        <v/>
      </c>
      <c r="U141" s="62" t="str">
        <f aca="false">IF(OR($C141="",S141=""),"",IF(S141/IF($S$2="",100,$S$2)&gt;=設定!$I$28,設定!$G$8,IF(S141/IF($S$2="",100,$S$2)&lt;設定!$I$29,設定!$G$10,設定!$G$9)))</f>
        <v/>
      </c>
    </row>
    <row r="142" customFormat="false" ht="21" hidden="false" customHeight="true" outlineLevel="0" collapsed="false">
      <c r="A142" s="91" t="str">
        <f aca="false">IF(名簿!$D142="","",名簿!$B142&amp;"")</f>
        <v/>
      </c>
      <c r="B142" s="91" t="str">
        <f aca="false">IF(名簿!$D142="","",名簿!$C142)</f>
        <v/>
      </c>
      <c r="C142" s="59" t="str">
        <f aca="false">IF(名簿!$D142="","",名簿!$D142&amp;IF(名簿!$F142="転出","（転出）",""))</f>
        <v/>
      </c>
      <c r="D142" s="149"/>
      <c r="E142" s="61" t="str">
        <f aca="false">IF(OR($C142="",名簿!$F142="転出"),"",IF($C$2="学級ごと",$A142,IF($C$2="前の単元と同じ",単元10!$E142&amp;"",$D142&amp;"")))</f>
        <v/>
      </c>
      <c r="F142" s="150"/>
      <c r="G142" s="150"/>
      <c r="H142" s="150"/>
      <c r="I142" s="151"/>
      <c r="J142" s="41" t="str">
        <f aca="false">IF($E142="","",$E142&amp;"|"&amp;COUNTIF($E$5:$E142,$E142))</f>
        <v/>
      </c>
      <c r="K142" s="40" t="str">
        <f aca="false">IF($I142="","",LEN($I142))</f>
        <v/>
      </c>
      <c r="L142" s="13"/>
      <c r="M142" s="13"/>
      <c r="N142" s="13"/>
      <c r="O142" s="13"/>
      <c r="P142" s="152"/>
      <c r="Q142" s="149"/>
      <c r="R142" s="152"/>
      <c r="S142" s="152"/>
      <c r="T142" s="62" t="str">
        <f aca="false">IF(OR($C142="",R142=""),"",IF(R142/IF($R$2="",100,$R$2)&gt;=設定!$I$28,設定!$G$8,IF(R142/IF($R$2="",100,$R$2)&lt;設定!$I$29,設定!$G$10,設定!$G$9)))</f>
        <v/>
      </c>
      <c r="U142" s="62" t="str">
        <f aca="false">IF(OR($C142="",S142=""),"",IF(S142/IF($S$2="",100,$S$2)&gt;=設定!$I$28,設定!$G$8,IF(S142/IF($S$2="",100,$S$2)&lt;設定!$I$29,設定!$G$10,設定!$G$9)))</f>
        <v/>
      </c>
    </row>
    <row r="143" customFormat="false" ht="21" hidden="false" customHeight="true" outlineLevel="0" collapsed="false">
      <c r="A143" s="91" t="str">
        <f aca="false">IF(名簿!$D143="","",名簿!$B143&amp;"")</f>
        <v/>
      </c>
      <c r="B143" s="91" t="str">
        <f aca="false">IF(名簿!$D143="","",名簿!$C143)</f>
        <v/>
      </c>
      <c r="C143" s="59" t="str">
        <f aca="false">IF(名簿!$D143="","",名簿!$D143&amp;IF(名簿!$F143="転出","（転出）",""))</f>
        <v/>
      </c>
      <c r="D143" s="149"/>
      <c r="E143" s="61" t="str">
        <f aca="false">IF(OR($C143="",名簿!$F143="転出"),"",IF($C$2="学級ごと",$A143,IF($C$2="前の単元と同じ",単元10!$E143&amp;"",$D143&amp;"")))</f>
        <v/>
      </c>
      <c r="F143" s="150"/>
      <c r="G143" s="150"/>
      <c r="H143" s="150"/>
      <c r="I143" s="151"/>
      <c r="J143" s="41" t="str">
        <f aca="false">IF($E143="","",$E143&amp;"|"&amp;COUNTIF($E$5:$E143,$E143))</f>
        <v/>
      </c>
      <c r="K143" s="40" t="str">
        <f aca="false">IF($I143="","",LEN($I143))</f>
        <v/>
      </c>
      <c r="L143" s="13"/>
      <c r="M143" s="13"/>
      <c r="N143" s="13"/>
      <c r="O143" s="13"/>
      <c r="P143" s="152"/>
      <c r="Q143" s="149"/>
      <c r="R143" s="152"/>
      <c r="S143" s="152"/>
      <c r="T143" s="62" t="str">
        <f aca="false">IF(OR($C143="",R143=""),"",IF(R143/IF($R$2="",100,$R$2)&gt;=設定!$I$28,設定!$G$8,IF(R143/IF($R$2="",100,$R$2)&lt;設定!$I$29,設定!$G$10,設定!$G$9)))</f>
        <v/>
      </c>
      <c r="U143" s="62" t="str">
        <f aca="false">IF(OR($C143="",S143=""),"",IF(S143/IF($S$2="",100,$S$2)&gt;=設定!$I$28,設定!$G$8,IF(S143/IF($S$2="",100,$S$2)&lt;設定!$I$29,設定!$G$10,設定!$G$9)))</f>
        <v/>
      </c>
    </row>
    <row r="144" customFormat="false" ht="21" hidden="false" customHeight="true" outlineLevel="0" collapsed="false">
      <c r="A144" s="91" t="str">
        <f aca="false">IF(名簿!$D144="","",名簿!$B144&amp;"")</f>
        <v/>
      </c>
      <c r="B144" s="91" t="str">
        <f aca="false">IF(名簿!$D144="","",名簿!$C144)</f>
        <v/>
      </c>
      <c r="C144" s="59" t="str">
        <f aca="false">IF(名簿!$D144="","",名簿!$D144&amp;IF(名簿!$F144="転出","（転出）",""))</f>
        <v/>
      </c>
      <c r="D144" s="149"/>
      <c r="E144" s="61" t="str">
        <f aca="false">IF(OR($C144="",名簿!$F144="転出"),"",IF($C$2="学級ごと",$A144,IF($C$2="前の単元と同じ",単元10!$E144&amp;"",$D144&amp;"")))</f>
        <v/>
      </c>
      <c r="F144" s="150"/>
      <c r="G144" s="150"/>
      <c r="H144" s="150"/>
      <c r="I144" s="151"/>
      <c r="J144" s="41" t="str">
        <f aca="false">IF($E144="","",$E144&amp;"|"&amp;COUNTIF($E$5:$E144,$E144))</f>
        <v/>
      </c>
      <c r="K144" s="40" t="str">
        <f aca="false">IF($I144="","",LEN($I144))</f>
        <v/>
      </c>
      <c r="L144" s="13"/>
      <c r="M144" s="13"/>
      <c r="N144" s="13"/>
      <c r="O144" s="13"/>
      <c r="P144" s="152"/>
      <c r="Q144" s="149"/>
      <c r="R144" s="152"/>
      <c r="S144" s="152"/>
      <c r="T144" s="62" t="str">
        <f aca="false">IF(OR($C144="",R144=""),"",IF(R144/IF($R$2="",100,$R$2)&gt;=設定!$I$28,設定!$G$8,IF(R144/IF($R$2="",100,$R$2)&lt;設定!$I$29,設定!$G$10,設定!$G$9)))</f>
        <v/>
      </c>
      <c r="U144" s="62" t="str">
        <f aca="false">IF(OR($C144="",S144=""),"",IF(S144/IF($S$2="",100,$S$2)&gt;=設定!$I$28,設定!$G$8,IF(S144/IF($S$2="",100,$S$2)&lt;設定!$I$29,設定!$G$10,設定!$G$9)))</f>
        <v/>
      </c>
    </row>
    <row r="145" customFormat="false" ht="21" hidden="false" customHeight="true" outlineLevel="0" collapsed="false">
      <c r="A145" s="91" t="str">
        <f aca="false">IF(名簿!$D145="","",名簿!$B145&amp;"")</f>
        <v/>
      </c>
      <c r="B145" s="91" t="str">
        <f aca="false">IF(名簿!$D145="","",名簿!$C145)</f>
        <v/>
      </c>
      <c r="C145" s="59" t="str">
        <f aca="false">IF(名簿!$D145="","",名簿!$D145&amp;IF(名簿!$F145="転出","（転出）",""))</f>
        <v/>
      </c>
      <c r="D145" s="149"/>
      <c r="E145" s="61" t="str">
        <f aca="false">IF(OR($C145="",名簿!$F145="転出"),"",IF($C$2="学級ごと",$A145,IF($C$2="前の単元と同じ",単元10!$E145&amp;"",$D145&amp;"")))</f>
        <v/>
      </c>
      <c r="F145" s="150"/>
      <c r="G145" s="150"/>
      <c r="H145" s="150"/>
      <c r="I145" s="151"/>
      <c r="J145" s="41" t="str">
        <f aca="false">IF($E145="","",$E145&amp;"|"&amp;COUNTIF($E$5:$E145,$E145))</f>
        <v/>
      </c>
      <c r="K145" s="40" t="str">
        <f aca="false">IF($I145="","",LEN($I145))</f>
        <v/>
      </c>
      <c r="L145" s="13"/>
      <c r="M145" s="13"/>
      <c r="N145" s="13"/>
      <c r="O145" s="13"/>
      <c r="P145" s="152"/>
      <c r="Q145" s="149"/>
      <c r="R145" s="152"/>
      <c r="S145" s="152"/>
      <c r="T145" s="62" t="str">
        <f aca="false">IF(OR($C145="",R145=""),"",IF(R145/IF($R$2="",100,$R$2)&gt;=設定!$I$28,設定!$G$8,IF(R145/IF($R$2="",100,$R$2)&lt;設定!$I$29,設定!$G$10,設定!$G$9)))</f>
        <v/>
      </c>
      <c r="U145" s="62" t="str">
        <f aca="false">IF(OR($C145="",S145=""),"",IF(S145/IF($S$2="",100,$S$2)&gt;=設定!$I$28,設定!$G$8,IF(S145/IF($S$2="",100,$S$2)&lt;設定!$I$29,設定!$G$10,設定!$G$9)))</f>
        <v/>
      </c>
    </row>
    <row r="146" customFormat="false" ht="21" hidden="false" customHeight="true" outlineLevel="0" collapsed="false">
      <c r="A146" s="91" t="str">
        <f aca="false">IF(名簿!$D146="","",名簿!$B146&amp;"")</f>
        <v/>
      </c>
      <c r="B146" s="91" t="str">
        <f aca="false">IF(名簿!$D146="","",名簿!$C146)</f>
        <v/>
      </c>
      <c r="C146" s="59" t="str">
        <f aca="false">IF(名簿!$D146="","",名簿!$D146&amp;IF(名簿!$F146="転出","（転出）",""))</f>
        <v/>
      </c>
      <c r="D146" s="149"/>
      <c r="E146" s="61" t="str">
        <f aca="false">IF(OR($C146="",名簿!$F146="転出"),"",IF($C$2="学級ごと",$A146,IF($C$2="前の単元と同じ",単元10!$E146&amp;"",$D146&amp;"")))</f>
        <v/>
      </c>
      <c r="F146" s="150"/>
      <c r="G146" s="150"/>
      <c r="H146" s="150"/>
      <c r="I146" s="151"/>
      <c r="J146" s="41" t="str">
        <f aca="false">IF($E146="","",$E146&amp;"|"&amp;COUNTIF($E$5:$E146,$E146))</f>
        <v/>
      </c>
      <c r="K146" s="40" t="str">
        <f aca="false">IF($I146="","",LEN($I146))</f>
        <v/>
      </c>
      <c r="L146" s="13"/>
      <c r="M146" s="13"/>
      <c r="N146" s="13"/>
      <c r="O146" s="13"/>
      <c r="P146" s="152"/>
      <c r="Q146" s="149"/>
      <c r="R146" s="152"/>
      <c r="S146" s="152"/>
      <c r="T146" s="62" t="str">
        <f aca="false">IF(OR($C146="",R146=""),"",IF(R146/IF($R$2="",100,$R$2)&gt;=設定!$I$28,設定!$G$8,IF(R146/IF($R$2="",100,$R$2)&lt;設定!$I$29,設定!$G$10,設定!$G$9)))</f>
        <v/>
      </c>
      <c r="U146" s="62" t="str">
        <f aca="false">IF(OR($C146="",S146=""),"",IF(S146/IF($S$2="",100,$S$2)&gt;=設定!$I$28,設定!$G$8,IF(S146/IF($S$2="",100,$S$2)&lt;設定!$I$29,設定!$G$10,設定!$G$9)))</f>
        <v/>
      </c>
    </row>
    <row r="147" customFormat="false" ht="21" hidden="false" customHeight="true" outlineLevel="0" collapsed="false">
      <c r="A147" s="91" t="str">
        <f aca="false">IF(名簿!$D147="","",名簿!$B147&amp;"")</f>
        <v/>
      </c>
      <c r="B147" s="91" t="str">
        <f aca="false">IF(名簿!$D147="","",名簿!$C147)</f>
        <v/>
      </c>
      <c r="C147" s="59" t="str">
        <f aca="false">IF(名簿!$D147="","",名簿!$D147&amp;IF(名簿!$F147="転出","（転出）",""))</f>
        <v/>
      </c>
      <c r="D147" s="149"/>
      <c r="E147" s="61" t="str">
        <f aca="false">IF(OR($C147="",名簿!$F147="転出"),"",IF($C$2="学級ごと",$A147,IF($C$2="前の単元と同じ",単元10!$E147&amp;"",$D147&amp;"")))</f>
        <v/>
      </c>
      <c r="F147" s="150"/>
      <c r="G147" s="150"/>
      <c r="H147" s="150"/>
      <c r="I147" s="151"/>
      <c r="J147" s="41" t="str">
        <f aca="false">IF($E147="","",$E147&amp;"|"&amp;COUNTIF($E$5:$E147,$E147))</f>
        <v/>
      </c>
      <c r="K147" s="40" t="str">
        <f aca="false">IF($I147="","",LEN($I147))</f>
        <v/>
      </c>
      <c r="L147" s="13"/>
      <c r="M147" s="13"/>
      <c r="N147" s="13"/>
      <c r="O147" s="13"/>
      <c r="P147" s="152"/>
      <c r="Q147" s="149"/>
      <c r="R147" s="152"/>
      <c r="S147" s="152"/>
      <c r="T147" s="62" t="str">
        <f aca="false">IF(OR($C147="",R147=""),"",IF(R147/IF($R$2="",100,$R$2)&gt;=設定!$I$28,設定!$G$8,IF(R147/IF($R$2="",100,$R$2)&lt;設定!$I$29,設定!$G$10,設定!$G$9)))</f>
        <v/>
      </c>
      <c r="U147" s="62" t="str">
        <f aca="false">IF(OR($C147="",S147=""),"",IF(S147/IF($S$2="",100,$S$2)&gt;=設定!$I$28,設定!$G$8,IF(S147/IF($S$2="",100,$S$2)&lt;設定!$I$29,設定!$G$10,設定!$G$9)))</f>
        <v/>
      </c>
    </row>
    <row r="148" customFormat="false" ht="21" hidden="false" customHeight="true" outlineLevel="0" collapsed="false">
      <c r="A148" s="91" t="str">
        <f aca="false">IF(名簿!$D148="","",名簿!$B148&amp;"")</f>
        <v/>
      </c>
      <c r="B148" s="91" t="str">
        <f aca="false">IF(名簿!$D148="","",名簿!$C148)</f>
        <v/>
      </c>
      <c r="C148" s="59" t="str">
        <f aca="false">IF(名簿!$D148="","",名簿!$D148&amp;IF(名簿!$F148="転出","（転出）",""))</f>
        <v/>
      </c>
      <c r="D148" s="149"/>
      <c r="E148" s="61" t="str">
        <f aca="false">IF(OR($C148="",名簿!$F148="転出"),"",IF($C$2="学級ごと",$A148,IF($C$2="前の単元と同じ",単元10!$E148&amp;"",$D148&amp;"")))</f>
        <v/>
      </c>
      <c r="F148" s="150"/>
      <c r="G148" s="150"/>
      <c r="H148" s="150"/>
      <c r="I148" s="151"/>
      <c r="J148" s="41" t="str">
        <f aca="false">IF($E148="","",$E148&amp;"|"&amp;COUNTIF($E$5:$E148,$E148))</f>
        <v/>
      </c>
      <c r="K148" s="40" t="str">
        <f aca="false">IF($I148="","",LEN($I148))</f>
        <v/>
      </c>
      <c r="L148" s="13"/>
      <c r="M148" s="13"/>
      <c r="N148" s="13"/>
      <c r="O148" s="13"/>
      <c r="P148" s="152"/>
      <c r="Q148" s="149"/>
      <c r="R148" s="152"/>
      <c r="S148" s="152"/>
      <c r="T148" s="62" t="str">
        <f aca="false">IF(OR($C148="",R148=""),"",IF(R148/IF($R$2="",100,$R$2)&gt;=設定!$I$28,設定!$G$8,IF(R148/IF($R$2="",100,$R$2)&lt;設定!$I$29,設定!$G$10,設定!$G$9)))</f>
        <v/>
      </c>
      <c r="U148" s="62" t="str">
        <f aca="false">IF(OR($C148="",S148=""),"",IF(S148/IF($S$2="",100,$S$2)&gt;=設定!$I$28,設定!$G$8,IF(S148/IF($S$2="",100,$S$2)&lt;設定!$I$29,設定!$G$10,設定!$G$9)))</f>
        <v/>
      </c>
    </row>
    <row r="149" customFormat="false" ht="21" hidden="false" customHeight="true" outlineLevel="0" collapsed="false">
      <c r="A149" s="91" t="str">
        <f aca="false">IF(名簿!$D149="","",名簿!$B149&amp;"")</f>
        <v/>
      </c>
      <c r="B149" s="91" t="str">
        <f aca="false">IF(名簿!$D149="","",名簿!$C149)</f>
        <v/>
      </c>
      <c r="C149" s="59" t="str">
        <f aca="false">IF(名簿!$D149="","",名簿!$D149&amp;IF(名簿!$F149="転出","（転出）",""))</f>
        <v/>
      </c>
      <c r="D149" s="149"/>
      <c r="E149" s="61" t="str">
        <f aca="false">IF(OR($C149="",名簿!$F149="転出"),"",IF($C$2="学級ごと",$A149,IF($C$2="前の単元と同じ",単元10!$E149&amp;"",$D149&amp;"")))</f>
        <v/>
      </c>
      <c r="F149" s="150"/>
      <c r="G149" s="150"/>
      <c r="H149" s="150"/>
      <c r="I149" s="151"/>
      <c r="J149" s="41" t="str">
        <f aca="false">IF($E149="","",$E149&amp;"|"&amp;COUNTIF($E$5:$E149,$E149))</f>
        <v/>
      </c>
      <c r="K149" s="40" t="str">
        <f aca="false">IF($I149="","",LEN($I149))</f>
        <v/>
      </c>
      <c r="L149" s="13"/>
      <c r="M149" s="13"/>
      <c r="N149" s="13"/>
      <c r="O149" s="13"/>
      <c r="P149" s="152"/>
      <c r="Q149" s="149"/>
      <c r="R149" s="152"/>
      <c r="S149" s="152"/>
      <c r="T149" s="62" t="str">
        <f aca="false">IF(OR($C149="",R149=""),"",IF(R149/IF($R$2="",100,$R$2)&gt;=設定!$I$28,設定!$G$8,IF(R149/IF($R$2="",100,$R$2)&lt;設定!$I$29,設定!$G$10,設定!$G$9)))</f>
        <v/>
      </c>
      <c r="U149" s="62" t="str">
        <f aca="false">IF(OR($C149="",S149=""),"",IF(S149/IF($S$2="",100,$S$2)&gt;=設定!$I$28,設定!$G$8,IF(S149/IF($S$2="",100,$S$2)&lt;設定!$I$29,設定!$G$10,設定!$G$9)))</f>
        <v/>
      </c>
    </row>
    <row r="150" customFormat="false" ht="21" hidden="false" customHeight="true" outlineLevel="0" collapsed="false">
      <c r="A150" s="91" t="str">
        <f aca="false">IF(名簿!$D150="","",名簿!$B150&amp;"")</f>
        <v/>
      </c>
      <c r="B150" s="91" t="str">
        <f aca="false">IF(名簿!$D150="","",名簿!$C150)</f>
        <v/>
      </c>
      <c r="C150" s="59" t="str">
        <f aca="false">IF(名簿!$D150="","",名簿!$D150&amp;IF(名簿!$F150="転出","（転出）",""))</f>
        <v/>
      </c>
      <c r="D150" s="149"/>
      <c r="E150" s="61" t="str">
        <f aca="false">IF(OR($C150="",名簿!$F150="転出"),"",IF($C$2="学級ごと",$A150,IF($C$2="前の単元と同じ",単元10!$E150&amp;"",$D150&amp;"")))</f>
        <v/>
      </c>
      <c r="F150" s="150"/>
      <c r="G150" s="150"/>
      <c r="H150" s="150"/>
      <c r="I150" s="151"/>
      <c r="J150" s="41" t="str">
        <f aca="false">IF($E150="","",$E150&amp;"|"&amp;COUNTIF($E$5:$E150,$E150))</f>
        <v/>
      </c>
      <c r="K150" s="40" t="str">
        <f aca="false">IF($I150="","",LEN($I150))</f>
        <v/>
      </c>
      <c r="L150" s="13"/>
      <c r="M150" s="13"/>
      <c r="N150" s="13"/>
      <c r="O150" s="13"/>
      <c r="P150" s="152"/>
      <c r="Q150" s="149"/>
      <c r="R150" s="152"/>
      <c r="S150" s="152"/>
      <c r="T150" s="62" t="str">
        <f aca="false">IF(OR($C150="",R150=""),"",IF(R150/IF($R$2="",100,$R$2)&gt;=設定!$I$28,設定!$G$8,IF(R150/IF($R$2="",100,$R$2)&lt;設定!$I$29,設定!$G$10,設定!$G$9)))</f>
        <v/>
      </c>
      <c r="U150" s="62" t="str">
        <f aca="false">IF(OR($C150="",S150=""),"",IF(S150/IF($S$2="",100,$S$2)&gt;=設定!$I$28,設定!$G$8,IF(S150/IF($S$2="",100,$S$2)&lt;設定!$I$29,設定!$G$10,設定!$G$9)))</f>
        <v/>
      </c>
    </row>
    <row r="151" customFormat="false" ht="21" hidden="false" customHeight="true" outlineLevel="0" collapsed="false">
      <c r="A151" s="91" t="str">
        <f aca="false">IF(名簿!$D151="","",名簿!$B151&amp;"")</f>
        <v/>
      </c>
      <c r="B151" s="91" t="str">
        <f aca="false">IF(名簿!$D151="","",名簿!$C151)</f>
        <v/>
      </c>
      <c r="C151" s="59" t="str">
        <f aca="false">IF(名簿!$D151="","",名簿!$D151&amp;IF(名簿!$F151="転出","（転出）",""))</f>
        <v/>
      </c>
      <c r="D151" s="149"/>
      <c r="E151" s="61" t="str">
        <f aca="false">IF(OR($C151="",名簿!$F151="転出"),"",IF($C$2="学級ごと",$A151,IF($C$2="前の単元と同じ",単元10!$E151&amp;"",$D151&amp;"")))</f>
        <v/>
      </c>
      <c r="F151" s="150"/>
      <c r="G151" s="150"/>
      <c r="H151" s="150"/>
      <c r="I151" s="151"/>
      <c r="J151" s="41" t="str">
        <f aca="false">IF($E151="","",$E151&amp;"|"&amp;COUNTIF($E$5:$E151,$E151))</f>
        <v/>
      </c>
      <c r="K151" s="40" t="str">
        <f aca="false">IF($I151="","",LEN($I151))</f>
        <v/>
      </c>
      <c r="L151" s="13"/>
      <c r="M151" s="13"/>
      <c r="N151" s="13"/>
      <c r="O151" s="13"/>
      <c r="P151" s="152"/>
      <c r="Q151" s="149"/>
      <c r="R151" s="152"/>
      <c r="S151" s="152"/>
      <c r="T151" s="62" t="str">
        <f aca="false">IF(OR($C151="",R151=""),"",IF(R151/IF($R$2="",100,$R$2)&gt;=設定!$I$28,設定!$G$8,IF(R151/IF($R$2="",100,$R$2)&lt;設定!$I$29,設定!$G$10,設定!$G$9)))</f>
        <v/>
      </c>
      <c r="U151" s="62" t="str">
        <f aca="false">IF(OR($C151="",S151=""),"",IF(S151/IF($S$2="",100,$S$2)&gt;=設定!$I$28,設定!$G$8,IF(S151/IF($S$2="",100,$S$2)&lt;設定!$I$29,設定!$G$10,設定!$G$9)))</f>
        <v/>
      </c>
    </row>
    <row r="152" customFormat="false" ht="21" hidden="false" customHeight="true" outlineLevel="0" collapsed="false">
      <c r="A152" s="91" t="str">
        <f aca="false">IF(名簿!$D152="","",名簿!$B152&amp;"")</f>
        <v/>
      </c>
      <c r="B152" s="91" t="str">
        <f aca="false">IF(名簿!$D152="","",名簿!$C152)</f>
        <v/>
      </c>
      <c r="C152" s="59" t="str">
        <f aca="false">IF(名簿!$D152="","",名簿!$D152&amp;IF(名簿!$F152="転出","（転出）",""))</f>
        <v/>
      </c>
      <c r="D152" s="149"/>
      <c r="E152" s="61" t="str">
        <f aca="false">IF(OR($C152="",名簿!$F152="転出"),"",IF($C$2="学級ごと",$A152,IF($C$2="前の単元と同じ",単元10!$E152&amp;"",$D152&amp;"")))</f>
        <v/>
      </c>
      <c r="F152" s="150"/>
      <c r="G152" s="150"/>
      <c r="H152" s="150"/>
      <c r="I152" s="151"/>
      <c r="J152" s="41" t="str">
        <f aca="false">IF($E152="","",$E152&amp;"|"&amp;COUNTIF($E$5:$E152,$E152))</f>
        <v/>
      </c>
      <c r="K152" s="40" t="str">
        <f aca="false">IF($I152="","",LEN($I152))</f>
        <v/>
      </c>
      <c r="L152" s="13"/>
      <c r="M152" s="13"/>
      <c r="N152" s="13"/>
      <c r="O152" s="13"/>
      <c r="P152" s="152"/>
      <c r="Q152" s="149"/>
      <c r="R152" s="152"/>
      <c r="S152" s="152"/>
      <c r="T152" s="62" t="str">
        <f aca="false">IF(OR($C152="",R152=""),"",IF(R152/IF($R$2="",100,$R$2)&gt;=設定!$I$28,設定!$G$8,IF(R152/IF($R$2="",100,$R$2)&lt;設定!$I$29,設定!$G$10,設定!$G$9)))</f>
        <v/>
      </c>
      <c r="U152" s="62" t="str">
        <f aca="false">IF(OR($C152="",S152=""),"",IF(S152/IF($S$2="",100,$S$2)&gt;=設定!$I$28,設定!$G$8,IF(S152/IF($S$2="",100,$S$2)&lt;設定!$I$29,設定!$G$10,設定!$G$9)))</f>
        <v/>
      </c>
    </row>
    <row r="153" customFormat="false" ht="21" hidden="false" customHeight="true" outlineLevel="0" collapsed="false">
      <c r="A153" s="91" t="str">
        <f aca="false">IF(名簿!$D153="","",名簿!$B153&amp;"")</f>
        <v/>
      </c>
      <c r="B153" s="91" t="str">
        <f aca="false">IF(名簿!$D153="","",名簿!$C153)</f>
        <v/>
      </c>
      <c r="C153" s="59" t="str">
        <f aca="false">IF(名簿!$D153="","",名簿!$D153&amp;IF(名簿!$F153="転出","（転出）",""))</f>
        <v/>
      </c>
      <c r="D153" s="149"/>
      <c r="E153" s="61" t="str">
        <f aca="false">IF(OR($C153="",名簿!$F153="転出"),"",IF($C$2="学級ごと",$A153,IF($C$2="前の単元と同じ",単元10!$E153&amp;"",$D153&amp;"")))</f>
        <v/>
      </c>
      <c r="F153" s="150"/>
      <c r="G153" s="150"/>
      <c r="H153" s="150"/>
      <c r="I153" s="151"/>
      <c r="J153" s="41" t="str">
        <f aca="false">IF($E153="","",$E153&amp;"|"&amp;COUNTIF($E$5:$E153,$E153))</f>
        <v/>
      </c>
      <c r="K153" s="40" t="str">
        <f aca="false">IF($I153="","",LEN($I153))</f>
        <v/>
      </c>
      <c r="L153" s="13"/>
      <c r="M153" s="13"/>
      <c r="N153" s="13"/>
      <c r="O153" s="13"/>
      <c r="P153" s="152"/>
      <c r="Q153" s="149"/>
      <c r="R153" s="152"/>
      <c r="S153" s="152"/>
      <c r="T153" s="62" t="str">
        <f aca="false">IF(OR($C153="",R153=""),"",IF(R153/IF($R$2="",100,$R$2)&gt;=設定!$I$28,設定!$G$8,IF(R153/IF($R$2="",100,$R$2)&lt;設定!$I$29,設定!$G$10,設定!$G$9)))</f>
        <v/>
      </c>
      <c r="U153" s="62" t="str">
        <f aca="false">IF(OR($C153="",S153=""),"",IF(S153/IF($S$2="",100,$S$2)&gt;=設定!$I$28,設定!$G$8,IF(S153/IF($S$2="",100,$S$2)&lt;設定!$I$29,設定!$G$10,設定!$G$9)))</f>
        <v/>
      </c>
    </row>
    <row r="154" customFormat="false" ht="21" hidden="false" customHeight="true" outlineLevel="0" collapsed="false">
      <c r="A154" s="91" t="str">
        <f aca="false">IF(名簿!$D154="","",名簿!$B154&amp;"")</f>
        <v/>
      </c>
      <c r="B154" s="91" t="str">
        <f aca="false">IF(名簿!$D154="","",名簿!$C154)</f>
        <v/>
      </c>
      <c r="C154" s="59" t="str">
        <f aca="false">IF(名簿!$D154="","",名簿!$D154&amp;IF(名簿!$F154="転出","（転出）",""))</f>
        <v/>
      </c>
      <c r="D154" s="149"/>
      <c r="E154" s="61" t="str">
        <f aca="false">IF(OR($C154="",名簿!$F154="転出"),"",IF($C$2="学級ごと",$A154,IF($C$2="前の単元と同じ",単元10!$E154&amp;"",$D154&amp;"")))</f>
        <v/>
      </c>
      <c r="F154" s="150"/>
      <c r="G154" s="150"/>
      <c r="H154" s="150"/>
      <c r="I154" s="151"/>
      <c r="J154" s="41" t="str">
        <f aca="false">IF($E154="","",$E154&amp;"|"&amp;COUNTIF($E$5:$E154,$E154))</f>
        <v/>
      </c>
      <c r="K154" s="40" t="str">
        <f aca="false">IF($I154="","",LEN($I154))</f>
        <v/>
      </c>
      <c r="L154" s="13"/>
      <c r="M154" s="13"/>
      <c r="N154" s="13"/>
      <c r="O154" s="13"/>
      <c r="P154" s="152"/>
      <c r="Q154" s="149"/>
      <c r="R154" s="152"/>
      <c r="S154" s="152"/>
      <c r="T154" s="62" t="str">
        <f aca="false">IF(OR($C154="",R154=""),"",IF(R154/IF($R$2="",100,$R$2)&gt;=設定!$I$28,設定!$G$8,IF(R154/IF($R$2="",100,$R$2)&lt;設定!$I$29,設定!$G$10,設定!$G$9)))</f>
        <v/>
      </c>
      <c r="U154" s="62" t="str">
        <f aca="false">IF(OR($C154="",S154=""),"",IF(S154/IF($S$2="",100,$S$2)&gt;=設定!$I$28,設定!$G$8,IF(S154/IF($S$2="",100,$S$2)&lt;設定!$I$29,設定!$G$10,設定!$G$9)))</f>
        <v/>
      </c>
    </row>
    <row r="155" customFormat="false" ht="21" hidden="false" customHeight="true" outlineLevel="0" collapsed="false">
      <c r="A155" s="91" t="str">
        <f aca="false">IF(名簿!$D155="","",名簿!$B155&amp;"")</f>
        <v/>
      </c>
      <c r="B155" s="91" t="str">
        <f aca="false">IF(名簿!$D155="","",名簿!$C155)</f>
        <v/>
      </c>
      <c r="C155" s="59" t="str">
        <f aca="false">IF(名簿!$D155="","",名簿!$D155&amp;IF(名簿!$F155="転出","（転出）",""))</f>
        <v/>
      </c>
      <c r="D155" s="149"/>
      <c r="E155" s="61" t="str">
        <f aca="false">IF(OR($C155="",名簿!$F155="転出"),"",IF($C$2="学級ごと",$A155,IF($C$2="前の単元と同じ",単元10!$E155&amp;"",$D155&amp;"")))</f>
        <v/>
      </c>
      <c r="F155" s="150"/>
      <c r="G155" s="150"/>
      <c r="H155" s="150"/>
      <c r="I155" s="151"/>
      <c r="J155" s="41" t="str">
        <f aca="false">IF($E155="","",$E155&amp;"|"&amp;COUNTIF($E$5:$E155,$E155))</f>
        <v/>
      </c>
      <c r="K155" s="40" t="str">
        <f aca="false">IF($I155="","",LEN($I155))</f>
        <v/>
      </c>
      <c r="L155" s="13"/>
      <c r="M155" s="13"/>
      <c r="N155" s="13"/>
      <c r="O155" s="13"/>
      <c r="P155" s="152"/>
      <c r="Q155" s="149"/>
      <c r="R155" s="152"/>
      <c r="S155" s="152"/>
      <c r="T155" s="62" t="str">
        <f aca="false">IF(OR($C155="",R155=""),"",IF(R155/IF($R$2="",100,$R$2)&gt;=設定!$I$28,設定!$G$8,IF(R155/IF($R$2="",100,$R$2)&lt;設定!$I$29,設定!$G$10,設定!$G$9)))</f>
        <v/>
      </c>
      <c r="U155" s="62" t="str">
        <f aca="false">IF(OR($C155="",S155=""),"",IF(S155/IF($S$2="",100,$S$2)&gt;=設定!$I$28,設定!$G$8,IF(S155/IF($S$2="",100,$S$2)&lt;設定!$I$29,設定!$G$10,設定!$G$9)))</f>
        <v/>
      </c>
    </row>
    <row r="156" customFormat="false" ht="21" hidden="false" customHeight="true" outlineLevel="0" collapsed="false">
      <c r="A156" s="91" t="str">
        <f aca="false">IF(名簿!$D156="","",名簿!$B156&amp;"")</f>
        <v/>
      </c>
      <c r="B156" s="91" t="str">
        <f aca="false">IF(名簿!$D156="","",名簿!$C156)</f>
        <v/>
      </c>
      <c r="C156" s="59" t="str">
        <f aca="false">IF(名簿!$D156="","",名簿!$D156&amp;IF(名簿!$F156="転出","（転出）",""))</f>
        <v/>
      </c>
      <c r="D156" s="149"/>
      <c r="E156" s="61" t="str">
        <f aca="false">IF(OR($C156="",名簿!$F156="転出"),"",IF($C$2="学級ごと",$A156,IF($C$2="前の単元と同じ",単元10!$E156&amp;"",$D156&amp;"")))</f>
        <v/>
      </c>
      <c r="F156" s="150"/>
      <c r="G156" s="150"/>
      <c r="H156" s="150"/>
      <c r="I156" s="151"/>
      <c r="J156" s="41" t="str">
        <f aca="false">IF($E156="","",$E156&amp;"|"&amp;COUNTIF($E$5:$E156,$E156))</f>
        <v/>
      </c>
      <c r="K156" s="40" t="str">
        <f aca="false">IF($I156="","",LEN($I156))</f>
        <v/>
      </c>
      <c r="L156" s="13"/>
      <c r="M156" s="13"/>
      <c r="N156" s="13"/>
      <c r="O156" s="13"/>
      <c r="P156" s="152"/>
      <c r="Q156" s="149"/>
      <c r="R156" s="152"/>
      <c r="S156" s="152"/>
      <c r="T156" s="62" t="str">
        <f aca="false">IF(OR($C156="",R156=""),"",IF(R156/IF($R$2="",100,$R$2)&gt;=設定!$I$28,設定!$G$8,IF(R156/IF($R$2="",100,$R$2)&lt;設定!$I$29,設定!$G$10,設定!$G$9)))</f>
        <v/>
      </c>
      <c r="U156" s="62" t="str">
        <f aca="false">IF(OR($C156="",S156=""),"",IF(S156/IF($S$2="",100,$S$2)&gt;=設定!$I$28,設定!$G$8,IF(S156/IF($S$2="",100,$S$2)&lt;設定!$I$29,設定!$G$10,設定!$G$9)))</f>
        <v/>
      </c>
    </row>
    <row r="157" customFormat="false" ht="21" hidden="false" customHeight="true" outlineLevel="0" collapsed="false">
      <c r="A157" s="91" t="str">
        <f aca="false">IF(名簿!$D157="","",名簿!$B157&amp;"")</f>
        <v/>
      </c>
      <c r="B157" s="91" t="str">
        <f aca="false">IF(名簿!$D157="","",名簿!$C157)</f>
        <v/>
      </c>
      <c r="C157" s="59" t="str">
        <f aca="false">IF(名簿!$D157="","",名簿!$D157&amp;IF(名簿!$F157="転出","（転出）",""))</f>
        <v/>
      </c>
      <c r="D157" s="149"/>
      <c r="E157" s="61" t="str">
        <f aca="false">IF(OR($C157="",名簿!$F157="転出"),"",IF($C$2="学級ごと",$A157,IF($C$2="前の単元と同じ",単元10!$E157&amp;"",$D157&amp;"")))</f>
        <v/>
      </c>
      <c r="F157" s="150"/>
      <c r="G157" s="150"/>
      <c r="H157" s="150"/>
      <c r="I157" s="151"/>
      <c r="J157" s="41" t="str">
        <f aca="false">IF($E157="","",$E157&amp;"|"&amp;COUNTIF($E$5:$E157,$E157))</f>
        <v/>
      </c>
      <c r="K157" s="40" t="str">
        <f aca="false">IF($I157="","",LEN($I157))</f>
        <v/>
      </c>
      <c r="L157" s="13"/>
      <c r="M157" s="13"/>
      <c r="N157" s="13"/>
      <c r="O157" s="13"/>
      <c r="P157" s="152"/>
      <c r="Q157" s="149"/>
      <c r="R157" s="152"/>
      <c r="S157" s="152"/>
      <c r="T157" s="62" t="str">
        <f aca="false">IF(OR($C157="",R157=""),"",IF(R157/IF($R$2="",100,$R$2)&gt;=設定!$I$28,設定!$G$8,IF(R157/IF($R$2="",100,$R$2)&lt;設定!$I$29,設定!$G$10,設定!$G$9)))</f>
        <v/>
      </c>
      <c r="U157" s="62" t="str">
        <f aca="false">IF(OR($C157="",S157=""),"",IF(S157/IF($S$2="",100,$S$2)&gt;=設定!$I$28,設定!$G$8,IF(S157/IF($S$2="",100,$S$2)&lt;設定!$I$29,設定!$G$10,設定!$G$9)))</f>
        <v/>
      </c>
    </row>
    <row r="158" customFormat="false" ht="21" hidden="false" customHeight="true" outlineLevel="0" collapsed="false">
      <c r="A158" s="91" t="str">
        <f aca="false">IF(名簿!$D158="","",名簿!$B158&amp;"")</f>
        <v/>
      </c>
      <c r="B158" s="91" t="str">
        <f aca="false">IF(名簿!$D158="","",名簿!$C158)</f>
        <v/>
      </c>
      <c r="C158" s="59" t="str">
        <f aca="false">IF(名簿!$D158="","",名簿!$D158&amp;IF(名簿!$F158="転出","（転出）",""))</f>
        <v/>
      </c>
      <c r="D158" s="149"/>
      <c r="E158" s="61" t="str">
        <f aca="false">IF(OR($C158="",名簿!$F158="転出"),"",IF($C$2="学級ごと",$A158,IF($C$2="前の単元と同じ",単元10!$E158&amp;"",$D158&amp;"")))</f>
        <v/>
      </c>
      <c r="F158" s="150"/>
      <c r="G158" s="150"/>
      <c r="H158" s="150"/>
      <c r="I158" s="151"/>
      <c r="J158" s="41" t="str">
        <f aca="false">IF($E158="","",$E158&amp;"|"&amp;COUNTIF($E$5:$E158,$E158))</f>
        <v/>
      </c>
      <c r="K158" s="40" t="str">
        <f aca="false">IF($I158="","",LEN($I158))</f>
        <v/>
      </c>
      <c r="L158" s="13"/>
      <c r="M158" s="13"/>
      <c r="N158" s="13"/>
      <c r="O158" s="13"/>
      <c r="P158" s="152"/>
      <c r="Q158" s="149"/>
      <c r="R158" s="152"/>
      <c r="S158" s="152"/>
      <c r="T158" s="62" t="str">
        <f aca="false">IF(OR($C158="",R158=""),"",IF(R158/IF($R$2="",100,$R$2)&gt;=設定!$I$28,設定!$G$8,IF(R158/IF($R$2="",100,$R$2)&lt;設定!$I$29,設定!$G$10,設定!$G$9)))</f>
        <v/>
      </c>
      <c r="U158" s="62" t="str">
        <f aca="false">IF(OR($C158="",S158=""),"",IF(S158/IF($S$2="",100,$S$2)&gt;=設定!$I$28,設定!$G$8,IF(S158/IF($S$2="",100,$S$2)&lt;設定!$I$29,設定!$G$10,設定!$G$9)))</f>
        <v/>
      </c>
    </row>
    <row r="159" customFormat="false" ht="21" hidden="false" customHeight="true" outlineLevel="0" collapsed="false">
      <c r="A159" s="91" t="str">
        <f aca="false">IF(名簿!$D159="","",名簿!$B159&amp;"")</f>
        <v/>
      </c>
      <c r="B159" s="91" t="str">
        <f aca="false">IF(名簿!$D159="","",名簿!$C159)</f>
        <v/>
      </c>
      <c r="C159" s="59" t="str">
        <f aca="false">IF(名簿!$D159="","",名簿!$D159&amp;IF(名簿!$F159="転出","（転出）",""))</f>
        <v/>
      </c>
      <c r="D159" s="149"/>
      <c r="E159" s="61" t="str">
        <f aca="false">IF(OR($C159="",名簿!$F159="転出"),"",IF($C$2="学級ごと",$A159,IF($C$2="前の単元と同じ",単元10!$E159&amp;"",$D159&amp;"")))</f>
        <v/>
      </c>
      <c r="F159" s="150"/>
      <c r="G159" s="150"/>
      <c r="H159" s="150"/>
      <c r="I159" s="151"/>
      <c r="J159" s="41" t="str">
        <f aca="false">IF($E159="","",$E159&amp;"|"&amp;COUNTIF($E$5:$E159,$E159))</f>
        <v/>
      </c>
      <c r="K159" s="40" t="str">
        <f aca="false">IF($I159="","",LEN($I159))</f>
        <v/>
      </c>
      <c r="L159" s="13"/>
      <c r="M159" s="13"/>
      <c r="N159" s="13"/>
      <c r="O159" s="13"/>
      <c r="P159" s="152"/>
      <c r="Q159" s="149"/>
      <c r="R159" s="152"/>
      <c r="S159" s="152"/>
      <c r="T159" s="62" t="str">
        <f aca="false">IF(OR($C159="",R159=""),"",IF(R159/IF($R$2="",100,$R$2)&gt;=設定!$I$28,設定!$G$8,IF(R159/IF($R$2="",100,$R$2)&lt;設定!$I$29,設定!$G$10,設定!$G$9)))</f>
        <v/>
      </c>
      <c r="U159" s="62" t="str">
        <f aca="false">IF(OR($C159="",S159=""),"",IF(S159/IF($S$2="",100,$S$2)&gt;=設定!$I$28,設定!$G$8,IF(S159/IF($S$2="",100,$S$2)&lt;設定!$I$29,設定!$G$10,設定!$G$9)))</f>
        <v/>
      </c>
    </row>
    <row r="160" customFormat="false" ht="21" hidden="false" customHeight="true" outlineLevel="0" collapsed="false">
      <c r="A160" s="91" t="str">
        <f aca="false">IF(名簿!$D160="","",名簿!$B160&amp;"")</f>
        <v/>
      </c>
      <c r="B160" s="91" t="str">
        <f aca="false">IF(名簿!$D160="","",名簿!$C160)</f>
        <v/>
      </c>
      <c r="C160" s="59" t="str">
        <f aca="false">IF(名簿!$D160="","",名簿!$D160&amp;IF(名簿!$F160="転出","（転出）",""))</f>
        <v/>
      </c>
      <c r="D160" s="149"/>
      <c r="E160" s="61" t="str">
        <f aca="false">IF(OR($C160="",名簿!$F160="転出"),"",IF($C$2="学級ごと",$A160,IF($C$2="前の単元と同じ",単元10!$E160&amp;"",$D160&amp;"")))</f>
        <v/>
      </c>
      <c r="F160" s="150"/>
      <c r="G160" s="150"/>
      <c r="H160" s="150"/>
      <c r="I160" s="151"/>
      <c r="J160" s="41" t="str">
        <f aca="false">IF($E160="","",$E160&amp;"|"&amp;COUNTIF($E$5:$E160,$E160))</f>
        <v/>
      </c>
      <c r="K160" s="40" t="str">
        <f aca="false">IF($I160="","",LEN($I160))</f>
        <v/>
      </c>
      <c r="L160" s="13"/>
      <c r="M160" s="13"/>
      <c r="N160" s="13"/>
      <c r="O160" s="13"/>
      <c r="P160" s="152"/>
      <c r="Q160" s="149"/>
      <c r="R160" s="152"/>
      <c r="S160" s="152"/>
      <c r="T160" s="62" t="str">
        <f aca="false">IF(OR($C160="",R160=""),"",IF(R160/IF($R$2="",100,$R$2)&gt;=設定!$I$28,設定!$G$8,IF(R160/IF($R$2="",100,$R$2)&lt;設定!$I$29,設定!$G$10,設定!$G$9)))</f>
        <v/>
      </c>
      <c r="U160" s="62" t="str">
        <f aca="false">IF(OR($C160="",S160=""),"",IF(S160/IF($S$2="",100,$S$2)&gt;=設定!$I$28,設定!$G$8,IF(S160/IF($S$2="",100,$S$2)&lt;設定!$I$29,設定!$G$10,設定!$G$9)))</f>
        <v/>
      </c>
    </row>
    <row r="161" customFormat="false" ht="21" hidden="false" customHeight="true" outlineLevel="0" collapsed="false">
      <c r="A161" s="91" t="str">
        <f aca="false">IF(名簿!$D161="","",名簿!$B161&amp;"")</f>
        <v/>
      </c>
      <c r="B161" s="91" t="str">
        <f aca="false">IF(名簿!$D161="","",名簿!$C161)</f>
        <v/>
      </c>
      <c r="C161" s="59" t="str">
        <f aca="false">IF(名簿!$D161="","",名簿!$D161&amp;IF(名簿!$F161="転出","（転出）",""))</f>
        <v/>
      </c>
      <c r="D161" s="149"/>
      <c r="E161" s="61" t="str">
        <f aca="false">IF(OR($C161="",名簿!$F161="転出"),"",IF($C$2="学級ごと",$A161,IF($C$2="前の単元と同じ",単元10!$E161&amp;"",$D161&amp;"")))</f>
        <v/>
      </c>
      <c r="F161" s="150"/>
      <c r="G161" s="150"/>
      <c r="H161" s="150"/>
      <c r="I161" s="151"/>
      <c r="J161" s="41" t="str">
        <f aca="false">IF($E161="","",$E161&amp;"|"&amp;COUNTIF($E$5:$E161,$E161))</f>
        <v/>
      </c>
      <c r="K161" s="40" t="str">
        <f aca="false">IF($I161="","",LEN($I161))</f>
        <v/>
      </c>
      <c r="L161" s="13"/>
      <c r="M161" s="13"/>
      <c r="N161" s="13"/>
      <c r="O161" s="13"/>
      <c r="P161" s="152"/>
      <c r="Q161" s="149"/>
      <c r="R161" s="152"/>
      <c r="S161" s="152"/>
      <c r="T161" s="62" t="str">
        <f aca="false">IF(OR($C161="",R161=""),"",IF(R161/IF($R$2="",100,$R$2)&gt;=設定!$I$28,設定!$G$8,IF(R161/IF($R$2="",100,$R$2)&lt;設定!$I$29,設定!$G$10,設定!$G$9)))</f>
        <v/>
      </c>
      <c r="U161" s="62" t="str">
        <f aca="false">IF(OR($C161="",S161=""),"",IF(S161/IF($S$2="",100,$S$2)&gt;=設定!$I$28,設定!$G$8,IF(S161/IF($S$2="",100,$S$2)&lt;設定!$I$29,設定!$G$10,設定!$G$9)))</f>
        <v/>
      </c>
    </row>
    <row r="162" customFormat="false" ht="21" hidden="false" customHeight="true" outlineLevel="0" collapsed="false">
      <c r="A162" s="91" t="str">
        <f aca="false">IF(名簿!$D162="","",名簿!$B162&amp;"")</f>
        <v/>
      </c>
      <c r="B162" s="91" t="str">
        <f aca="false">IF(名簿!$D162="","",名簿!$C162)</f>
        <v/>
      </c>
      <c r="C162" s="59" t="str">
        <f aca="false">IF(名簿!$D162="","",名簿!$D162&amp;IF(名簿!$F162="転出","（転出）",""))</f>
        <v/>
      </c>
      <c r="D162" s="149"/>
      <c r="E162" s="61" t="str">
        <f aca="false">IF(OR($C162="",名簿!$F162="転出"),"",IF($C$2="学級ごと",$A162,IF($C$2="前の単元と同じ",単元10!$E162&amp;"",$D162&amp;"")))</f>
        <v/>
      </c>
      <c r="F162" s="150"/>
      <c r="G162" s="150"/>
      <c r="H162" s="150"/>
      <c r="I162" s="151"/>
      <c r="J162" s="41" t="str">
        <f aca="false">IF($E162="","",$E162&amp;"|"&amp;COUNTIF($E$5:$E162,$E162))</f>
        <v/>
      </c>
      <c r="K162" s="40" t="str">
        <f aca="false">IF($I162="","",LEN($I162))</f>
        <v/>
      </c>
      <c r="L162" s="13"/>
      <c r="M162" s="13"/>
      <c r="N162" s="13"/>
      <c r="O162" s="13"/>
      <c r="P162" s="152"/>
      <c r="Q162" s="149"/>
      <c r="R162" s="152"/>
      <c r="S162" s="152"/>
      <c r="T162" s="62" t="str">
        <f aca="false">IF(OR($C162="",R162=""),"",IF(R162/IF($R$2="",100,$R$2)&gt;=設定!$I$28,設定!$G$8,IF(R162/IF($R$2="",100,$R$2)&lt;設定!$I$29,設定!$G$10,設定!$G$9)))</f>
        <v/>
      </c>
      <c r="U162" s="62" t="str">
        <f aca="false">IF(OR($C162="",S162=""),"",IF(S162/IF($S$2="",100,$S$2)&gt;=設定!$I$28,設定!$G$8,IF(S162/IF($S$2="",100,$S$2)&lt;設定!$I$29,設定!$G$10,設定!$G$9)))</f>
        <v/>
      </c>
    </row>
    <row r="163" customFormat="false" ht="21" hidden="false" customHeight="true" outlineLevel="0" collapsed="false">
      <c r="A163" s="91" t="str">
        <f aca="false">IF(名簿!$D163="","",名簿!$B163&amp;"")</f>
        <v/>
      </c>
      <c r="B163" s="91" t="str">
        <f aca="false">IF(名簿!$D163="","",名簿!$C163)</f>
        <v/>
      </c>
      <c r="C163" s="59" t="str">
        <f aca="false">IF(名簿!$D163="","",名簿!$D163&amp;IF(名簿!$F163="転出","（転出）",""))</f>
        <v/>
      </c>
      <c r="D163" s="149"/>
      <c r="E163" s="61" t="str">
        <f aca="false">IF(OR($C163="",名簿!$F163="転出"),"",IF($C$2="学級ごと",$A163,IF($C$2="前の単元と同じ",単元10!$E163&amp;"",$D163&amp;"")))</f>
        <v/>
      </c>
      <c r="F163" s="150"/>
      <c r="G163" s="150"/>
      <c r="H163" s="150"/>
      <c r="I163" s="151"/>
      <c r="J163" s="41" t="str">
        <f aca="false">IF($E163="","",$E163&amp;"|"&amp;COUNTIF($E$5:$E163,$E163))</f>
        <v/>
      </c>
      <c r="K163" s="40" t="str">
        <f aca="false">IF($I163="","",LEN($I163))</f>
        <v/>
      </c>
      <c r="L163" s="13"/>
      <c r="M163" s="13"/>
      <c r="N163" s="13"/>
      <c r="O163" s="13"/>
      <c r="P163" s="152"/>
      <c r="Q163" s="149"/>
      <c r="R163" s="152"/>
      <c r="S163" s="152"/>
      <c r="T163" s="62" t="str">
        <f aca="false">IF(OR($C163="",R163=""),"",IF(R163/IF($R$2="",100,$R$2)&gt;=設定!$I$28,設定!$G$8,IF(R163/IF($R$2="",100,$R$2)&lt;設定!$I$29,設定!$G$10,設定!$G$9)))</f>
        <v/>
      </c>
      <c r="U163" s="62" t="str">
        <f aca="false">IF(OR($C163="",S163=""),"",IF(S163/IF($S$2="",100,$S$2)&gt;=設定!$I$28,設定!$G$8,IF(S163/IF($S$2="",100,$S$2)&lt;設定!$I$29,設定!$G$10,設定!$G$9)))</f>
        <v/>
      </c>
    </row>
    <row r="164" customFormat="false" ht="21" hidden="false" customHeight="true" outlineLevel="0" collapsed="false">
      <c r="A164" s="91" t="str">
        <f aca="false">IF(名簿!$D164="","",名簿!$B164&amp;"")</f>
        <v/>
      </c>
      <c r="B164" s="91" t="str">
        <f aca="false">IF(名簿!$D164="","",名簿!$C164)</f>
        <v/>
      </c>
      <c r="C164" s="59" t="str">
        <f aca="false">IF(名簿!$D164="","",名簿!$D164&amp;IF(名簿!$F164="転出","（転出）",""))</f>
        <v/>
      </c>
      <c r="D164" s="149"/>
      <c r="E164" s="61" t="str">
        <f aca="false">IF(OR($C164="",名簿!$F164="転出"),"",IF($C$2="学級ごと",$A164,IF($C$2="前の単元と同じ",単元10!$E164&amp;"",$D164&amp;"")))</f>
        <v/>
      </c>
      <c r="F164" s="150"/>
      <c r="G164" s="150"/>
      <c r="H164" s="150"/>
      <c r="I164" s="151"/>
      <c r="J164" s="41" t="str">
        <f aca="false">IF($E164="","",$E164&amp;"|"&amp;COUNTIF($E$5:$E164,$E164))</f>
        <v/>
      </c>
      <c r="K164" s="40" t="str">
        <f aca="false">IF($I164="","",LEN($I164))</f>
        <v/>
      </c>
      <c r="L164" s="13"/>
      <c r="M164" s="13"/>
      <c r="N164" s="13"/>
      <c r="O164" s="13"/>
      <c r="P164" s="152"/>
      <c r="Q164" s="149"/>
      <c r="R164" s="152"/>
      <c r="S164" s="152"/>
      <c r="T164" s="62" t="str">
        <f aca="false">IF(OR($C164="",R164=""),"",IF(R164/IF($R$2="",100,$R$2)&gt;=設定!$I$28,設定!$G$8,IF(R164/IF($R$2="",100,$R$2)&lt;設定!$I$29,設定!$G$10,設定!$G$9)))</f>
        <v/>
      </c>
      <c r="U164" s="62" t="str">
        <f aca="false">IF(OR($C164="",S164=""),"",IF(S164/IF($S$2="",100,$S$2)&gt;=設定!$I$28,設定!$G$8,IF(S164/IF($S$2="",100,$S$2)&lt;設定!$I$29,設定!$G$10,設定!$G$9)))</f>
        <v/>
      </c>
    </row>
  </sheetData>
  <sheetProtection sheet="true" formatColumns="false" formatRows="false" autoFilter="false"/>
  <autoFilter ref="A4:I164"/>
  <mergeCells count="5">
    <mergeCell ref="A1:I1"/>
    <mergeCell ref="R1:U1"/>
    <mergeCell ref="A2:B2"/>
    <mergeCell ref="D2:I2"/>
    <mergeCell ref="T2:U2"/>
  </mergeCells>
  <conditionalFormatting sqref="A5:C164">
    <cfRule type="expression" priority="2" aboveAverage="0" equalAverage="0" bottom="0" percent="0" rank="0" text="" dxfId="37">
      <formula>RIGHT($C5,4)="（転出）"</formula>
    </cfRule>
    <cfRule type="expression" priority="3" aboveAverage="0" equalAverage="0" bottom="0" percent="0" rank="0" text="" dxfId="8">
      <formula>$C5&lt;&gt;""</formula>
    </cfRule>
  </conditionalFormatting>
  <conditionalFormatting sqref="D5:D164">
    <cfRule type="expression" priority="4" aboveAverage="0" equalAverage="0" bottom="0" percent="0" rank="0" text="" dxfId="37">
      <formula>RIGHT($C5,4)="（転出）"</formula>
    </cfRule>
    <cfRule type="expression" priority="5" aboveAverage="0" equalAverage="0" bottom="0" percent="0" rank="0" text="" dxfId="38">
      <formula>AND($C5&lt;&gt;"",$C$2&lt;&gt;"習熟度別")</formula>
    </cfRule>
    <cfRule type="expression" priority="6" aboveAverage="0" equalAverage="0" bottom="0" percent="0" rank="0" text="" dxfId="39">
      <formula>AND($C5&lt;&gt;"",$E5="")</formula>
    </cfRule>
    <cfRule type="expression" priority="7" aboveAverage="0" equalAverage="0" bottom="0" percent="0" rank="0" text="" dxfId="39">
      <formula>AND($C5&lt;&gt;"",$D5&lt;&gt;"",COUNTIF(コース一覧,$D5)=0)</formula>
    </cfRule>
    <cfRule type="expression" priority="8" aboveAverage="0" equalAverage="0" bottom="0" percent="0" rank="0" text="" dxfId="40">
      <formula>AND($C5&lt;&gt;"",$C$2="習熟度別",$Q5&lt;&gt;"",$E5&lt;&gt;"",$Q5&lt;&gt;$E5)</formula>
    </cfRule>
    <cfRule type="expression" priority="9" aboveAverage="0" equalAverage="0" bottom="0" percent="0" rank="0" text="" dxfId="41">
      <formula>$C5&lt;&gt;""</formula>
    </cfRule>
  </conditionalFormatting>
  <conditionalFormatting sqref="E5:E164">
    <cfRule type="expression" priority="10" aboveAverage="0" equalAverage="0" bottom="0" percent="0" rank="0" text="" dxfId="37">
      <formula>RIGHT($C5,4)="（転出）"</formula>
    </cfRule>
    <cfRule type="expression" priority="11" aboveAverage="0" equalAverage="0" bottom="0" percent="0" rank="0" text="" dxfId="42">
      <formula>AND($E5&lt;&gt;"",$E5=$L$2)</formula>
    </cfRule>
    <cfRule type="expression" priority="12" aboveAverage="0" equalAverage="0" bottom="0" percent="0" rank="0" text="" dxfId="43">
      <formula>AND($E5&lt;&gt;"",$E5=$L$3)</formula>
    </cfRule>
    <cfRule type="expression" priority="13" aboveAverage="0" equalAverage="0" bottom="0" percent="0" rank="0" text="" dxfId="44">
      <formula>AND($E5&lt;&gt;"",$E5=$L$4)</formula>
    </cfRule>
    <cfRule type="expression" priority="14" aboveAverage="0" equalAverage="0" bottom="0" percent="0" rank="0" text="" dxfId="45">
      <formula>AND($E5&lt;&gt;"",$E5=$L$5)</formula>
    </cfRule>
    <cfRule type="expression" priority="15" aboveAverage="0" equalAverage="0" bottom="0" percent="0" rank="0" text="" dxfId="46">
      <formula>AND($E5&lt;&gt;"",$E5=$L$6)</formula>
    </cfRule>
    <cfRule type="expression" priority="16" aboveAverage="0" equalAverage="0" bottom="0" percent="0" rank="0" text="" dxfId="8">
      <formula>$C5&lt;&gt;""</formula>
    </cfRule>
  </conditionalFormatting>
  <conditionalFormatting sqref="F5:H164">
    <cfRule type="expression" priority="17" aboveAverage="0" equalAverage="0" bottom="0" percent="0" rank="0" text="" dxfId="37">
      <formula>RIGHT($C5,4)="（転出）"</formula>
    </cfRule>
    <cfRule type="expression" priority="18" aboveAverage="0" equalAverage="0" bottom="0" percent="0" rank="0" text="" dxfId="12">
      <formula>AND(F5&lt;&gt;"",F5=設定!$G$10)</formula>
    </cfRule>
    <cfRule type="expression" priority="19" aboveAverage="0" equalAverage="0" bottom="0" percent="0" rank="0" text="" dxfId="47">
      <formula>AND(F5&lt;&gt;"",F5=設定!$G$8)</formula>
    </cfRule>
    <cfRule type="expression" priority="20" aboveAverage="0" equalAverage="0" bottom="0" percent="0" rank="0" text="" dxfId="41">
      <formula>AND($C5&lt;&gt;"",$E5&lt;&gt;"")</formula>
    </cfRule>
    <cfRule type="expression" priority="21" aboveAverage="0" equalAverage="0" bottom="0" percent="0" rank="0" text="" dxfId="8">
      <formula>$C5&lt;&gt;""</formula>
    </cfRule>
  </conditionalFormatting>
  <conditionalFormatting sqref="I5:I164">
    <cfRule type="expression" priority="22" aboveAverage="0" equalAverage="0" bottom="0" percent="0" rank="0" text="" dxfId="37">
      <formula>RIGHT($C5,4)="（転出）"</formula>
    </cfRule>
    <cfRule type="expression" priority="23" aboveAverage="0" equalAverage="0" bottom="0" percent="0" rank="0" text="" dxfId="48">
      <formula>AND($C5&lt;&gt;"",$I5&lt;&gt;"",ISNUMBER(設定!$I$22),LEN($I5)&gt;設定!$I$22)</formula>
    </cfRule>
    <cfRule type="expression" priority="24" aboveAverage="0" equalAverage="0" bottom="0" percent="0" rank="0" text="" dxfId="41">
      <formula>AND($C5&lt;&gt;"",$E5&lt;&gt;"")</formula>
    </cfRule>
    <cfRule type="expression" priority="25" aboveAverage="0" equalAverage="0" bottom="0" percent="0" rank="0" text="" dxfId="8">
      <formula>$C5&lt;&gt;""</formula>
    </cfRule>
  </conditionalFormatting>
  <conditionalFormatting sqref="K5:K164">
    <cfRule type="expression" priority="26" aboveAverage="0" equalAverage="0" bottom="0" percent="0" rank="0" text="" dxfId="49">
      <formula>AND($K5&lt;&gt;"",ISNUMBER(設定!$I$22),$K5&gt;設定!$I$22)</formula>
    </cfRule>
    <cfRule type="expression" priority="27" aboveAverage="0" equalAverage="0" bottom="0" percent="0" rank="0" text="" dxfId="50">
      <formula>$C5&lt;&gt;""</formula>
    </cfRule>
  </conditionalFormatting>
  <conditionalFormatting sqref="P5:P164">
    <cfRule type="expression" priority="28" aboveAverage="0" equalAverage="0" bottom="0" percent="0" rank="0" text="" dxfId="41">
      <formula>$C5&lt;&gt;""</formula>
    </cfRule>
  </conditionalFormatting>
  <conditionalFormatting sqref="R5:R164">
    <cfRule type="expression" priority="29" aboveAverage="0" equalAverage="0" bottom="0" percent="0" rank="0" text="" dxfId="49">
      <formula>AND($C5&lt;&gt;"",$R5&lt;&gt;"",$R$2&lt;&gt;"",$R5&gt;$R$2)</formula>
    </cfRule>
    <cfRule type="expression" priority="30" aboveAverage="0" equalAverage="0" bottom="0" percent="0" rank="0" text="" dxfId="41">
      <formula>$C5&lt;&gt;""</formula>
    </cfRule>
  </conditionalFormatting>
  <conditionalFormatting sqref="S5:S164">
    <cfRule type="expression" priority="31" aboveAverage="0" equalAverage="0" bottom="0" percent="0" rank="0" text="" dxfId="49">
      <formula>AND($C5&lt;&gt;"",$S5&lt;&gt;"",$S$2&lt;&gt;"",$S5&gt;$S$2)</formula>
    </cfRule>
    <cfRule type="expression" priority="32" aboveAverage="0" equalAverage="0" bottom="0" percent="0" rank="0" text="" dxfId="41">
      <formula>$C5&lt;&gt;""</formula>
    </cfRule>
  </conditionalFormatting>
  <conditionalFormatting sqref="T5:U164">
    <cfRule type="expression" priority="33" aboveAverage="0" equalAverage="0" bottom="0" percent="0" rank="0" text="" dxfId="12">
      <formula>AND(T5&lt;&gt;"",T5=設定!$G$10)</formula>
    </cfRule>
    <cfRule type="expression" priority="34" aboveAverage="0" equalAverage="0" bottom="0" percent="0" rank="0" text="" dxfId="51">
      <formula>AND(T5&lt;&gt;"",T5=設定!$G$8)</formula>
    </cfRule>
    <cfRule type="expression" priority="35" aboveAverage="0" equalAverage="0" bottom="0" percent="0" rank="0" text="" dxfId="19">
      <formula>$C5&lt;&gt;""</formula>
    </cfRule>
  </conditionalFormatting>
  <conditionalFormatting sqref="Q5:Q164">
    <cfRule type="expression" priority="36" aboveAverage="0" equalAverage="0" bottom="0" percent="0" rank="0" text="" dxfId="40">
      <formula>AND($C5&lt;&gt;"",$Q5&lt;&gt;"",$E5&lt;&gt;"",$Q5&lt;&gt;$E5)</formula>
    </cfRule>
    <cfRule type="expression" priority="37" aboveAverage="0" equalAverage="0" bottom="0" percent="0" rank="0" text="" dxfId="41">
      <formula>$C5&lt;&gt;""</formula>
    </cfRule>
  </conditionalFormatting>
  <conditionalFormatting sqref="L2:N2">
    <cfRule type="expression" priority="38" aboveAverage="0" equalAverage="0" bottom="0" percent="0" rank="0" text="" dxfId="14">
      <formula>$L2=""</formula>
    </cfRule>
  </conditionalFormatting>
  <conditionalFormatting sqref="L3:N3">
    <cfRule type="expression" priority="39" aboveAverage="0" equalAverage="0" bottom="0" percent="0" rank="0" text="" dxfId="14">
      <formula>$L3=""</formula>
    </cfRule>
  </conditionalFormatting>
  <conditionalFormatting sqref="L4:N4">
    <cfRule type="expression" priority="40" aboveAverage="0" equalAverage="0" bottom="0" percent="0" rank="0" text="" dxfId="14">
      <formula>$L4=""</formula>
    </cfRule>
  </conditionalFormatting>
  <conditionalFormatting sqref="L5:N5">
    <cfRule type="expression" priority="41" aboveAverage="0" equalAverage="0" bottom="0" percent="0" rank="0" text="" dxfId="14">
      <formula>$L5=""</formula>
    </cfRule>
  </conditionalFormatting>
  <conditionalFormatting sqref="L6:N6">
    <cfRule type="expression" priority="42" aboveAverage="0" equalAverage="0" bottom="0" percent="0" rank="0" text="" dxfId="14">
      <formula>$L6=""</formula>
    </cfRule>
  </conditionalFormatting>
  <conditionalFormatting sqref="N7">
    <cfRule type="expression" priority="43" aboveAverage="0" equalAverage="0" bottom="0" percent="0" rank="0" text="" dxfId="52">
      <formula>$N$7=0</formula>
    </cfRule>
  </conditionalFormatting>
  <dataValidations count="6">
    <dataValidation allowBlank="true" error="点数（数字）を入力してください。" errorStyle="stop" operator="between" showDropDown="false" showErrorMessage="true" showInputMessage="false" sqref="R2:S2 P5:P164 R5:S164" type="decimal">
      <formula1>0</formula1>
      <formula2>1000</formula2>
    </dataValidation>
    <dataValidation allowBlank="false" error="一覧から選んでください。" errorStyle="stop" errorTitle="入力エラー" operator="between" showDropDown="false" showErrorMessage="true" showInputMessage="false" sqref="C2" type="list">
      <formula1>"習熟度別,前の単元と同じ,学級ごと"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D5:D164" type="list">
      <formula1>コース一覧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Q5:Q164" type="list">
      <formula1>コース一覧</formula1>
      <formula2>0</formula2>
    </dataValidation>
    <dataValidation allowBlank="true" error="設定シートの評価記号（A/B/C）から選んでください。" errorStyle="stop" errorTitle="入力エラー" operator="between" showDropDown="false" showErrorMessage="true" showInputMessage="false" sqref="F5:H164" type="list">
      <formula1>評価記号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M2:M6" type="list">
      <formula1>担当者一覧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U16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5"/>
    <col collapsed="false" customWidth="true" hidden="false" outlineLevel="0" max="3" min="3" style="0" width="17"/>
    <col collapsed="false" customWidth="true" hidden="false" outlineLevel="0" max="4" min="4" style="0" width="11"/>
    <col collapsed="false" customWidth="true" hidden="false" outlineLevel="0" max="5" min="5" style="0" width="12"/>
    <col collapsed="false" customWidth="true" hidden="false" outlineLevel="0" max="8" min="6" style="0" width="6"/>
    <col collapsed="false" customWidth="true" hidden="false" outlineLevel="0" max="9" min="9" style="0" width="55"/>
    <col collapsed="false" customWidth="true" hidden="true" outlineLevel="0" max="10" min="10" style="0" width="3"/>
    <col collapsed="false" customWidth="true" hidden="false" outlineLevel="0" max="11" min="11" style="0" width="5"/>
    <col collapsed="false" customWidth="true" hidden="false" outlineLevel="0" max="12" min="12" style="0" width="14"/>
    <col collapsed="false" customWidth="true" hidden="false" outlineLevel="0" max="13" min="13" style="0" width="13"/>
    <col collapsed="false" customWidth="true" hidden="false" outlineLevel="0" max="14" min="14" style="0" width="7"/>
    <col collapsed="false" customWidth="true" hidden="false" outlineLevel="0" max="15" min="15" style="0" width="2"/>
    <col collapsed="false" customWidth="true" hidden="false" outlineLevel="0" max="16" min="16" style="0" width="9"/>
    <col collapsed="false" customWidth="true" hidden="false" outlineLevel="0" max="17" min="17" style="0" width="12"/>
    <col collapsed="false" customWidth="true" hidden="false" outlineLevel="0" max="19" min="18" style="0" width="7"/>
    <col collapsed="false" customWidth="true" hidden="false" outlineLevel="0" max="21" min="20" style="0" width="6"/>
  </cols>
  <sheetData>
    <row r="1" customFormat="false" ht="33.75" hidden="false" customHeight="true" outlineLevel="0" collapsed="false">
      <c r="A1" s="14" t="str">
        <f aca="false">"単元12　"&amp;IF(設定!$D$28="","（設定シートで単元名を入力）",設定!$D$28)&amp;IF(設定!$C$28="","","　／　"&amp;設定!$C$28&amp;IF(ISNUMBER(設定!$C$28),"学期",""))</f>
        <v>単元12　（設定シートで単元名を入力）</v>
      </c>
      <c r="B1" s="14"/>
      <c r="C1" s="14"/>
      <c r="D1" s="14"/>
      <c r="E1" s="14"/>
      <c r="F1" s="14"/>
      <c r="G1" s="14"/>
      <c r="H1" s="14"/>
      <c r="I1" s="14"/>
      <c r="J1" s="13"/>
      <c r="K1" s="13"/>
      <c r="L1" s="16" t="s">
        <v>153</v>
      </c>
      <c r="M1" s="16" t="s">
        <v>68</v>
      </c>
      <c r="N1" s="16" t="s">
        <v>128</v>
      </c>
      <c r="O1" s="13"/>
      <c r="P1" s="13"/>
      <c r="Q1" s="13"/>
      <c r="R1" s="131" t="s">
        <v>154</v>
      </c>
      <c r="S1" s="131"/>
      <c r="T1" s="131"/>
      <c r="U1" s="131"/>
    </row>
    <row r="2" customFormat="false" ht="25.5" hidden="false" customHeight="true" outlineLevel="0" collapsed="false">
      <c r="A2" s="16" t="s">
        <v>131</v>
      </c>
      <c r="B2" s="16"/>
      <c r="C2" s="138" t="s">
        <v>164</v>
      </c>
      <c r="D2" s="139" t="str">
        <f aca="false">IF($C$2="習熟度別","← D列「コース」で一人ずつ選びます",IF($C$2="前の単元と同じ","← 前の単元のコースをそのまま使います","← 在籍学級のまま分かれます"))</f>
        <v>← D列「コース」で一人ずつ選びます</v>
      </c>
      <c r="E2" s="139"/>
      <c r="F2" s="139"/>
      <c r="G2" s="139"/>
      <c r="H2" s="139"/>
      <c r="I2" s="139"/>
      <c r="J2" s="13"/>
      <c r="K2" s="13"/>
      <c r="L2" s="119" t="str">
        <f aca="false">IF($C$2="前の単元と同じ",単元11!$L2&amp;"",IF($C$2="学級ごと",IF(設定!$B$8="","",設定!$B$8&amp;""),IF(設定!$D$8="","",設定!$D$8&amp;"")))</f>
        <v>深める</v>
      </c>
      <c r="M2" s="39"/>
      <c r="N2" s="140" t="n">
        <f aca="false">IF($L2="","",COUNTIF($E$5:$E$164,$L2))</f>
        <v>0</v>
      </c>
      <c r="O2" s="13"/>
      <c r="P2" s="13"/>
      <c r="Q2" s="13"/>
      <c r="R2" s="141" t="n">
        <v>100</v>
      </c>
      <c r="S2" s="141" t="n">
        <v>100</v>
      </c>
      <c r="T2" s="142" t="s">
        <v>165</v>
      </c>
      <c r="U2" s="142"/>
    </row>
    <row r="3" customFormat="false" ht="17.15" hidden="false" customHeight="false" outlineLevel="0" collapsed="false">
      <c r="A3" s="4" t="s">
        <v>166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23" t="str">
        <f aca="false">IF($C$2="前の単元と同じ",単元11!$L3&amp;"",IF($C$2="学級ごと",IF(設定!$B$9="","",設定!$B$9&amp;""),IF(設定!$D$9="","",設定!$D$9&amp;"")))</f>
        <v>広げるA</v>
      </c>
      <c r="M3" s="39"/>
      <c r="N3" s="140" t="n">
        <f aca="false">IF($L3="","",COUNTIF($E$5:$E$164,$L3))</f>
        <v>0</v>
      </c>
      <c r="O3" s="13"/>
      <c r="P3" s="143" t="s">
        <v>167</v>
      </c>
      <c r="Q3" s="13"/>
      <c r="R3" s="144" t="s">
        <v>168</v>
      </c>
      <c r="S3" s="13"/>
      <c r="T3" s="13"/>
      <c r="U3" s="13"/>
    </row>
    <row r="4" customFormat="false" ht="30" hidden="false" customHeight="true" outlineLevel="0" collapsed="false">
      <c r="A4" s="16" t="s">
        <v>121</v>
      </c>
      <c r="B4" s="16" t="s">
        <v>122</v>
      </c>
      <c r="C4" s="16" t="s">
        <v>123</v>
      </c>
      <c r="D4" s="145" t="s">
        <v>153</v>
      </c>
      <c r="E4" s="16" t="s">
        <v>169</v>
      </c>
      <c r="F4" s="146" t="str">
        <f aca="false">設定!$I$8</f>
        <v>知</v>
      </c>
      <c r="G4" s="146" t="str">
        <f aca="false">設定!$I$9</f>
        <v>思</v>
      </c>
      <c r="H4" s="146" t="str">
        <f aca="false">設定!$I$10</f>
        <v>態</v>
      </c>
      <c r="I4" s="146" t="s">
        <v>107</v>
      </c>
      <c r="J4" s="16"/>
      <c r="K4" s="110" t="s">
        <v>170</v>
      </c>
      <c r="L4" s="124" t="str">
        <f aca="false">IF($C$2="前の単元と同じ",単元11!$L4&amp;"",IF($C$2="学級ごと",IF(設定!$B$10="","",設定!$B$10&amp;""),IF(設定!$D$10="","",設定!$D$10&amp;"")))</f>
        <v>広げるB</v>
      </c>
      <c r="M4" s="39"/>
      <c r="N4" s="140" t="n">
        <f aca="false">IF($L4="","",COUNTIF($E$5:$E$164,$L4))</f>
        <v>0</v>
      </c>
      <c r="O4" s="13"/>
      <c r="P4" s="147" t="s">
        <v>171</v>
      </c>
      <c r="Q4" s="147" t="s">
        <v>172</v>
      </c>
      <c r="R4" s="131" t="str">
        <f aca="false">設定!$I$8&amp;"得点"</f>
        <v>知得点</v>
      </c>
      <c r="S4" s="131" t="str">
        <f aca="false">設定!$I$9&amp;"得点"</f>
        <v>思得点</v>
      </c>
      <c r="T4" s="148" t="str">
        <f aca="false">設定!$I$8&amp;"目安"</f>
        <v>知目安</v>
      </c>
      <c r="U4" s="148" t="str">
        <f aca="false">設定!$I$9&amp;"目安"</f>
        <v>思目安</v>
      </c>
    </row>
    <row r="5" customFormat="false" ht="21" hidden="false" customHeight="true" outlineLevel="0" collapsed="false">
      <c r="A5" s="91" t="str">
        <f aca="false">IF(名簿!$D5="","",名簿!$B5&amp;"")</f>
        <v/>
      </c>
      <c r="B5" s="91" t="str">
        <f aca="false">IF(名簿!$D5="","",名簿!$C5)</f>
        <v/>
      </c>
      <c r="C5" s="59" t="str">
        <f aca="false">IF(名簿!$D5="","",名簿!$D5&amp;IF(名簿!$F5="転出","（転出）",""))</f>
        <v/>
      </c>
      <c r="D5" s="149"/>
      <c r="E5" s="61" t="str">
        <f aca="false">IF(OR($C5="",名簿!$F5="転出"),"",IF($C$2="学級ごと",$A5,IF($C$2="前の単元と同じ",単元11!$E5&amp;"",$D5&amp;"")))</f>
        <v/>
      </c>
      <c r="F5" s="150"/>
      <c r="G5" s="150"/>
      <c r="H5" s="150"/>
      <c r="I5" s="151"/>
      <c r="J5" s="41" t="str">
        <f aca="false">IF($E5="","",$E5&amp;"|"&amp;COUNTIF($E$5:$E5,$E5))</f>
        <v/>
      </c>
      <c r="K5" s="40" t="str">
        <f aca="false">IF($I5="","",LEN($I5))</f>
        <v/>
      </c>
      <c r="L5" s="125" t="str">
        <f aca="false">IF($C$2="前の単元と同じ",単元11!$L5&amp;"",IF($C$2="学級ごと",IF(設定!$B$11="","",設定!$B$11&amp;""),IF(設定!$D$11="","",設定!$D$11&amp;"")))</f>
        <v>かためる</v>
      </c>
      <c r="M5" s="39"/>
      <c r="N5" s="140" t="n">
        <f aca="false">IF($L5="","",COUNTIF($E$5:$E$164,$L5))</f>
        <v>0</v>
      </c>
      <c r="O5" s="13"/>
      <c r="P5" s="152"/>
      <c r="Q5" s="149"/>
      <c r="R5" s="152"/>
      <c r="S5" s="152"/>
      <c r="T5" s="62" t="str">
        <f aca="false">IF(OR($C5="",R5=""),"",IF(R5/IF($R$2="",100,$R$2)&gt;=設定!$I$28,設定!$G$8,IF(R5/IF($R$2="",100,$R$2)&lt;設定!$I$29,設定!$G$10,設定!$G$9)))</f>
        <v/>
      </c>
      <c r="U5" s="62" t="str">
        <f aca="false">IF(OR($C5="",S5=""),"",IF(S5/IF($S$2="",100,$S$2)&gt;=設定!$I$28,設定!$G$8,IF(S5/IF($S$2="",100,$S$2)&lt;設定!$I$29,設定!$G$10,設定!$G$9)))</f>
        <v/>
      </c>
    </row>
    <row r="6" customFormat="false" ht="21" hidden="false" customHeight="true" outlineLevel="0" collapsed="false">
      <c r="A6" s="91" t="str">
        <f aca="false">IF(名簿!$D6="","",名簿!$B6&amp;"")</f>
        <v/>
      </c>
      <c r="B6" s="91" t="str">
        <f aca="false">IF(名簿!$D6="","",名簿!$C6)</f>
        <v/>
      </c>
      <c r="C6" s="59" t="str">
        <f aca="false">IF(名簿!$D6="","",名簿!$D6&amp;IF(名簿!$F6="転出","（転出）",""))</f>
        <v/>
      </c>
      <c r="D6" s="149"/>
      <c r="E6" s="61" t="str">
        <f aca="false">IF(OR($C6="",名簿!$F6="転出"),"",IF($C$2="学級ごと",$A6,IF($C$2="前の単元と同じ",単元11!$E6&amp;"",$D6&amp;"")))</f>
        <v/>
      </c>
      <c r="F6" s="150"/>
      <c r="G6" s="150"/>
      <c r="H6" s="150"/>
      <c r="I6" s="151"/>
      <c r="J6" s="41" t="str">
        <f aca="false">IF($E6="","",$E6&amp;"|"&amp;COUNTIF($E$5:$E6,$E6))</f>
        <v/>
      </c>
      <c r="K6" s="40" t="str">
        <f aca="false">IF($I6="","",LEN($I6))</f>
        <v/>
      </c>
      <c r="L6" s="126" t="str">
        <f aca="false">IF($C$2="前の単元と同じ",単元11!$L6&amp;"",IF($C$2="学級ごと",IF(設定!$B$12="","",設定!$B$12&amp;""),IF(設定!$D$12="","",設定!$D$12&amp;"")))</f>
        <v/>
      </c>
      <c r="M6" s="39"/>
      <c r="N6" s="153" t="str">
        <f aca="false">IF($L6="","",COUNTIF($E$5:$E$164,$L6))</f>
        <v/>
      </c>
      <c r="O6" s="13"/>
      <c r="P6" s="152"/>
      <c r="Q6" s="149"/>
      <c r="R6" s="152"/>
      <c r="S6" s="152"/>
      <c r="T6" s="62" t="str">
        <f aca="false">IF(OR($C6="",R6=""),"",IF(R6/IF($R$2="",100,$R$2)&gt;=設定!$I$28,設定!$G$8,IF(R6/IF($R$2="",100,$R$2)&lt;設定!$I$29,設定!$G$10,設定!$G$9)))</f>
        <v/>
      </c>
      <c r="U6" s="62" t="str">
        <f aca="false">IF(OR($C6="",S6=""),"",IF(S6/IF($S$2="",100,$S$2)&gt;=設定!$I$28,設定!$G$8,IF(S6/IF($S$2="",100,$S$2)&lt;設定!$I$29,設定!$G$10,設定!$G$9)))</f>
        <v/>
      </c>
    </row>
    <row r="7" customFormat="false" ht="21" hidden="false" customHeight="true" outlineLevel="0" collapsed="false">
      <c r="A7" s="91" t="str">
        <f aca="false">IF(名簿!$D7="","",名簿!$B7&amp;"")</f>
        <v/>
      </c>
      <c r="B7" s="91" t="str">
        <f aca="false">IF(名簿!$D7="","",名簿!$C7)</f>
        <v/>
      </c>
      <c r="C7" s="59" t="str">
        <f aca="false">IF(名簿!$D7="","",名簿!$D7&amp;IF(名簿!$F7="転出","（転出）",""))</f>
        <v/>
      </c>
      <c r="D7" s="149"/>
      <c r="E7" s="61" t="str">
        <f aca="false">IF(OR($C7="",名簿!$F7="転出"),"",IF($C$2="学級ごと",$A7,IF($C$2="前の単元と同じ",単元11!$E7&amp;"",$D7&amp;"")))</f>
        <v/>
      </c>
      <c r="F7" s="150"/>
      <c r="G7" s="150"/>
      <c r="H7" s="150"/>
      <c r="I7" s="151"/>
      <c r="J7" s="41" t="str">
        <f aca="false">IF($E7="","",$E7&amp;"|"&amp;COUNTIF($E$5:$E7,$E7))</f>
        <v/>
      </c>
      <c r="K7" s="40" t="str">
        <f aca="false">IF($I7="","",LEN($I7))</f>
        <v/>
      </c>
      <c r="L7" s="154" t="s">
        <v>133</v>
      </c>
      <c r="M7" s="155" t="s">
        <v>173</v>
      </c>
      <c r="N7" s="156" t="n">
        <f aca="false">SUMPRODUCT(($C$5:$C$164&lt;&gt;"")*(名簿!$F$5:$F$164&lt;&gt;"転出")*($E$5:$E$164=""))</f>
        <v>0</v>
      </c>
      <c r="O7" s="13"/>
      <c r="P7" s="152"/>
      <c r="Q7" s="149"/>
      <c r="R7" s="152"/>
      <c r="S7" s="152"/>
      <c r="T7" s="62" t="str">
        <f aca="false">IF(OR($C7="",R7=""),"",IF(R7/IF($R$2="",100,$R$2)&gt;=設定!$I$28,設定!$G$8,IF(R7/IF($R$2="",100,$R$2)&lt;設定!$I$29,設定!$G$10,設定!$G$9)))</f>
        <v/>
      </c>
      <c r="U7" s="62" t="str">
        <f aca="false">IF(OR($C7="",S7=""),"",IF(S7/IF($S$2="",100,$S$2)&gt;=設定!$I$28,設定!$G$8,IF(S7/IF($S$2="",100,$S$2)&lt;設定!$I$29,設定!$G$10,設定!$G$9)))</f>
        <v/>
      </c>
    </row>
    <row r="8" customFormat="false" ht="21" hidden="false" customHeight="true" outlineLevel="0" collapsed="false">
      <c r="A8" s="91" t="str">
        <f aca="false">IF(名簿!$D8="","",名簿!$B8&amp;"")</f>
        <v/>
      </c>
      <c r="B8" s="91" t="str">
        <f aca="false">IF(名簿!$D8="","",名簿!$C8)</f>
        <v/>
      </c>
      <c r="C8" s="59" t="str">
        <f aca="false">IF(名簿!$D8="","",名簿!$D8&amp;IF(名簿!$F8="転出","（転出）",""))</f>
        <v/>
      </c>
      <c r="D8" s="149"/>
      <c r="E8" s="61" t="str">
        <f aca="false">IF(OR($C8="",名簿!$F8="転出"),"",IF($C$2="学級ごと",$A8,IF($C$2="前の単元と同じ",単元11!$E8&amp;"",$D8&amp;"")))</f>
        <v/>
      </c>
      <c r="F8" s="150"/>
      <c r="G8" s="150"/>
      <c r="H8" s="150"/>
      <c r="I8" s="151"/>
      <c r="J8" s="41" t="str">
        <f aca="false">IF($E8="","",$E8&amp;"|"&amp;COUNTIF($E$5:$E8,$E8))</f>
        <v/>
      </c>
      <c r="K8" s="40" t="str">
        <f aca="false">IF($I8="","",LEN($I8))</f>
        <v/>
      </c>
      <c r="L8" s="157" t="s">
        <v>174</v>
      </c>
      <c r="M8" s="158" t="s">
        <v>175</v>
      </c>
      <c r="N8" s="159" t="n">
        <f aca="false">SUMPRODUCT(($E$5:$E$164&lt;&gt;"")*(($F$5:$F$164="")+($G$5:$G$164="")+($H$5:$H$164="")&gt;0))</f>
        <v>0</v>
      </c>
      <c r="O8" s="13"/>
      <c r="P8" s="152"/>
      <c r="Q8" s="149"/>
      <c r="R8" s="152"/>
      <c r="S8" s="152"/>
      <c r="T8" s="62" t="str">
        <f aca="false">IF(OR($C8="",R8=""),"",IF(R8/IF($R$2="",100,$R$2)&gt;=設定!$I$28,設定!$G$8,IF(R8/IF($R$2="",100,$R$2)&lt;設定!$I$29,設定!$G$10,設定!$G$9)))</f>
        <v/>
      </c>
      <c r="U8" s="62" t="str">
        <f aca="false">IF(OR($C8="",S8=""),"",IF(S8/IF($S$2="",100,$S$2)&gt;=設定!$I$28,設定!$G$8,IF(S8/IF($S$2="",100,$S$2)&lt;設定!$I$29,設定!$G$10,設定!$G$9)))</f>
        <v/>
      </c>
    </row>
    <row r="9" customFormat="false" ht="21" hidden="false" customHeight="true" outlineLevel="0" collapsed="false">
      <c r="A9" s="91" t="str">
        <f aca="false">IF(名簿!$D9="","",名簿!$B9&amp;"")</f>
        <v/>
      </c>
      <c r="B9" s="91" t="str">
        <f aca="false">IF(名簿!$D9="","",名簿!$C9)</f>
        <v/>
      </c>
      <c r="C9" s="59" t="str">
        <f aca="false">IF(名簿!$D9="","",名簿!$D9&amp;IF(名簿!$F9="転出","（転出）",""))</f>
        <v/>
      </c>
      <c r="D9" s="149"/>
      <c r="E9" s="61" t="str">
        <f aca="false">IF(OR($C9="",名簿!$F9="転出"),"",IF($C$2="学級ごと",$A9,IF($C$2="前の単元と同じ",単元11!$E9&amp;"",$D9&amp;"")))</f>
        <v/>
      </c>
      <c r="F9" s="150"/>
      <c r="G9" s="150"/>
      <c r="H9" s="150"/>
      <c r="I9" s="151"/>
      <c r="J9" s="41" t="str">
        <f aca="false">IF($E9="","",$E9&amp;"|"&amp;COUNTIF($E$5:$E9,$E9))</f>
        <v/>
      </c>
      <c r="K9" s="40" t="str">
        <f aca="false">IF($I9="","",LEN($I9))</f>
        <v/>
      </c>
      <c r="L9" s="13"/>
      <c r="M9" s="13"/>
      <c r="N9" s="13"/>
      <c r="O9" s="13"/>
      <c r="P9" s="152"/>
      <c r="Q9" s="149"/>
      <c r="R9" s="152"/>
      <c r="S9" s="152"/>
      <c r="T9" s="62" t="str">
        <f aca="false">IF(OR($C9="",R9=""),"",IF(R9/IF($R$2="",100,$R$2)&gt;=設定!$I$28,設定!$G$8,IF(R9/IF($R$2="",100,$R$2)&lt;設定!$I$29,設定!$G$10,設定!$G$9)))</f>
        <v/>
      </c>
      <c r="U9" s="62" t="str">
        <f aca="false">IF(OR($C9="",S9=""),"",IF(S9/IF($S$2="",100,$S$2)&gt;=設定!$I$28,設定!$G$8,IF(S9/IF($S$2="",100,$S$2)&lt;設定!$I$29,設定!$G$10,設定!$G$9)))</f>
        <v/>
      </c>
    </row>
    <row r="10" customFormat="false" ht="21" hidden="false" customHeight="true" outlineLevel="0" collapsed="false">
      <c r="A10" s="91" t="str">
        <f aca="false">IF(名簿!$D10="","",名簿!$B10&amp;"")</f>
        <v/>
      </c>
      <c r="B10" s="91" t="str">
        <f aca="false">IF(名簿!$D10="","",名簿!$C10)</f>
        <v/>
      </c>
      <c r="C10" s="59" t="str">
        <f aca="false">IF(名簿!$D10="","",名簿!$D10&amp;IF(名簿!$F10="転出","（転出）",""))</f>
        <v/>
      </c>
      <c r="D10" s="149"/>
      <c r="E10" s="61" t="str">
        <f aca="false">IF(OR($C10="",名簿!$F10="転出"),"",IF($C$2="学級ごと",$A10,IF($C$2="前の単元と同じ",単元11!$E10&amp;"",$D10&amp;"")))</f>
        <v/>
      </c>
      <c r="F10" s="150"/>
      <c r="G10" s="150"/>
      <c r="H10" s="150"/>
      <c r="I10" s="151"/>
      <c r="J10" s="41" t="str">
        <f aca="false">IF($E10="","",$E10&amp;"|"&amp;COUNTIF($E$5:$E10,$E10))</f>
        <v/>
      </c>
      <c r="K10" s="40" t="str">
        <f aca="false">IF($I10="","",LEN($I10))</f>
        <v/>
      </c>
      <c r="L10" s="13"/>
      <c r="M10" s="13"/>
      <c r="N10" s="13"/>
      <c r="O10" s="13"/>
      <c r="P10" s="152"/>
      <c r="Q10" s="149"/>
      <c r="R10" s="152"/>
      <c r="S10" s="152"/>
      <c r="T10" s="62" t="str">
        <f aca="false">IF(OR($C10="",R10=""),"",IF(R10/IF($R$2="",100,$R$2)&gt;=設定!$I$28,設定!$G$8,IF(R10/IF($R$2="",100,$R$2)&lt;設定!$I$29,設定!$G$10,設定!$G$9)))</f>
        <v/>
      </c>
      <c r="U10" s="62" t="str">
        <f aca="false">IF(OR($C10="",S10=""),"",IF(S10/IF($S$2="",100,$S$2)&gt;=設定!$I$28,設定!$G$8,IF(S10/IF($S$2="",100,$S$2)&lt;設定!$I$29,設定!$G$10,設定!$G$9)))</f>
        <v/>
      </c>
    </row>
    <row r="11" customFormat="false" ht="21" hidden="false" customHeight="true" outlineLevel="0" collapsed="false">
      <c r="A11" s="91" t="str">
        <f aca="false">IF(名簿!$D11="","",名簿!$B11&amp;"")</f>
        <v/>
      </c>
      <c r="B11" s="91" t="str">
        <f aca="false">IF(名簿!$D11="","",名簿!$C11)</f>
        <v/>
      </c>
      <c r="C11" s="59" t="str">
        <f aca="false">IF(名簿!$D11="","",名簿!$D11&amp;IF(名簿!$F11="転出","（転出）",""))</f>
        <v/>
      </c>
      <c r="D11" s="149"/>
      <c r="E11" s="61" t="str">
        <f aca="false">IF(OR($C11="",名簿!$F11="転出"),"",IF($C$2="学級ごと",$A11,IF($C$2="前の単元と同じ",単元11!$E11&amp;"",$D11&amp;"")))</f>
        <v/>
      </c>
      <c r="F11" s="150"/>
      <c r="G11" s="150"/>
      <c r="H11" s="150"/>
      <c r="I11" s="151"/>
      <c r="J11" s="41" t="str">
        <f aca="false">IF($E11="","",$E11&amp;"|"&amp;COUNTIF($E$5:$E11,$E11))</f>
        <v/>
      </c>
      <c r="K11" s="40" t="str">
        <f aca="false">IF($I11="","",LEN($I11))</f>
        <v/>
      </c>
      <c r="L11" s="13"/>
      <c r="M11" s="13"/>
      <c r="N11" s="13"/>
      <c r="O11" s="13"/>
      <c r="P11" s="152"/>
      <c r="Q11" s="149"/>
      <c r="R11" s="152"/>
      <c r="S11" s="152"/>
      <c r="T11" s="62" t="str">
        <f aca="false">IF(OR($C11="",R11=""),"",IF(R11/IF($R$2="",100,$R$2)&gt;=設定!$I$28,設定!$G$8,IF(R11/IF($R$2="",100,$R$2)&lt;設定!$I$29,設定!$G$10,設定!$G$9)))</f>
        <v/>
      </c>
      <c r="U11" s="62" t="str">
        <f aca="false">IF(OR($C11="",S11=""),"",IF(S11/IF($S$2="",100,$S$2)&gt;=設定!$I$28,設定!$G$8,IF(S11/IF($S$2="",100,$S$2)&lt;設定!$I$29,設定!$G$10,設定!$G$9)))</f>
        <v/>
      </c>
    </row>
    <row r="12" customFormat="false" ht="21" hidden="false" customHeight="true" outlineLevel="0" collapsed="false">
      <c r="A12" s="91" t="str">
        <f aca="false">IF(名簿!$D12="","",名簿!$B12&amp;"")</f>
        <v/>
      </c>
      <c r="B12" s="91" t="str">
        <f aca="false">IF(名簿!$D12="","",名簿!$C12)</f>
        <v/>
      </c>
      <c r="C12" s="59" t="str">
        <f aca="false">IF(名簿!$D12="","",名簿!$D12&amp;IF(名簿!$F12="転出","（転出）",""))</f>
        <v/>
      </c>
      <c r="D12" s="149"/>
      <c r="E12" s="61" t="str">
        <f aca="false">IF(OR($C12="",名簿!$F12="転出"),"",IF($C$2="学級ごと",$A12,IF($C$2="前の単元と同じ",単元11!$E12&amp;"",$D12&amp;"")))</f>
        <v/>
      </c>
      <c r="F12" s="150"/>
      <c r="G12" s="150"/>
      <c r="H12" s="150"/>
      <c r="I12" s="151"/>
      <c r="J12" s="41" t="str">
        <f aca="false">IF($E12="","",$E12&amp;"|"&amp;COUNTIF($E$5:$E12,$E12))</f>
        <v/>
      </c>
      <c r="K12" s="40" t="str">
        <f aca="false">IF($I12="","",LEN($I12))</f>
        <v/>
      </c>
      <c r="L12" s="13"/>
      <c r="M12" s="13"/>
      <c r="N12" s="13"/>
      <c r="O12" s="13"/>
      <c r="P12" s="152"/>
      <c r="Q12" s="149"/>
      <c r="R12" s="152"/>
      <c r="S12" s="152"/>
      <c r="T12" s="62" t="str">
        <f aca="false">IF(OR($C12="",R12=""),"",IF(R12/IF($R$2="",100,$R$2)&gt;=設定!$I$28,設定!$G$8,IF(R12/IF($R$2="",100,$R$2)&lt;設定!$I$29,設定!$G$10,設定!$G$9)))</f>
        <v/>
      </c>
      <c r="U12" s="62" t="str">
        <f aca="false">IF(OR($C12="",S12=""),"",IF(S12/IF($S$2="",100,$S$2)&gt;=設定!$I$28,設定!$G$8,IF(S12/IF($S$2="",100,$S$2)&lt;設定!$I$29,設定!$G$10,設定!$G$9)))</f>
        <v/>
      </c>
    </row>
    <row r="13" customFormat="false" ht="21" hidden="false" customHeight="true" outlineLevel="0" collapsed="false">
      <c r="A13" s="91" t="str">
        <f aca="false">IF(名簿!$D13="","",名簿!$B13&amp;"")</f>
        <v/>
      </c>
      <c r="B13" s="91" t="str">
        <f aca="false">IF(名簿!$D13="","",名簿!$C13)</f>
        <v/>
      </c>
      <c r="C13" s="59" t="str">
        <f aca="false">IF(名簿!$D13="","",名簿!$D13&amp;IF(名簿!$F13="転出","（転出）",""))</f>
        <v/>
      </c>
      <c r="D13" s="149"/>
      <c r="E13" s="61" t="str">
        <f aca="false">IF(OR($C13="",名簿!$F13="転出"),"",IF($C$2="学級ごと",$A13,IF($C$2="前の単元と同じ",単元11!$E13&amp;"",$D13&amp;"")))</f>
        <v/>
      </c>
      <c r="F13" s="150"/>
      <c r="G13" s="150"/>
      <c r="H13" s="150"/>
      <c r="I13" s="151"/>
      <c r="J13" s="41" t="str">
        <f aca="false">IF($E13="","",$E13&amp;"|"&amp;COUNTIF($E$5:$E13,$E13))</f>
        <v/>
      </c>
      <c r="K13" s="40" t="str">
        <f aca="false">IF($I13="","",LEN($I13))</f>
        <v/>
      </c>
      <c r="L13" s="13"/>
      <c r="M13" s="13"/>
      <c r="N13" s="13"/>
      <c r="O13" s="13"/>
      <c r="P13" s="152"/>
      <c r="Q13" s="149"/>
      <c r="R13" s="152"/>
      <c r="S13" s="152"/>
      <c r="T13" s="62" t="str">
        <f aca="false">IF(OR($C13="",R13=""),"",IF(R13/IF($R$2="",100,$R$2)&gt;=設定!$I$28,設定!$G$8,IF(R13/IF($R$2="",100,$R$2)&lt;設定!$I$29,設定!$G$10,設定!$G$9)))</f>
        <v/>
      </c>
      <c r="U13" s="62" t="str">
        <f aca="false">IF(OR($C13="",S13=""),"",IF(S13/IF($S$2="",100,$S$2)&gt;=設定!$I$28,設定!$G$8,IF(S13/IF($S$2="",100,$S$2)&lt;設定!$I$29,設定!$G$10,設定!$G$9)))</f>
        <v/>
      </c>
    </row>
    <row r="14" customFormat="false" ht="21" hidden="false" customHeight="true" outlineLevel="0" collapsed="false">
      <c r="A14" s="91" t="str">
        <f aca="false">IF(名簿!$D14="","",名簿!$B14&amp;"")</f>
        <v/>
      </c>
      <c r="B14" s="91" t="str">
        <f aca="false">IF(名簿!$D14="","",名簿!$C14)</f>
        <v/>
      </c>
      <c r="C14" s="59" t="str">
        <f aca="false">IF(名簿!$D14="","",名簿!$D14&amp;IF(名簿!$F14="転出","（転出）",""))</f>
        <v/>
      </c>
      <c r="D14" s="149"/>
      <c r="E14" s="61" t="str">
        <f aca="false">IF(OR($C14="",名簿!$F14="転出"),"",IF($C$2="学級ごと",$A14,IF($C$2="前の単元と同じ",単元11!$E14&amp;"",$D14&amp;"")))</f>
        <v/>
      </c>
      <c r="F14" s="150"/>
      <c r="G14" s="150"/>
      <c r="H14" s="150"/>
      <c r="I14" s="151"/>
      <c r="J14" s="41" t="str">
        <f aca="false">IF($E14="","",$E14&amp;"|"&amp;COUNTIF($E$5:$E14,$E14))</f>
        <v/>
      </c>
      <c r="K14" s="40" t="str">
        <f aca="false">IF($I14="","",LEN($I14))</f>
        <v/>
      </c>
      <c r="L14" s="13"/>
      <c r="M14" s="13"/>
      <c r="N14" s="13"/>
      <c r="O14" s="13"/>
      <c r="P14" s="152"/>
      <c r="Q14" s="149"/>
      <c r="R14" s="152"/>
      <c r="S14" s="152"/>
      <c r="T14" s="62" t="str">
        <f aca="false">IF(OR($C14="",R14=""),"",IF(R14/IF($R$2="",100,$R$2)&gt;=設定!$I$28,設定!$G$8,IF(R14/IF($R$2="",100,$R$2)&lt;設定!$I$29,設定!$G$10,設定!$G$9)))</f>
        <v/>
      </c>
      <c r="U14" s="62" t="str">
        <f aca="false">IF(OR($C14="",S14=""),"",IF(S14/IF($S$2="",100,$S$2)&gt;=設定!$I$28,設定!$G$8,IF(S14/IF($S$2="",100,$S$2)&lt;設定!$I$29,設定!$G$10,設定!$G$9)))</f>
        <v/>
      </c>
    </row>
    <row r="15" customFormat="false" ht="21" hidden="false" customHeight="true" outlineLevel="0" collapsed="false">
      <c r="A15" s="91" t="str">
        <f aca="false">IF(名簿!$D15="","",名簿!$B15&amp;"")</f>
        <v/>
      </c>
      <c r="B15" s="91" t="str">
        <f aca="false">IF(名簿!$D15="","",名簿!$C15)</f>
        <v/>
      </c>
      <c r="C15" s="59" t="str">
        <f aca="false">IF(名簿!$D15="","",名簿!$D15&amp;IF(名簿!$F15="転出","（転出）",""))</f>
        <v/>
      </c>
      <c r="D15" s="149"/>
      <c r="E15" s="61" t="str">
        <f aca="false">IF(OR($C15="",名簿!$F15="転出"),"",IF($C$2="学級ごと",$A15,IF($C$2="前の単元と同じ",単元11!$E15&amp;"",$D15&amp;"")))</f>
        <v/>
      </c>
      <c r="F15" s="150"/>
      <c r="G15" s="150"/>
      <c r="H15" s="150"/>
      <c r="I15" s="151"/>
      <c r="J15" s="41" t="str">
        <f aca="false">IF($E15="","",$E15&amp;"|"&amp;COUNTIF($E$5:$E15,$E15))</f>
        <v/>
      </c>
      <c r="K15" s="40" t="str">
        <f aca="false">IF($I15="","",LEN($I15))</f>
        <v/>
      </c>
      <c r="L15" s="13"/>
      <c r="M15" s="13"/>
      <c r="N15" s="13"/>
      <c r="O15" s="13"/>
      <c r="P15" s="152"/>
      <c r="Q15" s="149"/>
      <c r="R15" s="152"/>
      <c r="S15" s="152"/>
      <c r="T15" s="62" t="str">
        <f aca="false">IF(OR($C15="",R15=""),"",IF(R15/IF($R$2="",100,$R$2)&gt;=設定!$I$28,設定!$G$8,IF(R15/IF($R$2="",100,$R$2)&lt;設定!$I$29,設定!$G$10,設定!$G$9)))</f>
        <v/>
      </c>
      <c r="U15" s="62" t="str">
        <f aca="false">IF(OR($C15="",S15=""),"",IF(S15/IF($S$2="",100,$S$2)&gt;=設定!$I$28,設定!$G$8,IF(S15/IF($S$2="",100,$S$2)&lt;設定!$I$29,設定!$G$10,設定!$G$9)))</f>
        <v/>
      </c>
    </row>
    <row r="16" customFormat="false" ht="21" hidden="false" customHeight="true" outlineLevel="0" collapsed="false">
      <c r="A16" s="91" t="str">
        <f aca="false">IF(名簿!$D16="","",名簿!$B16&amp;"")</f>
        <v/>
      </c>
      <c r="B16" s="91" t="str">
        <f aca="false">IF(名簿!$D16="","",名簿!$C16)</f>
        <v/>
      </c>
      <c r="C16" s="59" t="str">
        <f aca="false">IF(名簿!$D16="","",名簿!$D16&amp;IF(名簿!$F16="転出","（転出）",""))</f>
        <v/>
      </c>
      <c r="D16" s="149"/>
      <c r="E16" s="61" t="str">
        <f aca="false">IF(OR($C16="",名簿!$F16="転出"),"",IF($C$2="学級ごと",$A16,IF($C$2="前の単元と同じ",単元11!$E16&amp;"",$D16&amp;"")))</f>
        <v/>
      </c>
      <c r="F16" s="150"/>
      <c r="G16" s="150"/>
      <c r="H16" s="150"/>
      <c r="I16" s="151"/>
      <c r="J16" s="41" t="str">
        <f aca="false">IF($E16="","",$E16&amp;"|"&amp;COUNTIF($E$5:$E16,$E16))</f>
        <v/>
      </c>
      <c r="K16" s="40" t="str">
        <f aca="false">IF($I16="","",LEN($I16))</f>
        <v/>
      </c>
      <c r="L16" s="13"/>
      <c r="M16" s="13"/>
      <c r="N16" s="13"/>
      <c r="O16" s="13"/>
      <c r="P16" s="152"/>
      <c r="Q16" s="149"/>
      <c r="R16" s="152"/>
      <c r="S16" s="152"/>
      <c r="T16" s="62" t="str">
        <f aca="false">IF(OR($C16="",R16=""),"",IF(R16/IF($R$2="",100,$R$2)&gt;=設定!$I$28,設定!$G$8,IF(R16/IF($R$2="",100,$R$2)&lt;設定!$I$29,設定!$G$10,設定!$G$9)))</f>
        <v/>
      </c>
      <c r="U16" s="62" t="str">
        <f aca="false">IF(OR($C16="",S16=""),"",IF(S16/IF($S$2="",100,$S$2)&gt;=設定!$I$28,設定!$G$8,IF(S16/IF($S$2="",100,$S$2)&lt;設定!$I$29,設定!$G$10,設定!$G$9)))</f>
        <v/>
      </c>
    </row>
    <row r="17" customFormat="false" ht="21" hidden="false" customHeight="true" outlineLevel="0" collapsed="false">
      <c r="A17" s="91" t="str">
        <f aca="false">IF(名簿!$D17="","",名簿!$B17&amp;"")</f>
        <v/>
      </c>
      <c r="B17" s="91" t="str">
        <f aca="false">IF(名簿!$D17="","",名簿!$C17)</f>
        <v/>
      </c>
      <c r="C17" s="59" t="str">
        <f aca="false">IF(名簿!$D17="","",名簿!$D17&amp;IF(名簿!$F17="転出","（転出）",""))</f>
        <v/>
      </c>
      <c r="D17" s="149"/>
      <c r="E17" s="61" t="str">
        <f aca="false">IF(OR($C17="",名簿!$F17="転出"),"",IF($C$2="学級ごと",$A17,IF($C$2="前の単元と同じ",単元11!$E17&amp;"",$D17&amp;"")))</f>
        <v/>
      </c>
      <c r="F17" s="150"/>
      <c r="G17" s="150"/>
      <c r="H17" s="150"/>
      <c r="I17" s="151"/>
      <c r="J17" s="41" t="str">
        <f aca="false">IF($E17="","",$E17&amp;"|"&amp;COUNTIF($E$5:$E17,$E17))</f>
        <v/>
      </c>
      <c r="K17" s="40" t="str">
        <f aca="false">IF($I17="","",LEN($I17))</f>
        <v/>
      </c>
      <c r="L17" s="13"/>
      <c r="M17" s="13"/>
      <c r="N17" s="13"/>
      <c r="O17" s="13"/>
      <c r="P17" s="152"/>
      <c r="Q17" s="149"/>
      <c r="R17" s="152"/>
      <c r="S17" s="152"/>
      <c r="T17" s="62" t="str">
        <f aca="false">IF(OR($C17="",R17=""),"",IF(R17/IF($R$2="",100,$R$2)&gt;=設定!$I$28,設定!$G$8,IF(R17/IF($R$2="",100,$R$2)&lt;設定!$I$29,設定!$G$10,設定!$G$9)))</f>
        <v/>
      </c>
      <c r="U17" s="62" t="str">
        <f aca="false">IF(OR($C17="",S17=""),"",IF(S17/IF($S$2="",100,$S$2)&gt;=設定!$I$28,設定!$G$8,IF(S17/IF($S$2="",100,$S$2)&lt;設定!$I$29,設定!$G$10,設定!$G$9)))</f>
        <v/>
      </c>
    </row>
    <row r="18" customFormat="false" ht="21" hidden="false" customHeight="true" outlineLevel="0" collapsed="false">
      <c r="A18" s="91" t="str">
        <f aca="false">IF(名簿!$D18="","",名簿!$B18&amp;"")</f>
        <v/>
      </c>
      <c r="B18" s="91" t="str">
        <f aca="false">IF(名簿!$D18="","",名簿!$C18)</f>
        <v/>
      </c>
      <c r="C18" s="59" t="str">
        <f aca="false">IF(名簿!$D18="","",名簿!$D18&amp;IF(名簿!$F18="転出","（転出）",""))</f>
        <v/>
      </c>
      <c r="D18" s="149"/>
      <c r="E18" s="61" t="str">
        <f aca="false">IF(OR($C18="",名簿!$F18="転出"),"",IF($C$2="学級ごと",$A18,IF($C$2="前の単元と同じ",単元11!$E18&amp;"",$D18&amp;"")))</f>
        <v/>
      </c>
      <c r="F18" s="150"/>
      <c r="G18" s="150"/>
      <c r="H18" s="150"/>
      <c r="I18" s="151"/>
      <c r="J18" s="41" t="str">
        <f aca="false">IF($E18="","",$E18&amp;"|"&amp;COUNTIF($E$5:$E18,$E18))</f>
        <v/>
      </c>
      <c r="K18" s="40" t="str">
        <f aca="false">IF($I18="","",LEN($I18))</f>
        <v/>
      </c>
      <c r="L18" s="13"/>
      <c r="M18" s="13"/>
      <c r="N18" s="13"/>
      <c r="O18" s="13"/>
      <c r="P18" s="152"/>
      <c r="Q18" s="149"/>
      <c r="R18" s="152"/>
      <c r="S18" s="152"/>
      <c r="T18" s="62" t="str">
        <f aca="false">IF(OR($C18="",R18=""),"",IF(R18/IF($R$2="",100,$R$2)&gt;=設定!$I$28,設定!$G$8,IF(R18/IF($R$2="",100,$R$2)&lt;設定!$I$29,設定!$G$10,設定!$G$9)))</f>
        <v/>
      </c>
      <c r="U18" s="62" t="str">
        <f aca="false">IF(OR($C18="",S18=""),"",IF(S18/IF($S$2="",100,$S$2)&gt;=設定!$I$28,設定!$G$8,IF(S18/IF($S$2="",100,$S$2)&lt;設定!$I$29,設定!$G$10,設定!$G$9)))</f>
        <v/>
      </c>
    </row>
    <row r="19" customFormat="false" ht="21" hidden="false" customHeight="true" outlineLevel="0" collapsed="false">
      <c r="A19" s="91" t="str">
        <f aca="false">IF(名簿!$D19="","",名簿!$B19&amp;"")</f>
        <v/>
      </c>
      <c r="B19" s="91" t="str">
        <f aca="false">IF(名簿!$D19="","",名簿!$C19)</f>
        <v/>
      </c>
      <c r="C19" s="59" t="str">
        <f aca="false">IF(名簿!$D19="","",名簿!$D19&amp;IF(名簿!$F19="転出","（転出）",""))</f>
        <v/>
      </c>
      <c r="D19" s="149"/>
      <c r="E19" s="61" t="str">
        <f aca="false">IF(OR($C19="",名簿!$F19="転出"),"",IF($C$2="学級ごと",$A19,IF($C$2="前の単元と同じ",単元11!$E19&amp;"",$D19&amp;"")))</f>
        <v/>
      </c>
      <c r="F19" s="150"/>
      <c r="G19" s="150"/>
      <c r="H19" s="150"/>
      <c r="I19" s="151"/>
      <c r="J19" s="41" t="str">
        <f aca="false">IF($E19="","",$E19&amp;"|"&amp;COUNTIF($E$5:$E19,$E19))</f>
        <v/>
      </c>
      <c r="K19" s="40" t="str">
        <f aca="false">IF($I19="","",LEN($I19))</f>
        <v/>
      </c>
      <c r="L19" s="13"/>
      <c r="M19" s="13"/>
      <c r="N19" s="13"/>
      <c r="O19" s="13"/>
      <c r="P19" s="152"/>
      <c r="Q19" s="149"/>
      <c r="R19" s="152"/>
      <c r="S19" s="152"/>
      <c r="T19" s="62" t="str">
        <f aca="false">IF(OR($C19="",R19=""),"",IF(R19/IF($R$2="",100,$R$2)&gt;=設定!$I$28,設定!$G$8,IF(R19/IF($R$2="",100,$R$2)&lt;設定!$I$29,設定!$G$10,設定!$G$9)))</f>
        <v/>
      </c>
      <c r="U19" s="62" t="str">
        <f aca="false">IF(OR($C19="",S19=""),"",IF(S19/IF($S$2="",100,$S$2)&gt;=設定!$I$28,設定!$G$8,IF(S19/IF($S$2="",100,$S$2)&lt;設定!$I$29,設定!$G$10,設定!$G$9)))</f>
        <v/>
      </c>
    </row>
    <row r="20" customFormat="false" ht="21" hidden="false" customHeight="true" outlineLevel="0" collapsed="false">
      <c r="A20" s="91" t="str">
        <f aca="false">IF(名簿!$D20="","",名簿!$B20&amp;"")</f>
        <v/>
      </c>
      <c r="B20" s="91" t="str">
        <f aca="false">IF(名簿!$D20="","",名簿!$C20)</f>
        <v/>
      </c>
      <c r="C20" s="59" t="str">
        <f aca="false">IF(名簿!$D20="","",名簿!$D20&amp;IF(名簿!$F20="転出","（転出）",""))</f>
        <v/>
      </c>
      <c r="D20" s="149"/>
      <c r="E20" s="61" t="str">
        <f aca="false">IF(OR($C20="",名簿!$F20="転出"),"",IF($C$2="学級ごと",$A20,IF($C$2="前の単元と同じ",単元11!$E20&amp;"",$D20&amp;"")))</f>
        <v/>
      </c>
      <c r="F20" s="150"/>
      <c r="G20" s="150"/>
      <c r="H20" s="150"/>
      <c r="I20" s="151"/>
      <c r="J20" s="41" t="str">
        <f aca="false">IF($E20="","",$E20&amp;"|"&amp;COUNTIF($E$5:$E20,$E20))</f>
        <v/>
      </c>
      <c r="K20" s="40" t="str">
        <f aca="false">IF($I20="","",LEN($I20))</f>
        <v/>
      </c>
      <c r="L20" s="13"/>
      <c r="M20" s="13"/>
      <c r="N20" s="13"/>
      <c r="O20" s="13"/>
      <c r="P20" s="152"/>
      <c r="Q20" s="149"/>
      <c r="R20" s="152"/>
      <c r="S20" s="152"/>
      <c r="T20" s="62" t="str">
        <f aca="false">IF(OR($C20="",R20=""),"",IF(R20/IF($R$2="",100,$R$2)&gt;=設定!$I$28,設定!$G$8,IF(R20/IF($R$2="",100,$R$2)&lt;設定!$I$29,設定!$G$10,設定!$G$9)))</f>
        <v/>
      </c>
      <c r="U20" s="62" t="str">
        <f aca="false">IF(OR($C20="",S20=""),"",IF(S20/IF($S$2="",100,$S$2)&gt;=設定!$I$28,設定!$G$8,IF(S20/IF($S$2="",100,$S$2)&lt;設定!$I$29,設定!$G$10,設定!$G$9)))</f>
        <v/>
      </c>
    </row>
    <row r="21" customFormat="false" ht="21" hidden="false" customHeight="true" outlineLevel="0" collapsed="false">
      <c r="A21" s="91" t="str">
        <f aca="false">IF(名簿!$D21="","",名簿!$B21&amp;"")</f>
        <v/>
      </c>
      <c r="B21" s="91" t="str">
        <f aca="false">IF(名簿!$D21="","",名簿!$C21)</f>
        <v/>
      </c>
      <c r="C21" s="59" t="str">
        <f aca="false">IF(名簿!$D21="","",名簿!$D21&amp;IF(名簿!$F21="転出","（転出）",""))</f>
        <v/>
      </c>
      <c r="D21" s="149"/>
      <c r="E21" s="61" t="str">
        <f aca="false">IF(OR($C21="",名簿!$F21="転出"),"",IF($C$2="学級ごと",$A21,IF($C$2="前の単元と同じ",単元11!$E21&amp;"",$D21&amp;"")))</f>
        <v/>
      </c>
      <c r="F21" s="150"/>
      <c r="G21" s="150"/>
      <c r="H21" s="150"/>
      <c r="I21" s="151"/>
      <c r="J21" s="41" t="str">
        <f aca="false">IF($E21="","",$E21&amp;"|"&amp;COUNTIF($E$5:$E21,$E21))</f>
        <v/>
      </c>
      <c r="K21" s="40" t="str">
        <f aca="false">IF($I21="","",LEN($I21))</f>
        <v/>
      </c>
      <c r="L21" s="13"/>
      <c r="M21" s="13"/>
      <c r="N21" s="13"/>
      <c r="O21" s="13"/>
      <c r="P21" s="152"/>
      <c r="Q21" s="149"/>
      <c r="R21" s="152"/>
      <c r="S21" s="152"/>
      <c r="T21" s="62" t="str">
        <f aca="false">IF(OR($C21="",R21=""),"",IF(R21/IF($R$2="",100,$R$2)&gt;=設定!$I$28,設定!$G$8,IF(R21/IF($R$2="",100,$R$2)&lt;設定!$I$29,設定!$G$10,設定!$G$9)))</f>
        <v/>
      </c>
      <c r="U21" s="62" t="str">
        <f aca="false">IF(OR($C21="",S21=""),"",IF(S21/IF($S$2="",100,$S$2)&gt;=設定!$I$28,設定!$G$8,IF(S21/IF($S$2="",100,$S$2)&lt;設定!$I$29,設定!$G$10,設定!$G$9)))</f>
        <v/>
      </c>
    </row>
    <row r="22" customFormat="false" ht="21" hidden="false" customHeight="true" outlineLevel="0" collapsed="false">
      <c r="A22" s="91" t="str">
        <f aca="false">IF(名簿!$D22="","",名簿!$B22&amp;"")</f>
        <v/>
      </c>
      <c r="B22" s="91" t="str">
        <f aca="false">IF(名簿!$D22="","",名簿!$C22)</f>
        <v/>
      </c>
      <c r="C22" s="59" t="str">
        <f aca="false">IF(名簿!$D22="","",名簿!$D22&amp;IF(名簿!$F22="転出","（転出）",""))</f>
        <v/>
      </c>
      <c r="D22" s="149"/>
      <c r="E22" s="61" t="str">
        <f aca="false">IF(OR($C22="",名簿!$F22="転出"),"",IF($C$2="学級ごと",$A22,IF($C$2="前の単元と同じ",単元11!$E22&amp;"",$D22&amp;"")))</f>
        <v/>
      </c>
      <c r="F22" s="150"/>
      <c r="G22" s="150"/>
      <c r="H22" s="150"/>
      <c r="I22" s="151"/>
      <c r="J22" s="41" t="str">
        <f aca="false">IF($E22="","",$E22&amp;"|"&amp;COUNTIF($E$5:$E22,$E22))</f>
        <v/>
      </c>
      <c r="K22" s="40" t="str">
        <f aca="false">IF($I22="","",LEN($I22))</f>
        <v/>
      </c>
      <c r="L22" s="13"/>
      <c r="M22" s="13"/>
      <c r="N22" s="13"/>
      <c r="O22" s="13"/>
      <c r="P22" s="152"/>
      <c r="Q22" s="149"/>
      <c r="R22" s="152"/>
      <c r="S22" s="152"/>
      <c r="T22" s="62" t="str">
        <f aca="false">IF(OR($C22="",R22=""),"",IF(R22/IF($R$2="",100,$R$2)&gt;=設定!$I$28,設定!$G$8,IF(R22/IF($R$2="",100,$R$2)&lt;設定!$I$29,設定!$G$10,設定!$G$9)))</f>
        <v/>
      </c>
      <c r="U22" s="62" t="str">
        <f aca="false">IF(OR($C22="",S22=""),"",IF(S22/IF($S$2="",100,$S$2)&gt;=設定!$I$28,設定!$G$8,IF(S22/IF($S$2="",100,$S$2)&lt;設定!$I$29,設定!$G$10,設定!$G$9)))</f>
        <v/>
      </c>
    </row>
    <row r="23" customFormat="false" ht="21" hidden="false" customHeight="true" outlineLevel="0" collapsed="false">
      <c r="A23" s="91" t="str">
        <f aca="false">IF(名簿!$D23="","",名簿!$B23&amp;"")</f>
        <v/>
      </c>
      <c r="B23" s="91" t="str">
        <f aca="false">IF(名簿!$D23="","",名簿!$C23)</f>
        <v/>
      </c>
      <c r="C23" s="59" t="str">
        <f aca="false">IF(名簿!$D23="","",名簿!$D23&amp;IF(名簿!$F23="転出","（転出）",""))</f>
        <v/>
      </c>
      <c r="D23" s="149"/>
      <c r="E23" s="61" t="str">
        <f aca="false">IF(OR($C23="",名簿!$F23="転出"),"",IF($C$2="学級ごと",$A23,IF($C$2="前の単元と同じ",単元11!$E23&amp;"",$D23&amp;"")))</f>
        <v/>
      </c>
      <c r="F23" s="150"/>
      <c r="G23" s="150"/>
      <c r="H23" s="150"/>
      <c r="I23" s="151"/>
      <c r="J23" s="41" t="str">
        <f aca="false">IF($E23="","",$E23&amp;"|"&amp;COUNTIF($E$5:$E23,$E23))</f>
        <v/>
      </c>
      <c r="K23" s="40" t="str">
        <f aca="false">IF($I23="","",LEN($I23))</f>
        <v/>
      </c>
      <c r="L23" s="13"/>
      <c r="M23" s="13"/>
      <c r="N23" s="13"/>
      <c r="O23" s="13"/>
      <c r="P23" s="152"/>
      <c r="Q23" s="149"/>
      <c r="R23" s="152"/>
      <c r="S23" s="152"/>
      <c r="T23" s="62" t="str">
        <f aca="false">IF(OR($C23="",R23=""),"",IF(R23/IF($R$2="",100,$R$2)&gt;=設定!$I$28,設定!$G$8,IF(R23/IF($R$2="",100,$R$2)&lt;設定!$I$29,設定!$G$10,設定!$G$9)))</f>
        <v/>
      </c>
      <c r="U23" s="62" t="str">
        <f aca="false">IF(OR($C23="",S23=""),"",IF(S23/IF($S$2="",100,$S$2)&gt;=設定!$I$28,設定!$G$8,IF(S23/IF($S$2="",100,$S$2)&lt;設定!$I$29,設定!$G$10,設定!$G$9)))</f>
        <v/>
      </c>
    </row>
    <row r="24" customFormat="false" ht="21" hidden="false" customHeight="true" outlineLevel="0" collapsed="false">
      <c r="A24" s="91" t="str">
        <f aca="false">IF(名簿!$D24="","",名簿!$B24&amp;"")</f>
        <v/>
      </c>
      <c r="B24" s="91" t="str">
        <f aca="false">IF(名簿!$D24="","",名簿!$C24)</f>
        <v/>
      </c>
      <c r="C24" s="59" t="str">
        <f aca="false">IF(名簿!$D24="","",名簿!$D24&amp;IF(名簿!$F24="転出","（転出）",""))</f>
        <v/>
      </c>
      <c r="D24" s="149"/>
      <c r="E24" s="61" t="str">
        <f aca="false">IF(OR($C24="",名簿!$F24="転出"),"",IF($C$2="学級ごと",$A24,IF($C$2="前の単元と同じ",単元11!$E24&amp;"",$D24&amp;"")))</f>
        <v/>
      </c>
      <c r="F24" s="150"/>
      <c r="G24" s="150"/>
      <c r="H24" s="150"/>
      <c r="I24" s="151"/>
      <c r="J24" s="41" t="str">
        <f aca="false">IF($E24="","",$E24&amp;"|"&amp;COUNTIF($E$5:$E24,$E24))</f>
        <v/>
      </c>
      <c r="K24" s="40" t="str">
        <f aca="false">IF($I24="","",LEN($I24))</f>
        <v/>
      </c>
      <c r="L24" s="13"/>
      <c r="M24" s="13"/>
      <c r="N24" s="13"/>
      <c r="O24" s="13"/>
      <c r="P24" s="152"/>
      <c r="Q24" s="149"/>
      <c r="R24" s="152"/>
      <c r="S24" s="152"/>
      <c r="T24" s="62" t="str">
        <f aca="false">IF(OR($C24="",R24=""),"",IF(R24/IF($R$2="",100,$R$2)&gt;=設定!$I$28,設定!$G$8,IF(R24/IF($R$2="",100,$R$2)&lt;設定!$I$29,設定!$G$10,設定!$G$9)))</f>
        <v/>
      </c>
      <c r="U24" s="62" t="str">
        <f aca="false">IF(OR($C24="",S24=""),"",IF(S24/IF($S$2="",100,$S$2)&gt;=設定!$I$28,設定!$G$8,IF(S24/IF($S$2="",100,$S$2)&lt;設定!$I$29,設定!$G$10,設定!$G$9)))</f>
        <v/>
      </c>
    </row>
    <row r="25" customFormat="false" ht="21" hidden="false" customHeight="true" outlineLevel="0" collapsed="false">
      <c r="A25" s="91" t="str">
        <f aca="false">IF(名簿!$D25="","",名簿!$B25&amp;"")</f>
        <v/>
      </c>
      <c r="B25" s="91" t="str">
        <f aca="false">IF(名簿!$D25="","",名簿!$C25)</f>
        <v/>
      </c>
      <c r="C25" s="59" t="str">
        <f aca="false">IF(名簿!$D25="","",名簿!$D25&amp;IF(名簿!$F25="転出","（転出）",""))</f>
        <v/>
      </c>
      <c r="D25" s="149"/>
      <c r="E25" s="61" t="str">
        <f aca="false">IF(OR($C25="",名簿!$F25="転出"),"",IF($C$2="学級ごと",$A25,IF($C$2="前の単元と同じ",単元11!$E25&amp;"",$D25&amp;"")))</f>
        <v/>
      </c>
      <c r="F25" s="150"/>
      <c r="G25" s="150"/>
      <c r="H25" s="150"/>
      <c r="I25" s="151"/>
      <c r="J25" s="41" t="str">
        <f aca="false">IF($E25="","",$E25&amp;"|"&amp;COUNTIF($E$5:$E25,$E25))</f>
        <v/>
      </c>
      <c r="K25" s="40" t="str">
        <f aca="false">IF($I25="","",LEN($I25))</f>
        <v/>
      </c>
      <c r="L25" s="13"/>
      <c r="M25" s="13"/>
      <c r="N25" s="13"/>
      <c r="O25" s="13"/>
      <c r="P25" s="152"/>
      <c r="Q25" s="149"/>
      <c r="R25" s="152"/>
      <c r="S25" s="152"/>
      <c r="T25" s="62" t="str">
        <f aca="false">IF(OR($C25="",R25=""),"",IF(R25/IF($R$2="",100,$R$2)&gt;=設定!$I$28,設定!$G$8,IF(R25/IF($R$2="",100,$R$2)&lt;設定!$I$29,設定!$G$10,設定!$G$9)))</f>
        <v/>
      </c>
      <c r="U25" s="62" t="str">
        <f aca="false">IF(OR($C25="",S25=""),"",IF(S25/IF($S$2="",100,$S$2)&gt;=設定!$I$28,設定!$G$8,IF(S25/IF($S$2="",100,$S$2)&lt;設定!$I$29,設定!$G$10,設定!$G$9)))</f>
        <v/>
      </c>
    </row>
    <row r="26" customFormat="false" ht="21" hidden="false" customHeight="true" outlineLevel="0" collapsed="false">
      <c r="A26" s="91" t="str">
        <f aca="false">IF(名簿!$D26="","",名簿!$B26&amp;"")</f>
        <v/>
      </c>
      <c r="B26" s="91" t="str">
        <f aca="false">IF(名簿!$D26="","",名簿!$C26)</f>
        <v/>
      </c>
      <c r="C26" s="59" t="str">
        <f aca="false">IF(名簿!$D26="","",名簿!$D26&amp;IF(名簿!$F26="転出","（転出）",""))</f>
        <v/>
      </c>
      <c r="D26" s="149"/>
      <c r="E26" s="61" t="str">
        <f aca="false">IF(OR($C26="",名簿!$F26="転出"),"",IF($C$2="学級ごと",$A26,IF($C$2="前の単元と同じ",単元11!$E26&amp;"",$D26&amp;"")))</f>
        <v/>
      </c>
      <c r="F26" s="150"/>
      <c r="G26" s="150"/>
      <c r="H26" s="150"/>
      <c r="I26" s="151"/>
      <c r="J26" s="41" t="str">
        <f aca="false">IF($E26="","",$E26&amp;"|"&amp;COUNTIF($E$5:$E26,$E26))</f>
        <v/>
      </c>
      <c r="K26" s="40" t="str">
        <f aca="false">IF($I26="","",LEN($I26))</f>
        <v/>
      </c>
      <c r="L26" s="13"/>
      <c r="M26" s="13"/>
      <c r="N26" s="13"/>
      <c r="O26" s="13"/>
      <c r="P26" s="152"/>
      <c r="Q26" s="149"/>
      <c r="R26" s="152"/>
      <c r="S26" s="152"/>
      <c r="T26" s="62" t="str">
        <f aca="false">IF(OR($C26="",R26=""),"",IF(R26/IF($R$2="",100,$R$2)&gt;=設定!$I$28,設定!$G$8,IF(R26/IF($R$2="",100,$R$2)&lt;設定!$I$29,設定!$G$10,設定!$G$9)))</f>
        <v/>
      </c>
      <c r="U26" s="62" t="str">
        <f aca="false">IF(OR($C26="",S26=""),"",IF(S26/IF($S$2="",100,$S$2)&gt;=設定!$I$28,設定!$G$8,IF(S26/IF($S$2="",100,$S$2)&lt;設定!$I$29,設定!$G$10,設定!$G$9)))</f>
        <v/>
      </c>
    </row>
    <row r="27" customFormat="false" ht="21" hidden="false" customHeight="true" outlineLevel="0" collapsed="false">
      <c r="A27" s="91" t="str">
        <f aca="false">IF(名簿!$D27="","",名簿!$B27&amp;"")</f>
        <v/>
      </c>
      <c r="B27" s="91" t="str">
        <f aca="false">IF(名簿!$D27="","",名簿!$C27)</f>
        <v/>
      </c>
      <c r="C27" s="59" t="str">
        <f aca="false">IF(名簿!$D27="","",名簿!$D27&amp;IF(名簿!$F27="転出","（転出）",""))</f>
        <v/>
      </c>
      <c r="D27" s="149"/>
      <c r="E27" s="61" t="str">
        <f aca="false">IF(OR($C27="",名簿!$F27="転出"),"",IF($C$2="学級ごと",$A27,IF($C$2="前の単元と同じ",単元11!$E27&amp;"",$D27&amp;"")))</f>
        <v/>
      </c>
      <c r="F27" s="150"/>
      <c r="G27" s="150"/>
      <c r="H27" s="150"/>
      <c r="I27" s="151"/>
      <c r="J27" s="41" t="str">
        <f aca="false">IF($E27="","",$E27&amp;"|"&amp;COUNTIF($E$5:$E27,$E27))</f>
        <v/>
      </c>
      <c r="K27" s="40" t="str">
        <f aca="false">IF($I27="","",LEN($I27))</f>
        <v/>
      </c>
      <c r="L27" s="13"/>
      <c r="M27" s="13"/>
      <c r="N27" s="13"/>
      <c r="O27" s="13"/>
      <c r="P27" s="152"/>
      <c r="Q27" s="149"/>
      <c r="R27" s="152"/>
      <c r="S27" s="152"/>
      <c r="T27" s="62" t="str">
        <f aca="false">IF(OR($C27="",R27=""),"",IF(R27/IF($R$2="",100,$R$2)&gt;=設定!$I$28,設定!$G$8,IF(R27/IF($R$2="",100,$R$2)&lt;設定!$I$29,設定!$G$10,設定!$G$9)))</f>
        <v/>
      </c>
      <c r="U27" s="62" t="str">
        <f aca="false">IF(OR($C27="",S27=""),"",IF(S27/IF($S$2="",100,$S$2)&gt;=設定!$I$28,設定!$G$8,IF(S27/IF($S$2="",100,$S$2)&lt;設定!$I$29,設定!$G$10,設定!$G$9)))</f>
        <v/>
      </c>
    </row>
    <row r="28" customFormat="false" ht="21" hidden="false" customHeight="true" outlineLevel="0" collapsed="false">
      <c r="A28" s="91" t="str">
        <f aca="false">IF(名簿!$D28="","",名簿!$B28&amp;"")</f>
        <v/>
      </c>
      <c r="B28" s="91" t="str">
        <f aca="false">IF(名簿!$D28="","",名簿!$C28)</f>
        <v/>
      </c>
      <c r="C28" s="59" t="str">
        <f aca="false">IF(名簿!$D28="","",名簿!$D28&amp;IF(名簿!$F28="転出","（転出）",""))</f>
        <v/>
      </c>
      <c r="D28" s="149"/>
      <c r="E28" s="61" t="str">
        <f aca="false">IF(OR($C28="",名簿!$F28="転出"),"",IF($C$2="学級ごと",$A28,IF($C$2="前の単元と同じ",単元11!$E28&amp;"",$D28&amp;"")))</f>
        <v/>
      </c>
      <c r="F28" s="150"/>
      <c r="G28" s="150"/>
      <c r="H28" s="150"/>
      <c r="I28" s="151"/>
      <c r="J28" s="41" t="str">
        <f aca="false">IF($E28="","",$E28&amp;"|"&amp;COUNTIF($E$5:$E28,$E28))</f>
        <v/>
      </c>
      <c r="K28" s="40" t="str">
        <f aca="false">IF($I28="","",LEN($I28))</f>
        <v/>
      </c>
      <c r="L28" s="13"/>
      <c r="M28" s="13"/>
      <c r="N28" s="13"/>
      <c r="O28" s="13"/>
      <c r="P28" s="152"/>
      <c r="Q28" s="149"/>
      <c r="R28" s="152"/>
      <c r="S28" s="152"/>
      <c r="T28" s="62" t="str">
        <f aca="false">IF(OR($C28="",R28=""),"",IF(R28/IF($R$2="",100,$R$2)&gt;=設定!$I$28,設定!$G$8,IF(R28/IF($R$2="",100,$R$2)&lt;設定!$I$29,設定!$G$10,設定!$G$9)))</f>
        <v/>
      </c>
      <c r="U28" s="62" t="str">
        <f aca="false">IF(OR($C28="",S28=""),"",IF(S28/IF($S$2="",100,$S$2)&gt;=設定!$I$28,設定!$G$8,IF(S28/IF($S$2="",100,$S$2)&lt;設定!$I$29,設定!$G$10,設定!$G$9)))</f>
        <v/>
      </c>
    </row>
    <row r="29" customFormat="false" ht="21" hidden="false" customHeight="true" outlineLevel="0" collapsed="false">
      <c r="A29" s="91" t="str">
        <f aca="false">IF(名簿!$D29="","",名簿!$B29&amp;"")</f>
        <v/>
      </c>
      <c r="B29" s="91" t="str">
        <f aca="false">IF(名簿!$D29="","",名簿!$C29)</f>
        <v/>
      </c>
      <c r="C29" s="59" t="str">
        <f aca="false">IF(名簿!$D29="","",名簿!$D29&amp;IF(名簿!$F29="転出","（転出）",""))</f>
        <v/>
      </c>
      <c r="D29" s="149"/>
      <c r="E29" s="61" t="str">
        <f aca="false">IF(OR($C29="",名簿!$F29="転出"),"",IF($C$2="学級ごと",$A29,IF($C$2="前の単元と同じ",単元11!$E29&amp;"",$D29&amp;"")))</f>
        <v/>
      </c>
      <c r="F29" s="150"/>
      <c r="G29" s="150"/>
      <c r="H29" s="150"/>
      <c r="I29" s="151"/>
      <c r="J29" s="41" t="str">
        <f aca="false">IF($E29="","",$E29&amp;"|"&amp;COUNTIF($E$5:$E29,$E29))</f>
        <v/>
      </c>
      <c r="K29" s="40" t="str">
        <f aca="false">IF($I29="","",LEN($I29))</f>
        <v/>
      </c>
      <c r="L29" s="13"/>
      <c r="M29" s="13"/>
      <c r="N29" s="13"/>
      <c r="O29" s="13"/>
      <c r="P29" s="152"/>
      <c r="Q29" s="149"/>
      <c r="R29" s="152"/>
      <c r="S29" s="152"/>
      <c r="T29" s="62" t="str">
        <f aca="false">IF(OR($C29="",R29=""),"",IF(R29/IF($R$2="",100,$R$2)&gt;=設定!$I$28,設定!$G$8,IF(R29/IF($R$2="",100,$R$2)&lt;設定!$I$29,設定!$G$10,設定!$G$9)))</f>
        <v/>
      </c>
      <c r="U29" s="62" t="str">
        <f aca="false">IF(OR($C29="",S29=""),"",IF(S29/IF($S$2="",100,$S$2)&gt;=設定!$I$28,設定!$G$8,IF(S29/IF($S$2="",100,$S$2)&lt;設定!$I$29,設定!$G$10,設定!$G$9)))</f>
        <v/>
      </c>
    </row>
    <row r="30" customFormat="false" ht="21" hidden="false" customHeight="true" outlineLevel="0" collapsed="false">
      <c r="A30" s="91" t="str">
        <f aca="false">IF(名簿!$D30="","",名簿!$B30&amp;"")</f>
        <v/>
      </c>
      <c r="B30" s="91" t="str">
        <f aca="false">IF(名簿!$D30="","",名簿!$C30)</f>
        <v/>
      </c>
      <c r="C30" s="59" t="str">
        <f aca="false">IF(名簿!$D30="","",名簿!$D30&amp;IF(名簿!$F30="転出","（転出）",""))</f>
        <v/>
      </c>
      <c r="D30" s="149"/>
      <c r="E30" s="61" t="str">
        <f aca="false">IF(OR($C30="",名簿!$F30="転出"),"",IF($C$2="学級ごと",$A30,IF($C$2="前の単元と同じ",単元11!$E30&amp;"",$D30&amp;"")))</f>
        <v/>
      </c>
      <c r="F30" s="150"/>
      <c r="G30" s="150"/>
      <c r="H30" s="150"/>
      <c r="I30" s="151"/>
      <c r="J30" s="41" t="str">
        <f aca="false">IF($E30="","",$E30&amp;"|"&amp;COUNTIF($E$5:$E30,$E30))</f>
        <v/>
      </c>
      <c r="K30" s="40" t="str">
        <f aca="false">IF($I30="","",LEN($I30))</f>
        <v/>
      </c>
      <c r="L30" s="13"/>
      <c r="M30" s="13"/>
      <c r="N30" s="13"/>
      <c r="O30" s="13"/>
      <c r="P30" s="152"/>
      <c r="Q30" s="149"/>
      <c r="R30" s="152"/>
      <c r="S30" s="152"/>
      <c r="T30" s="62" t="str">
        <f aca="false">IF(OR($C30="",R30=""),"",IF(R30/IF($R$2="",100,$R$2)&gt;=設定!$I$28,設定!$G$8,IF(R30/IF($R$2="",100,$R$2)&lt;設定!$I$29,設定!$G$10,設定!$G$9)))</f>
        <v/>
      </c>
      <c r="U30" s="62" t="str">
        <f aca="false">IF(OR($C30="",S30=""),"",IF(S30/IF($S$2="",100,$S$2)&gt;=設定!$I$28,設定!$G$8,IF(S30/IF($S$2="",100,$S$2)&lt;設定!$I$29,設定!$G$10,設定!$G$9)))</f>
        <v/>
      </c>
    </row>
    <row r="31" customFormat="false" ht="21" hidden="false" customHeight="true" outlineLevel="0" collapsed="false">
      <c r="A31" s="91" t="str">
        <f aca="false">IF(名簿!$D31="","",名簿!$B31&amp;"")</f>
        <v/>
      </c>
      <c r="B31" s="91" t="str">
        <f aca="false">IF(名簿!$D31="","",名簿!$C31)</f>
        <v/>
      </c>
      <c r="C31" s="59" t="str">
        <f aca="false">IF(名簿!$D31="","",名簿!$D31&amp;IF(名簿!$F31="転出","（転出）",""))</f>
        <v/>
      </c>
      <c r="D31" s="149"/>
      <c r="E31" s="61" t="str">
        <f aca="false">IF(OR($C31="",名簿!$F31="転出"),"",IF($C$2="学級ごと",$A31,IF($C$2="前の単元と同じ",単元11!$E31&amp;"",$D31&amp;"")))</f>
        <v/>
      </c>
      <c r="F31" s="150"/>
      <c r="G31" s="150"/>
      <c r="H31" s="150"/>
      <c r="I31" s="151"/>
      <c r="J31" s="41" t="str">
        <f aca="false">IF($E31="","",$E31&amp;"|"&amp;COUNTIF($E$5:$E31,$E31))</f>
        <v/>
      </c>
      <c r="K31" s="40" t="str">
        <f aca="false">IF($I31="","",LEN($I31))</f>
        <v/>
      </c>
      <c r="L31" s="13"/>
      <c r="M31" s="13"/>
      <c r="N31" s="13"/>
      <c r="O31" s="13"/>
      <c r="P31" s="152"/>
      <c r="Q31" s="149"/>
      <c r="R31" s="152"/>
      <c r="S31" s="152"/>
      <c r="T31" s="62" t="str">
        <f aca="false">IF(OR($C31="",R31=""),"",IF(R31/IF($R$2="",100,$R$2)&gt;=設定!$I$28,設定!$G$8,IF(R31/IF($R$2="",100,$R$2)&lt;設定!$I$29,設定!$G$10,設定!$G$9)))</f>
        <v/>
      </c>
      <c r="U31" s="62" t="str">
        <f aca="false">IF(OR($C31="",S31=""),"",IF(S31/IF($S$2="",100,$S$2)&gt;=設定!$I$28,設定!$G$8,IF(S31/IF($S$2="",100,$S$2)&lt;設定!$I$29,設定!$G$10,設定!$G$9)))</f>
        <v/>
      </c>
    </row>
    <row r="32" customFormat="false" ht="21" hidden="false" customHeight="true" outlineLevel="0" collapsed="false">
      <c r="A32" s="91" t="str">
        <f aca="false">IF(名簿!$D32="","",名簿!$B32&amp;"")</f>
        <v/>
      </c>
      <c r="B32" s="91" t="str">
        <f aca="false">IF(名簿!$D32="","",名簿!$C32)</f>
        <v/>
      </c>
      <c r="C32" s="59" t="str">
        <f aca="false">IF(名簿!$D32="","",名簿!$D32&amp;IF(名簿!$F32="転出","（転出）",""))</f>
        <v/>
      </c>
      <c r="D32" s="149"/>
      <c r="E32" s="61" t="str">
        <f aca="false">IF(OR($C32="",名簿!$F32="転出"),"",IF($C$2="学級ごと",$A32,IF($C$2="前の単元と同じ",単元11!$E32&amp;"",$D32&amp;"")))</f>
        <v/>
      </c>
      <c r="F32" s="150"/>
      <c r="G32" s="150"/>
      <c r="H32" s="150"/>
      <c r="I32" s="151"/>
      <c r="J32" s="41" t="str">
        <f aca="false">IF($E32="","",$E32&amp;"|"&amp;COUNTIF($E$5:$E32,$E32))</f>
        <v/>
      </c>
      <c r="K32" s="40" t="str">
        <f aca="false">IF($I32="","",LEN($I32))</f>
        <v/>
      </c>
      <c r="L32" s="13"/>
      <c r="M32" s="13"/>
      <c r="N32" s="13"/>
      <c r="O32" s="13"/>
      <c r="P32" s="152"/>
      <c r="Q32" s="149"/>
      <c r="R32" s="152"/>
      <c r="S32" s="152"/>
      <c r="T32" s="62" t="str">
        <f aca="false">IF(OR($C32="",R32=""),"",IF(R32/IF($R$2="",100,$R$2)&gt;=設定!$I$28,設定!$G$8,IF(R32/IF($R$2="",100,$R$2)&lt;設定!$I$29,設定!$G$10,設定!$G$9)))</f>
        <v/>
      </c>
      <c r="U32" s="62" t="str">
        <f aca="false">IF(OR($C32="",S32=""),"",IF(S32/IF($S$2="",100,$S$2)&gt;=設定!$I$28,設定!$G$8,IF(S32/IF($S$2="",100,$S$2)&lt;設定!$I$29,設定!$G$10,設定!$G$9)))</f>
        <v/>
      </c>
    </row>
    <row r="33" customFormat="false" ht="21" hidden="false" customHeight="true" outlineLevel="0" collapsed="false">
      <c r="A33" s="91" t="str">
        <f aca="false">IF(名簿!$D33="","",名簿!$B33&amp;"")</f>
        <v/>
      </c>
      <c r="B33" s="91" t="str">
        <f aca="false">IF(名簿!$D33="","",名簿!$C33)</f>
        <v/>
      </c>
      <c r="C33" s="59" t="str">
        <f aca="false">IF(名簿!$D33="","",名簿!$D33&amp;IF(名簿!$F33="転出","（転出）",""))</f>
        <v/>
      </c>
      <c r="D33" s="149"/>
      <c r="E33" s="61" t="str">
        <f aca="false">IF(OR($C33="",名簿!$F33="転出"),"",IF($C$2="学級ごと",$A33,IF($C$2="前の単元と同じ",単元11!$E33&amp;"",$D33&amp;"")))</f>
        <v/>
      </c>
      <c r="F33" s="150"/>
      <c r="G33" s="150"/>
      <c r="H33" s="150"/>
      <c r="I33" s="151"/>
      <c r="J33" s="41" t="str">
        <f aca="false">IF($E33="","",$E33&amp;"|"&amp;COUNTIF($E$5:$E33,$E33))</f>
        <v/>
      </c>
      <c r="K33" s="40" t="str">
        <f aca="false">IF($I33="","",LEN($I33))</f>
        <v/>
      </c>
      <c r="L33" s="13"/>
      <c r="M33" s="13"/>
      <c r="N33" s="13"/>
      <c r="O33" s="13"/>
      <c r="P33" s="152"/>
      <c r="Q33" s="149"/>
      <c r="R33" s="152"/>
      <c r="S33" s="152"/>
      <c r="T33" s="62" t="str">
        <f aca="false">IF(OR($C33="",R33=""),"",IF(R33/IF($R$2="",100,$R$2)&gt;=設定!$I$28,設定!$G$8,IF(R33/IF($R$2="",100,$R$2)&lt;設定!$I$29,設定!$G$10,設定!$G$9)))</f>
        <v/>
      </c>
      <c r="U33" s="62" t="str">
        <f aca="false">IF(OR($C33="",S33=""),"",IF(S33/IF($S$2="",100,$S$2)&gt;=設定!$I$28,設定!$G$8,IF(S33/IF($S$2="",100,$S$2)&lt;設定!$I$29,設定!$G$10,設定!$G$9)))</f>
        <v/>
      </c>
    </row>
    <row r="34" customFormat="false" ht="21" hidden="false" customHeight="true" outlineLevel="0" collapsed="false">
      <c r="A34" s="91" t="str">
        <f aca="false">IF(名簿!$D34="","",名簿!$B34&amp;"")</f>
        <v/>
      </c>
      <c r="B34" s="91" t="str">
        <f aca="false">IF(名簿!$D34="","",名簿!$C34)</f>
        <v/>
      </c>
      <c r="C34" s="59" t="str">
        <f aca="false">IF(名簿!$D34="","",名簿!$D34&amp;IF(名簿!$F34="転出","（転出）",""))</f>
        <v/>
      </c>
      <c r="D34" s="149"/>
      <c r="E34" s="61" t="str">
        <f aca="false">IF(OR($C34="",名簿!$F34="転出"),"",IF($C$2="学級ごと",$A34,IF($C$2="前の単元と同じ",単元11!$E34&amp;"",$D34&amp;"")))</f>
        <v/>
      </c>
      <c r="F34" s="150"/>
      <c r="G34" s="150"/>
      <c r="H34" s="150"/>
      <c r="I34" s="151"/>
      <c r="J34" s="41" t="str">
        <f aca="false">IF($E34="","",$E34&amp;"|"&amp;COUNTIF($E$5:$E34,$E34))</f>
        <v/>
      </c>
      <c r="K34" s="40" t="str">
        <f aca="false">IF($I34="","",LEN($I34))</f>
        <v/>
      </c>
      <c r="L34" s="13"/>
      <c r="M34" s="13"/>
      <c r="N34" s="13"/>
      <c r="O34" s="13"/>
      <c r="P34" s="152"/>
      <c r="Q34" s="149"/>
      <c r="R34" s="152"/>
      <c r="S34" s="152"/>
      <c r="T34" s="62" t="str">
        <f aca="false">IF(OR($C34="",R34=""),"",IF(R34/IF($R$2="",100,$R$2)&gt;=設定!$I$28,設定!$G$8,IF(R34/IF($R$2="",100,$R$2)&lt;設定!$I$29,設定!$G$10,設定!$G$9)))</f>
        <v/>
      </c>
      <c r="U34" s="62" t="str">
        <f aca="false">IF(OR($C34="",S34=""),"",IF(S34/IF($S$2="",100,$S$2)&gt;=設定!$I$28,設定!$G$8,IF(S34/IF($S$2="",100,$S$2)&lt;設定!$I$29,設定!$G$10,設定!$G$9)))</f>
        <v/>
      </c>
    </row>
    <row r="35" customFormat="false" ht="21" hidden="false" customHeight="true" outlineLevel="0" collapsed="false">
      <c r="A35" s="91" t="str">
        <f aca="false">IF(名簿!$D35="","",名簿!$B35&amp;"")</f>
        <v/>
      </c>
      <c r="B35" s="91" t="str">
        <f aca="false">IF(名簿!$D35="","",名簿!$C35)</f>
        <v/>
      </c>
      <c r="C35" s="59" t="str">
        <f aca="false">IF(名簿!$D35="","",名簿!$D35&amp;IF(名簿!$F35="転出","（転出）",""))</f>
        <v/>
      </c>
      <c r="D35" s="149"/>
      <c r="E35" s="61" t="str">
        <f aca="false">IF(OR($C35="",名簿!$F35="転出"),"",IF($C$2="学級ごと",$A35,IF($C$2="前の単元と同じ",単元11!$E35&amp;"",$D35&amp;"")))</f>
        <v/>
      </c>
      <c r="F35" s="150"/>
      <c r="G35" s="150"/>
      <c r="H35" s="150"/>
      <c r="I35" s="151"/>
      <c r="J35" s="41" t="str">
        <f aca="false">IF($E35="","",$E35&amp;"|"&amp;COUNTIF($E$5:$E35,$E35))</f>
        <v/>
      </c>
      <c r="K35" s="40" t="str">
        <f aca="false">IF($I35="","",LEN($I35))</f>
        <v/>
      </c>
      <c r="L35" s="13"/>
      <c r="M35" s="13"/>
      <c r="N35" s="13"/>
      <c r="O35" s="13"/>
      <c r="P35" s="152"/>
      <c r="Q35" s="149"/>
      <c r="R35" s="152"/>
      <c r="S35" s="152"/>
      <c r="T35" s="62" t="str">
        <f aca="false">IF(OR($C35="",R35=""),"",IF(R35/IF($R$2="",100,$R$2)&gt;=設定!$I$28,設定!$G$8,IF(R35/IF($R$2="",100,$R$2)&lt;設定!$I$29,設定!$G$10,設定!$G$9)))</f>
        <v/>
      </c>
      <c r="U35" s="62" t="str">
        <f aca="false">IF(OR($C35="",S35=""),"",IF(S35/IF($S$2="",100,$S$2)&gt;=設定!$I$28,設定!$G$8,IF(S35/IF($S$2="",100,$S$2)&lt;設定!$I$29,設定!$G$10,設定!$G$9)))</f>
        <v/>
      </c>
    </row>
    <row r="36" customFormat="false" ht="21" hidden="false" customHeight="true" outlineLevel="0" collapsed="false">
      <c r="A36" s="91" t="str">
        <f aca="false">IF(名簿!$D36="","",名簿!$B36&amp;"")</f>
        <v/>
      </c>
      <c r="B36" s="91" t="str">
        <f aca="false">IF(名簿!$D36="","",名簿!$C36)</f>
        <v/>
      </c>
      <c r="C36" s="59" t="str">
        <f aca="false">IF(名簿!$D36="","",名簿!$D36&amp;IF(名簿!$F36="転出","（転出）",""))</f>
        <v/>
      </c>
      <c r="D36" s="149"/>
      <c r="E36" s="61" t="str">
        <f aca="false">IF(OR($C36="",名簿!$F36="転出"),"",IF($C$2="学級ごと",$A36,IF($C$2="前の単元と同じ",単元11!$E36&amp;"",$D36&amp;"")))</f>
        <v/>
      </c>
      <c r="F36" s="150"/>
      <c r="G36" s="150"/>
      <c r="H36" s="150"/>
      <c r="I36" s="151"/>
      <c r="J36" s="41" t="str">
        <f aca="false">IF($E36="","",$E36&amp;"|"&amp;COUNTIF($E$5:$E36,$E36))</f>
        <v/>
      </c>
      <c r="K36" s="40" t="str">
        <f aca="false">IF($I36="","",LEN($I36))</f>
        <v/>
      </c>
      <c r="L36" s="13"/>
      <c r="M36" s="13"/>
      <c r="N36" s="13"/>
      <c r="O36" s="13"/>
      <c r="P36" s="152"/>
      <c r="Q36" s="149"/>
      <c r="R36" s="152"/>
      <c r="S36" s="152"/>
      <c r="T36" s="62" t="str">
        <f aca="false">IF(OR($C36="",R36=""),"",IF(R36/IF($R$2="",100,$R$2)&gt;=設定!$I$28,設定!$G$8,IF(R36/IF($R$2="",100,$R$2)&lt;設定!$I$29,設定!$G$10,設定!$G$9)))</f>
        <v/>
      </c>
      <c r="U36" s="62" t="str">
        <f aca="false">IF(OR($C36="",S36=""),"",IF(S36/IF($S$2="",100,$S$2)&gt;=設定!$I$28,設定!$G$8,IF(S36/IF($S$2="",100,$S$2)&lt;設定!$I$29,設定!$G$10,設定!$G$9)))</f>
        <v/>
      </c>
    </row>
    <row r="37" customFormat="false" ht="21" hidden="false" customHeight="true" outlineLevel="0" collapsed="false">
      <c r="A37" s="91" t="str">
        <f aca="false">IF(名簿!$D37="","",名簿!$B37&amp;"")</f>
        <v/>
      </c>
      <c r="B37" s="91" t="str">
        <f aca="false">IF(名簿!$D37="","",名簿!$C37)</f>
        <v/>
      </c>
      <c r="C37" s="59" t="str">
        <f aca="false">IF(名簿!$D37="","",名簿!$D37&amp;IF(名簿!$F37="転出","（転出）",""))</f>
        <v/>
      </c>
      <c r="D37" s="149"/>
      <c r="E37" s="61" t="str">
        <f aca="false">IF(OR($C37="",名簿!$F37="転出"),"",IF($C$2="学級ごと",$A37,IF($C$2="前の単元と同じ",単元11!$E37&amp;"",$D37&amp;"")))</f>
        <v/>
      </c>
      <c r="F37" s="150"/>
      <c r="G37" s="150"/>
      <c r="H37" s="150"/>
      <c r="I37" s="151"/>
      <c r="J37" s="41" t="str">
        <f aca="false">IF($E37="","",$E37&amp;"|"&amp;COUNTIF($E$5:$E37,$E37))</f>
        <v/>
      </c>
      <c r="K37" s="40" t="str">
        <f aca="false">IF($I37="","",LEN($I37))</f>
        <v/>
      </c>
      <c r="L37" s="13"/>
      <c r="M37" s="13"/>
      <c r="N37" s="13"/>
      <c r="O37" s="13"/>
      <c r="P37" s="152"/>
      <c r="Q37" s="149"/>
      <c r="R37" s="152"/>
      <c r="S37" s="152"/>
      <c r="T37" s="62" t="str">
        <f aca="false">IF(OR($C37="",R37=""),"",IF(R37/IF($R$2="",100,$R$2)&gt;=設定!$I$28,設定!$G$8,IF(R37/IF($R$2="",100,$R$2)&lt;設定!$I$29,設定!$G$10,設定!$G$9)))</f>
        <v/>
      </c>
      <c r="U37" s="62" t="str">
        <f aca="false">IF(OR($C37="",S37=""),"",IF(S37/IF($S$2="",100,$S$2)&gt;=設定!$I$28,設定!$G$8,IF(S37/IF($S$2="",100,$S$2)&lt;設定!$I$29,設定!$G$10,設定!$G$9)))</f>
        <v/>
      </c>
    </row>
    <row r="38" customFormat="false" ht="21" hidden="false" customHeight="true" outlineLevel="0" collapsed="false">
      <c r="A38" s="91" t="str">
        <f aca="false">IF(名簿!$D38="","",名簿!$B38&amp;"")</f>
        <v/>
      </c>
      <c r="B38" s="91" t="str">
        <f aca="false">IF(名簿!$D38="","",名簿!$C38)</f>
        <v/>
      </c>
      <c r="C38" s="59" t="str">
        <f aca="false">IF(名簿!$D38="","",名簿!$D38&amp;IF(名簿!$F38="転出","（転出）",""))</f>
        <v/>
      </c>
      <c r="D38" s="149"/>
      <c r="E38" s="61" t="str">
        <f aca="false">IF(OR($C38="",名簿!$F38="転出"),"",IF($C$2="学級ごと",$A38,IF($C$2="前の単元と同じ",単元11!$E38&amp;"",$D38&amp;"")))</f>
        <v/>
      </c>
      <c r="F38" s="150"/>
      <c r="G38" s="150"/>
      <c r="H38" s="150"/>
      <c r="I38" s="151"/>
      <c r="J38" s="41" t="str">
        <f aca="false">IF($E38="","",$E38&amp;"|"&amp;COUNTIF($E$5:$E38,$E38))</f>
        <v/>
      </c>
      <c r="K38" s="40" t="str">
        <f aca="false">IF($I38="","",LEN($I38))</f>
        <v/>
      </c>
      <c r="L38" s="13"/>
      <c r="M38" s="13"/>
      <c r="N38" s="13"/>
      <c r="O38" s="13"/>
      <c r="P38" s="152"/>
      <c r="Q38" s="149"/>
      <c r="R38" s="152"/>
      <c r="S38" s="152"/>
      <c r="T38" s="62" t="str">
        <f aca="false">IF(OR($C38="",R38=""),"",IF(R38/IF($R$2="",100,$R$2)&gt;=設定!$I$28,設定!$G$8,IF(R38/IF($R$2="",100,$R$2)&lt;設定!$I$29,設定!$G$10,設定!$G$9)))</f>
        <v/>
      </c>
      <c r="U38" s="62" t="str">
        <f aca="false">IF(OR($C38="",S38=""),"",IF(S38/IF($S$2="",100,$S$2)&gt;=設定!$I$28,設定!$G$8,IF(S38/IF($S$2="",100,$S$2)&lt;設定!$I$29,設定!$G$10,設定!$G$9)))</f>
        <v/>
      </c>
    </row>
    <row r="39" customFormat="false" ht="21" hidden="false" customHeight="true" outlineLevel="0" collapsed="false">
      <c r="A39" s="91" t="str">
        <f aca="false">IF(名簿!$D39="","",名簿!$B39&amp;"")</f>
        <v/>
      </c>
      <c r="B39" s="91" t="str">
        <f aca="false">IF(名簿!$D39="","",名簿!$C39)</f>
        <v/>
      </c>
      <c r="C39" s="59" t="str">
        <f aca="false">IF(名簿!$D39="","",名簿!$D39&amp;IF(名簿!$F39="転出","（転出）",""))</f>
        <v/>
      </c>
      <c r="D39" s="149"/>
      <c r="E39" s="61" t="str">
        <f aca="false">IF(OR($C39="",名簿!$F39="転出"),"",IF($C$2="学級ごと",$A39,IF($C$2="前の単元と同じ",単元11!$E39&amp;"",$D39&amp;"")))</f>
        <v/>
      </c>
      <c r="F39" s="150"/>
      <c r="G39" s="150"/>
      <c r="H39" s="150"/>
      <c r="I39" s="151"/>
      <c r="J39" s="41" t="str">
        <f aca="false">IF($E39="","",$E39&amp;"|"&amp;COUNTIF($E$5:$E39,$E39))</f>
        <v/>
      </c>
      <c r="K39" s="40" t="str">
        <f aca="false">IF($I39="","",LEN($I39))</f>
        <v/>
      </c>
      <c r="L39" s="13"/>
      <c r="M39" s="13"/>
      <c r="N39" s="13"/>
      <c r="O39" s="13"/>
      <c r="P39" s="152"/>
      <c r="Q39" s="149"/>
      <c r="R39" s="152"/>
      <c r="S39" s="152"/>
      <c r="T39" s="62" t="str">
        <f aca="false">IF(OR($C39="",R39=""),"",IF(R39/IF($R$2="",100,$R$2)&gt;=設定!$I$28,設定!$G$8,IF(R39/IF($R$2="",100,$R$2)&lt;設定!$I$29,設定!$G$10,設定!$G$9)))</f>
        <v/>
      </c>
      <c r="U39" s="62" t="str">
        <f aca="false">IF(OR($C39="",S39=""),"",IF(S39/IF($S$2="",100,$S$2)&gt;=設定!$I$28,設定!$G$8,IF(S39/IF($S$2="",100,$S$2)&lt;設定!$I$29,設定!$G$10,設定!$G$9)))</f>
        <v/>
      </c>
    </row>
    <row r="40" customFormat="false" ht="21" hidden="false" customHeight="true" outlineLevel="0" collapsed="false">
      <c r="A40" s="91" t="str">
        <f aca="false">IF(名簿!$D40="","",名簿!$B40&amp;"")</f>
        <v/>
      </c>
      <c r="B40" s="91" t="str">
        <f aca="false">IF(名簿!$D40="","",名簿!$C40)</f>
        <v/>
      </c>
      <c r="C40" s="59" t="str">
        <f aca="false">IF(名簿!$D40="","",名簿!$D40&amp;IF(名簿!$F40="転出","（転出）",""))</f>
        <v/>
      </c>
      <c r="D40" s="149"/>
      <c r="E40" s="61" t="str">
        <f aca="false">IF(OR($C40="",名簿!$F40="転出"),"",IF($C$2="学級ごと",$A40,IF($C$2="前の単元と同じ",単元11!$E40&amp;"",$D40&amp;"")))</f>
        <v/>
      </c>
      <c r="F40" s="150"/>
      <c r="G40" s="150"/>
      <c r="H40" s="150"/>
      <c r="I40" s="151"/>
      <c r="J40" s="41" t="str">
        <f aca="false">IF($E40="","",$E40&amp;"|"&amp;COUNTIF($E$5:$E40,$E40))</f>
        <v/>
      </c>
      <c r="K40" s="40" t="str">
        <f aca="false">IF($I40="","",LEN($I40))</f>
        <v/>
      </c>
      <c r="L40" s="13"/>
      <c r="M40" s="13"/>
      <c r="N40" s="13"/>
      <c r="O40" s="13"/>
      <c r="P40" s="152"/>
      <c r="Q40" s="149"/>
      <c r="R40" s="152"/>
      <c r="S40" s="152"/>
      <c r="T40" s="62" t="str">
        <f aca="false">IF(OR($C40="",R40=""),"",IF(R40/IF($R$2="",100,$R$2)&gt;=設定!$I$28,設定!$G$8,IF(R40/IF($R$2="",100,$R$2)&lt;設定!$I$29,設定!$G$10,設定!$G$9)))</f>
        <v/>
      </c>
      <c r="U40" s="62" t="str">
        <f aca="false">IF(OR($C40="",S40=""),"",IF(S40/IF($S$2="",100,$S$2)&gt;=設定!$I$28,設定!$G$8,IF(S40/IF($S$2="",100,$S$2)&lt;設定!$I$29,設定!$G$10,設定!$G$9)))</f>
        <v/>
      </c>
    </row>
    <row r="41" customFormat="false" ht="21" hidden="false" customHeight="true" outlineLevel="0" collapsed="false">
      <c r="A41" s="91" t="str">
        <f aca="false">IF(名簿!$D41="","",名簿!$B41&amp;"")</f>
        <v/>
      </c>
      <c r="B41" s="91" t="str">
        <f aca="false">IF(名簿!$D41="","",名簿!$C41)</f>
        <v/>
      </c>
      <c r="C41" s="59" t="str">
        <f aca="false">IF(名簿!$D41="","",名簿!$D41&amp;IF(名簿!$F41="転出","（転出）",""))</f>
        <v/>
      </c>
      <c r="D41" s="149"/>
      <c r="E41" s="61" t="str">
        <f aca="false">IF(OR($C41="",名簿!$F41="転出"),"",IF($C$2="学級ごと",$A41,IF($C$2="前の単元と同じ",単元11!$E41&amp;"",$D41&amp;"")))</f>
        <v/>
      </c>
      <c r="F41" s="150"/>
      <c r="G41" s="150"/>
      <c r="H41" s="150"/>
      <c r="I41" s="151"/>
      <c r="J41" s="41" t="str">
        <f aca="false">IF($E41="","",$E41&amp;"|"&amp;COUNTIF($E$5:$E41,$E41))</f>
        <v/>
      </c>
      <c r="K41" s="40" t="str">
        <f aca="false">IF($I41="","",LEN($I41))</f>
        <v/>
      </c>
      <c r="L41" s="13"/>
      <c r="M41" s="13"/>
      <c r="N41" s="13"/>
      <c r="O41" s="13"/>
      <c r="P41" s="152"/>
      <c r="Q41" s="149"/>
      <c r="R41" s="152"/>
      <c r="S41" s="152"/>
      <c r="T41" s="62" t="str">
        <f aca="false">IF(OR($C41="",R41=""),"",IF(R41/IF($R$2="",100,$R$2)&gt;=設定!$I$28,設定!$G$8,IF(R41/IF($R$2="",100,$R$2)&lt;設定!$I$29,設定!$G$10,設定!$G$9)))</f>
        <v/>
      </c>
      <c r="U41" s="62" t="str">
        <f aca="false">IF(OR($C41="",S41=""),"",IF(S41/IF($S$2="",100,$S$2)&gt;=設定!$I$28,設定!$G$8,IF(S41/IF($S$2="",100,$S$2)&lt;設定!$I$29,設定!$G$10,設定!$G$9)))</f>
        <v/>
      </c>
    </row>
    <row r="42" customFormat="false" ht="21" hidden="false" customHeight="true" outlineLevel="0" collapsed="false">
      <c r="A42" s="91" t="str">
        <f aca="false">IF(名簿!$D42="","",名簿!$B42&amp;"")</f>
        <v/>
      </c>
      <c r="B42" s="91" t="str">
        <f aca="false">IF(名簿!$D42="","",名簿!$C42)</f>
        <v/>
      </c>
      <c r="C42" s="59" t="str">
        <f aca="false">IF(名簿!$D42="","",名簿!$D42&amp;IF(名簿!$F42="転出","（転出）",""))</f>
        <v/>
      </c>
      <c r="D42" s="149"/>
      <c r="E42" s="61" t="str">
        <f aca="false">IF(OR($C42="",名簿!$F42="転出"),"",IF($C$2="学級ごと",$A42,IF($C$2="前の単元と同じ",単元11!$E42&amp;"",$D42&amp;"")))</f>
        <v/>
      </c>
      <c r="F42" s="150"/>
      <c r="G42" s="150"/>
      <c r="H42" s="150"/>
      <c r="I42" s="151"/>
      <c r="J42" s="41" t="str">
        <f aca="false">IF($E42="","",$E42&amp;"|"&amp;COUNTIF($E$5:$E42,$E42))</f>
        <v/>
      </c>
      <c r="K42" s="40" t="str">
        <f aca="false">IF($I42="","",LEN($I42))</f>
        <v/>
      </c>
      <c r="L42" s="13"/>
      <c r="M42" s="13"/>
      <c r="N42" s="13"/>
      <c r="O42" s="13"/>
      <c r="P42" s="152"/>
      <c r="Q42" s="149"/>
      <c r="R42" s="152"/>
      <c r="S42" s="152"/>
      <c r="T42" s="62" t="str">
        <f aca="false">IF(OR($C42="",R42=""),"",IF(R42/IF($R$2="",100,$R$2)&gt;=設定!$I$28,設定!$G$8,IF(R42/IF($R$2="",100,$R$2)&lt;設定!$I$29,設定!$G$10,設定!$G$9)))</f>
        <v/>
      </c>
      <c r="U42" s="62" t="str">
        <f aca="false">IF(OR($C42="",S42=""),"",IF(S42/IF($S$2="",100,$S$2)&gt;=設定!$I$28,設定!$G$8,IF(S42/IF($S$2="",100,$S$2)&lt;設定!$I$29,設定!$G$10,設定!$G$9)))</f>
        <v/>
      </c>
    </row>
    <row r="43" customFormat="false" ht="21" hidden="false" customHeight="true" outlineLevel="0" collapsed="false">
      <c r="A43" s="91" t="str">
        <f aca="false">IF(名簿!$D43="","",名簿!$B43&amp;"")</f>
        <v/>
      </c>
      <c r="B43" s="91" t="str">
        <f aca="false">IF(名簿!$D43="","",名簿!$C43)</f>
        <v/>
      </c>
      <c r="C43" s="59" t="str">
        <f aca="false">IF(名簿!$D43="","",名簿!$D43&amp;IF(名簿!$F43="転出","（転出）",""))</f>
        <v/>
      </c>
      <c r="D43" s="149"/>
      <c r="E43" s="61" t="str">
        <f aca="false">IF(OR($C43="",名簿!$F43="転出"),"",IF($C$2="学級ごと",$A43,IF($C$2="前の単元と同じ",単元11!$E43&amp;"",$D43&amp;"")))</f>
        <v/>
      </c>
      <c r="F43" s="150"/>
      <c r="G43" s="150"/>
      <c r="H43" s="150"/>
      <c r="I43" s="151"/>
      <c r="J43" s="41" t="str">
        <f aca="false">IF($E43="","",$E43&amp;"|"&amp;COUNTIF($E$5:$E43,$E43))</f>
        <v/>
      </c>
      <c r="K43" s="40" t="str">
        <f aca="false">IF($I43="","",LEN($I43))</f>
        <v/>
      </c>
      <c r="L43" s="13"/>
      <c r="M43" s="13"/>
      <c r="N43" s="13"/>
      <c r="O43" s="13"/>
      <c r="P43" s="152"/>
      <c r="Q43" s="149"/>
      <c r="R43" s="152"/>
      <c r="S43" s="152"/>
      <c r="T43" s="62" t="str">
        <f aca="false">IF(OR($C43="",R43=""),"",IF(R43/IF($R$2="",100,$R$2)&gt;=設定!$I$28,設定!$G$8,IF(R43/IF($R$2="",100,$R$2)&lt;設定!$I$29,設定!$G$10,設定!$G$9)))</f>
        <v/>
      </c>
      <c r="U43" s="62" t="str">
        <f aca="false">IF(OR($C43="",S43=""),"",IF(S43/IF($S$2="",100,$S$2)&gt;=設定!$I$28,設定!$G$8,IF(S43/IF($S$2="",100,$S$2)&lt;設定!$I$29,設定!$G$10,設定!$G$9)))</f>
        <v/>
      </c>
    </row>
    <row r="44" customFormat="false" ht="21" hidden="false" customHeight="true" outlineLevel="0" collapsed="false">
      <c r="A44" s="91" t="str">
        <f aca="false">IF(名簿!$D44="","",名簿!$B44&amp;"")</f>
        <v/>
      </c>
      <c r="B44" s="91" t="str">
        <f aca="false">IF(名簿!$D44="","",名簿!$C44)</f>
        <v/>
      </c>
      <c r="C44" s="59" t="str">
        <f aca="false">IF(名簿!$D44="","",名簿!$D44&amp;IF(名簿!$F44="転出","（転出）",""))</f>
        <v/>
      </c>
      <c r="D44" s="149"/>
      <c r="E44" s="61" t="str">
        <f aca="false">IF(OR($C44="",名簿!$F44="転出"),"",IF($C$2="学級ごと",$A44,IF($C$2="前の単元と同じ",単元11!$E44&amp;"",$D44&amp;"")))</f>
        <v/>
      </c>
      <c r="F44" s="150"/>
      <c r="G44" s="150"/>
      <c r="H44" s="150"/>
      <c r="I44" s="151"/>
      <c r="J44" s="41" t="str">
        <f aca="false">IF($E44="","",$E44&amp;"|"&amp;COUNTIF($E$5:$E44,$E44))</f>
        <v/>
      </c>
      <c r="K44" s="40" t="str">
        <f aca="false">IF($I44="","",LEN($I44))</f>
        <v/>
      </c>
      <c r="L44" s="13"/>
      <c r="M44" s="13"/>
      <c r="N44" s="13"/>
      <c r="O44" s="13"/>
      <c r="P44" s="152"/>
      <c r="Q44" s="149"/>
      <c r="R44" s="152"/>
      <c r="S44" s="152"/>
      <c r="T44" s="62" t="str">
        <f aca="false">IF(OR($C44="",R44=""),"",IF(R44/IF($R$2="",100,$R$2)&gt;=設定!$I$28,設定!$G$8,IF(R44/IF($R$2="",100,$R$2)&lt;設定!$I$29,設定!$G$10,設定!$G$9)))</f>
        <v/>
      </c>
      <c r="U44" s="62" t="str">
        <f aca="false">IF(OR($C44="",S44=""),"",IF(S44/IF($S$2="",100,$S$2)&gt;=設定!$I$28,設定!$G$8,IF(S44/IF($S$2="",100,$S$2)&lt;設定!$I$29,設定!$G$10,設定!$G$9)))</f>
        <v/>
      </c>
    </row>
    <row r="45" customFormat="false" ht="21" hidden="false" customHeight="true" outlineLevel="0" collapsed="false">
      <c r="A45" s="91" t="str">
        <f aca="false">IF(名簿!$D45="","",名簿!$B45&amp;"")</f>
        <v/>
      </c>
      <c r="B45" s="91" t="str">
        <f aca="false">IF(名簿!$D45="","",名簿!$C45)</f>
        <v/>
      </c>
      <c r="C45" s="59" t="str">
        <f aca="false">IF(名簿!$D45="","",名簿!$D45&amp;IF(名簿!$F45="転出","（転出）",""))</f>
        <v/>
      </c>
      <c r="D45" s="149"/>
      <c r="E45" s="61" t="str">
        <f aca="false">IF(OR($C45="",名簿!$F45="転出"),"",IF($C$2="学級ごと",$A45,IF($C$2="前の単元と同じ",単元11!$E45&amp;"",$D45&amp;"")))</f>
        <v/>
      </c>
      <c r="F45" s="150"/>
      <c r="G45" s="150"/>
      <c r="H45" s="150"/>
      <c r="I45" s="151"/>
      <c r="J45" s="41" t="str">
        <f aca="false">IF($E45="","",$E45&amp;"|"&amp;COUNTIF($E$5:$E45,$E45))</f>
        <v/>
      </c>
      <c r="K45" s="40" t="str">
        <f aca="false">IF($I45="","",LEN($I45))</f>
        <v/>
      </c>
      <c r="L45" s="13"/>
      <c r="M45" s="13"/>
      <c r="N45" s="13"/>
      <c r="O45" s="13"/>
      <c r="P45" s="152"/>
      <c r="Q45" s="149"/>
      <c r="R45" s="152"/>
      <c r="S45" s="152"/>
      <c r="T45" s="62" t="str">
        <f aca="false">IF(OR($C45="",R45=""),"",IF(R45/IF($R$2="",100,$R$2)&gt;=設定!$I$28,設定!$G$8,IF(R45/IF($R$2="",100,$R$2)&lt;設定!$I$29,設定!$G$10,設定!$G$9)))</f>
        <v/>
      </c>
      <c r="U45" s="62" t="str">
        <f aca="false">IF(OR($C45="",S45=""),"",IF(S45/IF($S$2="",100,$S$2)&gt;=設定!$I$28,設定!$G$8,IF(S45/IF($S$2="",100,$S$2)&lt;設定!$I$29,設定!$G$10,設定!$G$9)))</f>
        <v/>
      </c>
    </row>
    <row r="46" customFormat="false" ht="21" hidden="false" customHeight="true" outlineLevel="0" collapsed="false">
      <c r="A46" s="91" t="str">
        <f aca="false">IF(名簿!$D46="","",名簿!$B46&amp;"")</f>
        <v/>
      </c>
      <c r="B46" s="91" t="str">
        <f aca="false">IF(名簿!$D46="","",名簿!$C46)</f>
        <v/>
      </c>
      <c r="C46" s="59" t="str">
        <f aca="false">IF(名簿!$D46="","",名簿!$D46&amp;IF(名簿!$F46="転出","（転出）",""))</f>
        <v/>
      </c>
      <c r="D46" s="149"/>
      <c r="E46" s="61" t="str">
        <f aca="false">IF(OR($C46="",名簿!$F46="転出"),"",IF($C$2="学級ごと",$A46,IF($C$2="前の単元と同じ",単元11!$E46&amp;"",$D46&amp;"")))</f>
        <v/>
      </c>
      <c r="F46" s="150"/>
      <c r="G46" s="150"/>
      <c r="H46" s="150"/>
      <c r="I46" s="151"/>
      <c r="J46" s="41" t="str">
        <f aca="false">IF($E46="","",$E46&amp;"|"&amp;COUNTIF($E$5:$E46,$E46))</f>
        <v/>
      </c>
      <c r="K46" s="40" t="str">
        <f aca="false">IF($I46="","",LEN($I46))</f>
        <v/>
      </c>
      <c r="L46" s="13"/>
      <c r="M46" s="13"/>
      <c r="N46" s="13"/>
      <c r="O46" s="13"/>
      <c r="P46" s="152"/>
      <c r="Q46" s="149"/>
      <c r="R46" s="152"/>
      <c r="S46" s="152"/>
      <c r="T46" s="62" t="str">
        <f aca="false">IF(OR($C46="",R46=""),"",IF(R46/IF($R$2="",100,$R$2)&gt;=設定!$I$28,設定!$G$8,IF(R46/IF($R$2="",100,$R$2)&lt;設定!$I$29,設定!$G$10,設定!$G$9)))</f>
        <v/>
      </c>
      <c r="U46" s="62" t="str">
        <f aca="false">IF(OR($C46="",S46=""),"",IF(S46/IF($S$2="",100,$S$2)&gt;=設定!$I$28,設定!$G$8,IF(S46/IF($S$2="",100,$S$2)&lt;設定!$I$29,設定!$G$10,設定!$G$9)))</f>
        <v/>
      </c>
    </row>
    <row r="47" customFormat="false" ht="21" hidden="false" customHeight="true" outlineLevel="0" collapsed="false">
      <c r="A47" s="91" t="str">
        <f aca="false">IF(名簿!$D47="","",名簿!$B47&amp;"")</f>
        <v/>
      </c>
      <c r="B47" s="91" t="str">
        <f aca="false">IF(名簿!$D47="","",名簿!$C47)</f>
        <v/>
      </c>
      <c r="C47" s="59" t="str">
        <f aca="false">IF(名簿!$D47="","",名簿!$D47&amp;IF(名簿!$F47="転出","（転出）",""))</f>
        <v/>
      </c>
      <c r="D47" s="149"/>
      <c r="E47" s="61" t="str">
        <f aca="false">IF(OR($C47="",名簿!$F47="転出"),"",IF($C$2="学級ごと",$A47,IF($C$2="前の単元と同じ",単元11!$E47&amp;"",$D47&amp;"")))</f>
        <v/>
      </c>
      <c r="F47" s="150"/>
      <c r="G47" s="150"/>
      <c r="H47" s="150"/>
      <c r="I47" s="151"/>
      <c r="J47" s="41" t="str">
        <f aca="false">IF($E47="","",$E47&amp;"|"&amp;COUNTIF($E$5:$E47,$E47))</f>
        <v/>
      </c>
      <c r="K47" s="40" t="str">
        <f aca="false">IF($I47="","",LEN($I47))</f>
        <v/>
      </c>
      <c r="L47" s="13"/>
      <c r="M47" s="13"/>
      <c r="N47" s="13"/>
      <c r="O47" s="13"/>
      <c r="P47" s="152"/>
      <c r="Q47" s="149"/>
      <c r="R47" s="152"/>
      <c r="S47" s="152"/>
      <c r="T47" s="62" t="str">
        <f aca="false">IF(OR($C47="",R47=""),"",IF(R47/IF($R$2="",100,$R$2)&gt;=設定!$I$28,設定!$G$8,IF(R47/IF($R$2="",100,$R$2)&lt;設定!$I$29,設定!$G$10,設定!$G$9)))</f>
        <v/>
      </c>
      <c r="U47" s="62" t="str">
        <f aca="false">IF(OR($C47="",S47=""),"",IF(S47/IF($S$2="",100,$S$2)&gt;=設定!$I$28,設定!$G$8,IF(S47/IF($S$2="",100,$S$2)&lt;設定!$I$29,設定!$G$10,設定!$G$9)))</f>
        <v/>
      </c>
    </row>
    <row r="48" customFormat="false" ht="21" hidden="false" customHeight="true" outlineLevel="0" collapsed="false">
      <c r="A48" s="91" t="str">
        <f aca="false">IF(名簿!$D48="","",名簿!$B48&amp;"")</f>
        <v/>
      </c>
      <c r="B48" s="91" t="str">
        <f aca="false">IF(名簿!$D48="","",名簿!$C48)</f>
        <v/>
      </c>
      <c r="C48" s="59" t="str">
        <f aca="false">IF(名簿!$D48="","",名簿!$D48&amp;IF(名簿!$F48="転出","（転出）",""))</f>
        <v/>
      </c>
      <c r="D48" s="149"/>
      <c r="E48" s="61" t="str">
        <f aca="false">IF(OR($C48="",名簿!$F48="転出"),"",IF($C$2="学級ごと",$A48,IF($C$2="前の単元と同じ",単元11!$E48&amp;"",$D48&amp;"")))</f>
        <v/>
      </c>
      <c r="F48" s="150"/>
      <c r="G48" s="150"/>
      <c r="H48" s="150"/>
      <c r="I48" s="151"/>
      <c r="J48" s="41" t="str">
        <f aca="false">IF($E48="","",$E48&amp;"|"&amp;COUNTIF($E$5:$E48,$E48))</f>
        <v/>
      </c>
      <c r="K48" s="40" t="str">
        <f aca="false">IF($I48="","",LEN($I48))</f>
        <v/>
      </c>
      <c r="L48" s="13"/>
      <c r="M48" s="13"/>
      <c r="N48" s="13"/>
      <c r="O48" s="13"/>
      <c r="P48" s="152"/>
      <c r="Q48" s="149"/>
      <c r="R48" s="152"/>
      <c r="S48" s="152"/>
      <c r="T48" s="62" t="str">
        <f aca="false">IF(OR($C48="",R48=""),"",IF(R48/IF($R$2="",100,$R$2)&gt;=設定!$I$28,設定!$G$8,IF(R48/IF($R$2="",100,$R$2)&lt;設定!$I$29,設定!$G$10,設定!$G$9)))</f>
        <v/>
      </c>
      <c r="U48" s="62" t="str">
        <f aca="false">IF(OR($C48="",S48=""),"",IF(S48/IF($S$2="",100,$S$2)&gt;=設定!$I$28,設定!$G$8,IF(S48/IF($S$2="",100,$S$2)&lt;設定!$I$29,設定!$G$10,設定!$G$9)))</f>
        <v/>
      </c>
    </row>
    <row r="49" customFormat="false" ht="21" hidden="false" customHeight="true" outlineLevel="0" collapsed="false">
      <c r="A49" s="91" t="str">
        <f aca="false">IF(名簿!$D49="","",名簿!$B49&amp;"")</f>
        <v/>
      </c>
      <c r="B49" s="91" t="str">
        <f aca="false">IF(名簿!$D49="","",名簿!$C49)</f>
        <v/>
      </c>
      <c r="C49" s="59" t="str">
        <f aca="false">IF(名簿!$D49="","",名簿!$D49&amp;IF(名簿!$F49="転出","（転出）",""))</f>
        <v/>
      </c>
      <c r="D49" s="149"/>
      <c r="E49" s="61" t="str">
        <f aca="false">IF(OR($C49="",名簿!$F49="転出"),"",IF($C$2="学級ごと",$A49,IF($C$2="前の単元と同じ",単元11!$E49&amp;"",$D49&amp;"")))</f>
        <v/>
      </c>
      <c r="F49" s="150"/>
      <c r="G49" s="150"/>
      <c r="H49" s="150"/>
      <c r="I49" s="151"/>
      <c r="J49" s="41" t="str">
        <f aca="false">IF($E49="","",$E49&amp;"|"&amp;COUNTIF($E$5:$E49,$E49))</f>
        <v/>
      </c>
      <c r="K49" s="40" t="str">
        <f aca="false">IF($I49="","",LEN($I49))</f>
        <v/>
      </c>
      <c r="L49" s="13"/>
      <c r="M49" s="13"/>
      <c r="N49" s="13"/>
      <c r="O49" s="13"/>
      <c r="P49" s="152"/>
      <c r="Q49" s="149"/>
      <c r="R49" s="152"/>
      <c r="S49" s="152"/>
      <c r="T49" s="62" t="str">
        <f aca="false">IF(OR($C49="",R49=""),"",IF(R49/IF($R$2="",100,$R$2)&gt;=設定!$I$28,設定!$G$8,IF(R49/IF($R$2="",100,$R$2)&lt;設定!$I$29,設定!$G$10,設定!$G$9)))</f>
        <v/>
      </c>
      <c r="U49" s="62" t="str">
        <f aca="false">IF(OR($C49="",S49=""),"",IF(S49/IF($S$2="",100,$S$2)&gt;=設定!$I$28,設定!$G$8,IF(S49/IF($S$2="",100,$S$2)&lt;設定!$I$29,設定!$G$10,設定!$G$9)))</f>
        <v/>
      </c>
    </row>
    <row r="50" customFormat="false" ht="21" hidden="false" customHeight="true" outlineLevel="0" collapsed="false">
      <c r="A50" s="91" t="str">
        <f aca="false">IF(名簿!$D50="","",名簿!$B50&amp;"")</f>
        <v/>
      </c>
      <c r="B50" s="91" t="str">
        <f aca="false">IF(名簿!$D50="","",名簿!$C50)</f>
        <v/>
      </c>
      <c r="C50" s="59" t="str">
        <f aca="false">IF(名簿!$D50="","",名簿!$D50&amp;IF(名簿!$F50="転出","（転出）",""))</f>
        <v/>
      </c>
      <c r="D50" s="149"/>
      <c r="E50" s="61" t="str">
        <f aca="false">IF(OR($C50="",名簿!$F50="転出"),"",IF($C$2="学級ごと",$A50,IF($C$2="前の単元と同じ",単元11!$E50&amp;"",$D50&amp;"")))</f>
        <v/>
      </c>
      <c r="F50" s="150"/>
      <c r="G50" s="150"/>
      <c r="H50" s="150"/>
      <c r="I50" s="151"/>
      <c r="J50" s="41" t="str">
        <f aca="false">IF($E50="","",$E50&amp;"|"&amp;COUNTIF($E$5:$E50,$E50))</f>
        <v/>
      </c>
      <c r="K50" s="40" t="str">
        <f aca="false">IF($I50="","",LEN($I50))</f>
        <v/>
      </c>
      <c r="L50" s="13"/>
      <c r="M50" s="13"/>
      <c r="N50" s="13"/>
      <c r="O50" s="13"/>
      <c r="P50" s="152"/>
      <c r="Q50" s="149"/>
      <c r="R50" s="152"/>
      <c r="S50" s="152"/>
      <c r="T50" s="62" t="str">
        <f aca="false">IF(OR($C50="",R50=""),"",IF(R50/IF($R$2="",100,$R$2)&gt;=設定!$I$28,設定!$G$8,IF(R50/IF($R$2="",100,$R$2)&lt;設定!$I$29,設定!$G$10,設定!$G$9)))</f>
        <v/>
      </c>
      <c r="U50" s="62" t="str">
        <f aca="false">IF(OR($C50="",S50=""),"",IF(S50/IF($S$2="",100,$S$2)&gt;=設定!$I$28,設定!$G$8,IF(S50/IF($S$2="",100,$S$2)&lt;設定!$I$29,設定!$G$10,設定!$G$9)))</f>
        <v/>
      </c>
    </row>
    <row r="51" customFormat="false" ht="21" hidden="false" customHeight="true" outlineLevel="0" collapsed="false">
      <c r="A51" s="91" t="str">
        <f aca="false">IF(名簿!$D51="","",名簿!$B51&amp;"")</f>
        <v/>
      </c>
      <c r="B51" s="91" t="str">
        <f aca="false">IF(名簿!$D51="","",名簿!$C51)</f>
        <v/>
      </c>
      <c r="C51" s="59" t="str">
        <f aca="false">IF(名簿!$D51="","",名簿!$D51&amp;IF(名簿!$F51="転出","（転出）",""))</f>
        <v/>
      </c>
      <c r="D51" s="149"/>
      <c r="E51" s="61" t="str">
        <f aca="false">IF(OR($C51="",名簿!$F51="転出"),"",IF($C$2="学級ごと",$A51,IF($C$2="前の単元と同じ",単元11!$E51&amp;"",$D51&amp;"")))</f>
        <v/>
      </c>
      <c r="F51" s="150"/>
      <c r="G51" s="150"/>
      <c r="H51" s="150"/>
      <c r="I51" s="151"/>
      <c r="J51" s="41" t="str">
        <f aca="false">IF($E51="","",$E51&amp;"|"&amp;COUNTIF($E$5:$E51,$E51))</f>
        <v/>
      </c>
      <c r="K51" s="40" t="str">
        <f aca="false">IF($I51="","",LEN($I51))</f>
        <v/>
      </c>
      <c r="L51" s="13"/>
      <c r="M51" s="13"/>
      <c r="N51" s="13"/>
      <c r="O51" s="13"/>
      <c r="P51" s="152"/>
      <c r="Q51" s="149"/>
      <c r="R51" s="152"/>
      <c r="S51" s="152"/>
      <c r="T51" s="62" t="str">
        <f aca="false">IF(OR($C51="",R51=""),"",IF(R51/IF($R$2="",100,$R$2)&gt;=設定!$I$28,設定!$G$8,IF(R51/IF($R$2="",100,$R$2)&lt;設定!$I$29,設定!$G$10,設定!$G$9)))</f>
        <v/>
      </c>
      <c r="U51" s="62" t="str">
        <f aca="false">IF(OR($C51="",S51=""),"",IF(S51/IF($S$2="",100,$S$2)&gt;=設定!$I$28,設定!$G$8,IF(S51/IF($S$2="",100,$S$2)&lt;設定!$I$29,設定!$G$10,設定!$G$9)))</f>
        <v/>
      </c>
    </row>
    <row r="52" customFormat="false" ht="21" hidden="false" customHeight="true" outlineLevel="0" collapsed="false">
      <c r="A52" s="91" t="str">
        <f aca="false">IF(名簿!$D52="","",名簿!$B52&amp;"")</f>
        <v/>
      </c>
      <c r="B52" s="91" t="str">
        <f aca="false">IF(名簿!$D52="","",名簿!$C52)</f>
        <v/>
      </c>
      <c r="C52" s="59" t="str">
        <f aca="false">IF(名簿!$D52="","",名簿!$D52&amp;IF(名簿!$F52="転出","（転出）",""))</f>
        <v/>
      </c>
      <c r="D52" s="149"/>
      <c r="E52" s="61" t="str">
        <f aca="false">IF(OR($C52="",名簿!$F52="転出"),"",IF($C$2="学級ごと",$A52,IF($C$2="前の単元と同じ",単元11!$E52&amp;"",$D52&amp;"")))</f>
        <v/>
      </c>
      <c r="F52" s="150"/>
      <c r="G52" s="150"/>
      <c r="H52" s="150"/>
      <c r="I52" s="151"/>
      <c r="J52" s="41" t="str">
        <f aca="false">IF($E52="","",$E52&amp;"|"&amp;COUNTIF($E$5:$E52,$E52))</f>
        <v/>
      </c>
      <c r="K52" s="40" t="str">
        <f aca="false">IF($I52="","",LEN($I52))</f>
        <v/>
      </c>
      <c r="L52" s="13"/>
      <c r="M52" s="13"/>
      <c r="N52" s="13"/>
      <c r="O52" s="13"/>
      <c r="P52" s="152"/>
      <c r="Q52" s="149"/>
      <c r="R52" s="152"/>
      <c r="S52" s="152"/>
      <c r="T52" s="62" t="str">
        <f aca="false">IF(OR($C52="",R52=""),"",IF(R52/IF($R$2="",100,$R$2)&gt;=設定!$I$28,設定!$G$8,IF(R52/IF($R$2="",100,$R$2)&lt;設定!$I$29,設定!$G$10,設定!$G$9)))</f>
        <v/>
      </c>
      <c r="U52" s="62" t="str">
        <f aca="false">IF(OR($C52="",S52=""),"",IF(S52/IF($S$2="",100,$S$2)&gt;=設定!$I$28,設定!$G$8,IF(S52/IF($S$2="",100,$S$2)&lt;設定!$I$29,設定!$G$10,設定!$G$9)))</f>
        <v/>
      </c>
    </row>
    <row r="53" customFormat="false" ht="21" hidden="false" customHeight="true" outlineLevel="0" collapsed="false">
      <c r="A53" s="91" t="str">
        <f aca="false">IF(名簿!$D53="","",名簿!$B53&amp;"")</f>
        <v/>
      </c>
      <c r="B53" s="91" t="str">
        <f aca="false">IF(名簿!$D53="","",名簿!$C53)</f>
        <v/>
      </c>
      <c r="C53" s="59" t="str">
        <f aca="false">IF(名簿!$D53="","",名簿!$D53&amp;IF(名簿!$F53="転出","（転出）",""))</f>
        <v/>
      </c>
      <c r="D53" s="149"/>
      <c r="E53" s="61" t="str">
        <f aca="false">IF(OR($C53="",名簿!$F53="転出"),"",IF($C$2="学級ごと",$A53,IF($C$2="前の単元と同じ",単元11!$E53&amp;"",$D53&amp;"")))</f>
        <v/>
      </c>
      <c r="F53" s="150"/>
      <c r="G53" s="150"/>
      <c r="H53" s="150"/>
      <c r="I53" s="151"/>
      <c r="J53" s="41" t="str">
        <f aca="false">IF($E53="","",$E53&amp;"|"&amp;COUNTIF($E$5:$E53,$E53))</f>
        <v/>
      </c>
      <c r="K53" s="40" t="str">
        <f aca="false">IF($I53="","",LEN($I53))</f>
        <v/>
      </c>
      <c r="L53" s="13"/>
      <c r="M53" s="13"/>
      <c r="N53" s="13"/>
      <c r="O53" s="13"/>
      <c r="P53" s="152"/>
      <c r="Q53" s="149"/>
      <c r="R53" s="152"/>
      <c r="S53" s="152"/>
      <c r="T53" s="62" t="str">
        <f aca="false">IF(OR($C53="",R53=""),"",IF(R53/IF($R$2="",100,$R$2)&gt;=設定!$I$28,設定!$G$8,IF(R53/IF($R$2="",100,$R$2)&lt;設定!$I$29,設定!$G$10,設定!$G$9)))</f>
        <v/>
      </c>
      <c r="U53" s="62" t="str">
        <f aca="false">IF(OR($C53="",S53=""),"",IF(S53/IF($S$2="",100,$S$2)&gt;=設定!$I$28,設定!$G$8,IF(S53/IF($S$2="",100,$S$2)&lt;設定!$I$29,設定!$G$10,設定!$G$9)))</f>
        <v/>
      </c>
    </row>
    <row r="54" customFormat="false" ht="21" hidden="false" customHeight="true" outlineLevel="0" collapsed="false">
      <c r="A54" s="91" t="str">
        <f aca="false">IF(名簿!$D54="","",名簿!$B54&amp;"")</f>
        <v/>
      </c>
      <c r="B54" s="91" t="str">
        <f aca="false">IF(名簿!$D54="","",名簿!$C54)</f>
        <v/>
      </c>
      <c r="C54" s="59" t="str">
        <f aca="false">IF(名簿!$D54="","",名簿!$D54&amp;IF(名簿!$F54="転出","（転出）",""))</f>
        <v/>
      </c>
      <c r="D54" s="149"/>
      <c r="E54" s="61" t="str">
        <f aca="false">IF(OR($C54="",名簿!$F54="転出"),"",IF($C$2="学級ごと",$A54,IF($C$2="前の単元と同じ",単元11!$E54&amp;"",$D54&amp;"")))</f>
        <v/>
      </c>
      <c r="F54" s="150"/>
      <c r="G54" s="150"/>
      <c r="H54" s="150"/>
      <c r="I54" s="151"/>
      <c r="J54" s="41" t="str">
        <f aca="false">IF($E54="","",$E54&amp;"|"&amp;COUNTIF($E$5:$E54,$E54))</f>
        <v/>
      </c>
      <c r="K54" s="40" t="str">
        <f aca="false">IF($I54="","",LEN($I54))</f>
        <v/>
      </c>
      <c r="L54" s="13"/>
      <c r="M54" s="13"/>
      <c r="N54" s="13"/>
      <c r="O54" s="13"/>
      <c r="P54" s="152"/>
      <c r="Q54" s="149"/>
      <c r="R54" s="152"/>
      <c r="S54" s="152"/>
      <c r="T54" s="62" t="str">
        <f aca="false">IF(OR($C54="",R54=""),"",IF(R54/IF($R$2="",100,$R$2)&gt;=設定!$I$28,設定!$G$8,IF(R54/IF($R$2="",100,$R$2)&lt;設定!$I$29,設定!$G$10,設定!$G$9)))</f>
        <v/>
      </c>
      <c r="U54" s="62" t="str">
        <f aca="false">IF(OR($C54="",S54=""),"",IF(S54/IF($S$2="",100,$S$2)&gt;=設定!$I$28,設定!$G$8,IF(S54/IF($S$2="",100,$S$2)&lt;設定!$I$29,設定!$G$10,設定!$G$9)))</f>
        <v/>
      </c>
    </row>
    <row r="55" customFormat="false" ht="21" hidden="false" customHeight="true" outlineLevel="0" collapsed="false">
      <c r="A55" s="91" t="str">
        <f aca="false">IF(名簿!$D55="","",名簿!$B55&amp;"")</f>
        <v/>
      </c>
      <c r="B55" s="91" t="str">
        <f aca="false">IF(名簿!$D55="","",名簿!$C55)</f>
        <v/>
      </c>
      <c r="C55" s="59" t="str">
        <f aca="false">IF(名簿!$D55="","",名簿!$D55&amp;IF(名簿!$F55="転出","（転出）",""))</f>
        <v/>
      </c>
      <c r="D55" s="149"/>
      <c r="E55" s="61" t="str">
        <f aca="false">IF(OR($C55="",名簿!$F55="転出"),"",IF($C$2="学級ごと",$A55,IF($C$2="前の単元と同じ",単元11!$E55&amp;"",$D55&amp;"")))</f>
        <v/>
      </c>
      <c r="F55" s="150"/>
      <c r="G55" s="150"/>
      <c r="H55" s="150"/>
      <c r="I55" s="151"/>
      <c r="J55" s="41" t="str">
        <f aca="false">IF($E55="","",$E55&amp;"|"&amp;COUNTIF($E$5:$E55,$E55))</f>
        <v/>
      </c>
      <c r="K55" s="40" t="str">
        <f aca="false">IF($I55="","",LEN($I55))</f>
        <v/>
      </c>
      <c r="L55" s="13"/>
      <c r="M55" s="13"/>
      <c r="N55" s="13"/>
      <c r="O55" s="13"/>
      <c r="P55" s="152"/>
      <c r="Q55" s="149"/>
      <c r="R55" s="152"/>
      <c r="S55" s="152"/>
      <c r="T55" s="62" t="str">
        <f aca="false">IF(OR($C55="",R55=""),"",IF(R55/IF($R$2="",100,$R$2)&gt;=設定!$I$28,設定!$G$8,IF(R55/IF($R$2="",100,$R$2)&lt;設定!$I$29,設定!$G$10,設定!$G$9)))</f>
        <v/>
      </c>
      <c r="U55" s="62" t="str">
        <f aca="false">IF(OR($C55="",S55=""),"",IF(S55/IF($S$2="",100,$S$2)&gt;=設定!$I$28,設定!$G$8,IF(S55/IF($S$2="",100,$S$2)&lt;設定!$I$29,設定!$G$10,設定!$G$9)))</f>
        <v/>
      </c>
    </row>
    <row r="56" customFormat="false" ht="21" hidden="false" customHeight="true" outlineLevel="0" collapsed="false">
      <c r="A56" s="91" t="str">
        <f aca="false">IF(名簿!$D56="","",名簿!$B56&amp;"")</f>
        <v/>
      </c>
      <c r="B56" s="91" t="str">
        <f aca="false">IF(名簿!$D56="","",名簿!$C56)</f>
        <v/>
      </c>
      <c r="C56" s="59" t="str">
        <f aca="false">IF(名簿!$D56="","",名簿!$D56&amp;IF(名簿!$F56="転出","（転出）",""))</f>
        <v/>
      </c>
      <c r="D56" s="149"/>
      <c r="E56" s="61" t="str">
        <f aca="false">IF(OR($C56="",名簿!$F56="転出"),"",IF($C$2="学級ごと",$A56,IF($C$2="前の単元と同じ",単元11!$E56&amp;"",$D56&amp;"")))</f>
        <v/>
      </c>
      <c r="F56" s="150"/>
      <c r="G56" s="150"/>
      <c r="H56" s="150"/>
      <c r="I56" s="151"/>
      <c r="J56" s="41" t="str">
        <f aca="false">IF($E56="","",$E56&amp;"|"&amp;COUNTIF($E$5:$E56,$E56))</f>
        <v/>
      </c>
      <c r="K56" s="40" t="str">
        <f aca="false">IF($I56="","",LEN($I56))</f>
        <v/>
      </c>
      <c r="L56" s="13"/>
      <c r="M56" s="13"/>
      <c r="N56" s="13"/>
      <c r="O56" s="13"/>
      <c r="P56" s="152"/>
      <c r="Q56" s="149"/>
      <c r="R56" s="152"/>
      <c r="S56" s="152"/>
      <c r="T56" s="62" t="str">
        <f aca="false">IF(OR($C56="",R56=""),"",IF(R56/IF($R$2="",100,$R$2)&gt;=設定!$I$28,設定!$G$8,IF(R56/IF($R$2="",100,$R$2)&lt;設定!$I$29,設定!$G$10,設定!$G$9)))</f>
        <v/>
      </c>
      <c r="U56" s="62" t="str">
        <f aca="false">IF(OR($C56="",S56=""),"",IF(S56/IF($S$2="",100,$S$2)&gt;=設定!$I$28,設定!$G$8,IF(S56/IF($S$2="",100,$S$2)&lt;設定!$I$29,設定!$G$10,設定!$G$9)))</f>
        <v/>
      </c>
    </row>
    <row r="57" customFormat="false" ht="21" hidden="false" customHeight="true" outlineLevel="0" collapsed="false">
      <c r="A57" s="91" t="str">
        <f aca="false">IF(名簿!$D57="","",名簿!$B57&amp;"")</f>
        <v/>
      </c>
      <c r="B57" s="91" t="str">
        <f aca="false">IF(名簿!$D57="","",名簿!$C57)</f>
        <v/>
      </c>
      <c r="C57" s="59" t="str">
        <f aca="false">IF(名簿!$D57="","",名簿!$D57&amp;IF(名簿!$F57="転出","（転出）",""))</f>
        <v/>
      </c>
      <c r="D57" s="149"/>
      <c r="E57" s="61" t="str">
        <f aca="false">IF(OR($C57="",名簿!$F57="転出"),"",IF($C$2="学級ごと",$A57,IF($C$2="前の単元と同じ",単元11!$E57&amp;"",$D57&amp;"")))</f>
        <v/>
      </c>
      <c r="F57" s="150"/>
      <c r="G57" s="150"/>
      <c r="H57" s="150"/>
      <c r="I57" s="151"/>
      <c r="J57" s="41" t="str">
        <f aca="false">IF($E57="","",$E57&amp;"|"&amp;COUNTIF($E$5:$E57,$E57))</f>
        <v/>
      </c>
      <c r="K57" s="40" t="str">
        <f aca="false">IF($I57="","",LEN($I57))</f>
        <v/>
      </c>
      <c r="L57" s="13"/>
      <c r="M57" s="13"/>
      <c r="N57" s="13"/>
      <c r="O57" s="13"/>
      <c r="P57" s="152"/>
      <c r="Q57" s="149"/>
      <c r="R57" s="152"/>
      <c r="S57" s="152"/>
      <c r="T57" s="62" t="str">
        <f aca="false">IF(OR($C57="",R57=""),"",IF(R57/IF($R$2="",100,$R$2)&gt;=設定!$I$28,設定!$G$8,IF(R57/IF($R$2="",100,$R$2)&lt;設定!$I$29,設定!$G$10,設定!$G$9)))</f>
        <v/>
      </c>
      <c r="U57" s="62" t="str">
        <f aca="false">IF(OR($C57="",S57=""),"",IF(S57/IF($S$2="",100,$S$2)&gt;=設定!$I$28,設定!$G$8,IF(S57/IF($S$2="",100,$S$2)&lt;設定!$I$29,設定!$G$10,設定!$G$9)))</f>
        <v/>
      </c>
    </row>
    <row r="58" customFormat="false" ht="21" hidden="false" customHeight="true" outlineLevel="0" collapsed="false">
      <c r="A58" s="91" t="str">
        <f aca="false">IF(名簿!$D58="","",名簿!$B58&amp;"")</f>
        <v/>
      </c>
      <c r="B58" s="91" t="str">
        <f aca="false">IF(名簿!$D58="","",名簿!$C58)</f>
        <v/>
      </c>
      <c r="C58" s="59" t="str">
        <f aca="false">IF(名簿!$D58="","",名簿!$D58&amp;IF(名簿!$F58="転出","（転出）",""))</f>
        <v/>
      </c>
      <c r="D58" s="149"/>
      <c r="E58" s="61" t="str">
        <f aca="false">IF(OR($C58="",名簿!$F58="転出"),"",IF($C$2="学級ごと",$A58,IF($C$2="前の単元と同じ",単元11!$E58&amp;"",$D58&amp;"")))</f>
        <v/>
      </c>
      <c r="F58" s="150"/>
      <c r="G58" s="150"/>
      <c r="H58" s="150"/>
      <c r="I58" s="151"/>
      <c r="J58" s="41" t="str">
        <f aca="false">IF($E58="","",$E58&amp;"|"&amp;COUNTIF($E$5:$E58,$E58))</f>
        <v/>
      </c>
      <c r="K58" s="40" t="str">
        <f aca="false">IF($I58="","",LEN($I58))</f>
        <v/>
      </c>
      <c r="L58" s="13"/>
      <c r="M58" s="13"/>
      <c r="N58" s="13"/>
      <c r="O58" s="13"/>
      <c r="P58" s="152"/>
      <c r="Q58" s="149"/>
      <c r="R58" s="152"/>
      <c r="S58" s="152"/>
      <c r="T58" s="62" t="str">
        <f aca="false">IF(OR($C58="",R58=""),"",IF(R58/IF($R$2="",100,$R$2)&gt;=設定!$I$28,設定!$G$8,IF(R58/IF($R$2="",100,$R$2)&lt;設定!$I$29,設定!$G$10,設定!$G$9)))</f>
        <v/>
      </c>
      <c r="U58" s="62" t="str">
        <f aca="false">IF(OR($C58="",S58=""),"",IF(S58/IF($S$2="",100,$S$2)&gt;=設定!$I$28,設定!$G$8,IF(S58/IF($S$2="",100,$S$2)&lt;設定!$I$29,設定!$G$10,設定!$G$9)))</f>
        <v/>
      </c>
    </row>
    <row r="59" customFormat="false" ht="21" hidden="false" customHeight="true" outlineLevel="0" collapsed="false">
      <c r="A59" s="91" t="str">
        <f aca="false">IF(名簿!$D59="","",名簿!$B59&amp;"")</f>
        <v/>
      </c>
      <c r="B59" s="91" t="str">
        <f aca="false">IF(名簿!$D59="","",名簿!$C59)</f>
        <v/>
      </c>
      <c r="C59" s="59" t="str">
        <f aca="false">IF(名簿!$D59="","",名簿!$D59&amp;IF(名簿!$F59="転出","（転出）",""))</f>
        <v/>
      </c>
      <c r="D59" s="149"/>
      <c r="E59" s="61" t="str">
        <f aca="false">IF(OR($C59="",名簿!$F59="転出"),"",IF($C$2="学級ごと",$A59,IF($C$2="前の単元と同じ",単元11!$E59&amp;"",$D59&amp;"")))</f>
        <v/>
      </c>
      <c r="F59" s="150"/>
      <c r="G59" s="150"/>
      <c r="H59" s="150"/>
      <c r="I59" s="151"/>
      <c r="J59" s="41" t="str">
        <f aca="false">IF($E59="","",$E59&amp;"|"&amp;COUNTIF($E$5:$E59,$E59))</f>
        <v/>
      </c>
      <c r="K59" s="40" t="str">
        <f aca="false">IF($I59="","",LEN($I59))</f>
        <v/>
      </c>
      <c r="L59" s="13"/>
      <c r="M59" s="13"/>
      <c r="N59" s="13"/>
      <c r="O59" s="13"/>
      <c r="P59" s="152"/>
      <c r="Q59" s="149"/>
      <c r="R59" s="152"/>
      <c r="S59" s="152"/>
      <c r="T59" s="62" t="str">
        <f aca="false">IF(OR($C59="",R59=""),"",IF(R59/IF($R$2="",100,$R$2)&gt;=設定!$I$28,設定!$G$8,IF(R59/IF($R$2="",100,$R$2)&lt;設定!$I$29,設定!$G$10,設定!$G$9)))</f>
        <v/>
      </c>
      <c r="U59" s="62" t="str">
        <f aca="false">IF(OR($C59="",S59=""),"",IF(S59/IF($S$2="",100,$S$2)&gt;=設定!$I$28,設定!$G$8,IF(S59/IF($S$2="",100,$S$2)&lt;設定!$I$29,設定!$G$10,設定!$G$9)))</f>
        <v/>
      </c>
    </row>
    <row r="60" customFormat="false" ht="21" hidden="false" customHeight="true" outlineLevel="0" collapsed="false">
      <c r="A60" s="91" t="str">
        <f aca="false">IF(名簿!$D60="","",名簿!$B60&amp;"")</f>
        <v/>
      </c>
      <c r="B60" s="91" t="str">
        <f aca="false">IF(名簿!$D60="","",名簿!$C60)</f>
        <v/>
      </c>
      <c r="C60" s="59" t="str">
        <f aca="false">IF(名簿!$D60="","",名簿!$D60&amp;IF(名簿!$F60="転出","（転出）",""))</f>
        <v/>
      </c>
      <c r="D60" s="149"/>
      <c r="E60" s="61" t="str">
        <f aca="false">IF(OR($C60="",名簿!$F60="転出"),"",IF($C$2="学級ごと",$A60,IF($C$2="前の単元と同じ",単元11!$E60&amp;"",$D60&amp;"")))</f>
        <v/>
      </c>
      <c r="F60" s="150"/>
      <c r="G60" s="150"/>
      <c r="H60" s="150"/>
      <c r="I60" s="151"/>
      <c r="J60" s="41" t="str">
        <f aca="false">IF($E60="","",$E60&amp;"|"&amp;COUNTIF($E$5:$E60,$E60))</f>
        <v/>
      </c>
      <c r="K60" s="40" t="str">
        <f aca="false">IF($I60="","",LEN($I60))</f>
        <v/>
      </c>
      <c r="L60" s="13"/>
      <c r="M60" s="13"/>
      <c r="N60" s="13"/>
      <c r="O60" s="13"/>
      <c r="P60" s="152"/>
      <c r="Q60" s="149"/>
      <c r="R60" s="152"/>
      <c r="S60" s="152"/>
      <c r="T60" s="62" t="str">
        <f aca="false">IF(OR($C60="",R60=""),"",IF(R60/IF($R$2="",100,$R$2)&gt;=設定!$I$28,設定!$G$8,IF(R60/IF($R$2="",100,$R$2)&lt;設定!$I$29,設定!$G$10,設定!$G$9)))</f>
        <v/>
      </c>
      <c r="U60" s="62" t="str">
        <f aca="false">IF(OR($C60="",S60=""),"",IF(S60/IF($S$2="",100,$S$2)&gt;=設定!$I$28,設定!$G$8,IF(S60/IF($S$2="",100,$S$2)&lt;設定!$I$29,設定!$G$10,設定!$G$9)))</f>
        <v/>
      </c>
    </row>
    <row r="61" customFormat="false" ht="21" hidden="false" customHeight="true" outlineLevel="0" collapsed="false">
      <c r="A61" s="91" t="str">
        <f aca="false">IF(名簿!$D61="","",名簿!$B61&amp;"")</f>
        <v/>
      </c>
      <c r="B61" s="91" t="str">
        <f aca="false">IF(名簿!$D61="","",名簿!$C61)</f>
        <v/>
      </c>
      <c r="C61" s="59" t="str">
        <f aca="false">IF(名簿!$D61="","",名簿!$D61&amp;IF(名簿!$F61="転出","（転出）",""))</f>
        <v/>
      </c>
      <c r="D61" s="149"/>
      <c r="E61" s="61" t="str">
        <f aca="false">IF(OR($C61="",名簿!$F61="転出"),"",IF($C$2="学級ごと",$A61,IF($C$2="前の単元と同じ",単元11!$E61&amp;"",$D61&amp;"")))</f>
        <v/>
      </c>
      <c r="F61" s="150"/>
      <c r="G61" s="150"/>
      <c r="H61" s="150"/>
      <c r="I61" s="151"/>
      <c r="J61" s="41" t="str">
        <f aca="false">IF($E61="","",$E61&amp;"|"&amp;COUNTIF($E$5:$E61,$E61))</f>
        <v/>
      </c>
      <c r="K61" s="40" t="str">
        <f aca="false">IF($I61="","",LEN($I61))</f>
        <v/>
      </c>
      <c r="L61" s="13"/>
      <c r="M61" s="13"/>
      <c r="N61" s="13"/>
      <c r="O61" s="13"/>
      <c r="P61" s="152"/>
      <c r="Q61" s="149"/>
      <c r="R61" s="152"/>
      <c r="S61" s="152"/>
      <c r="T61" s="62" t="str">
        <f aca="false">IF(OR($C61="",R61=""),"",IF(R61/IF($R$2="",100,$R$2)&gt;=設定!$I$28,設定!$G$8,IF(R61/IF($R$2="",100,$R$2)&lt;設定!$I$29,設定!$G$10,設定!$G$9)))</f>
        <v/>
      </c>
      <c r="U61" s="62" t="str">
        <f aca="false">IF(OR($C61="",S61=""),"",IF(S61/IF($S$2="",100,$S$2)&gt;=設定!$I$28,設定!$G$8,IF(S61/IF($S$2="",100,$S$2)&lt;設定!$I$29,設定!$G$10,設定!$G$9)))</f>
        <v/>
      </c>
    </row>
    <row r="62" customFormat="false" ht="21" hidden="false" customHeight="true" outlineLevel="0" collapsed="false">
      <c r="A62" s="91" t="str">
        <f aca="false">IF(名簿!$D62="","",名簿!$B62&amp;"")</f>
        <v/>
      </c>
      <c r="B62" s="91" t="str">
        <f aca="false">IF(名簿!$D62="","",名簿!$C62)</f>
        <v/>
      </c>
      <c r="C62" s="59" t="str">
        <f aca="false">IF(名簿!$D62="","",名簿!$D62&amp;IF(名簿!$F62="転出","（転出）",""))</f>
        <v/>
      </c>
      <c r="D62" s="149"/>
      <c r="E62" s="61" t="str">
        <f aca="false">IF(OR($C62="",名簿!$F62="転出"),"",IF($C$2="学級ごと",$A62,IF($C$2="前の単元と同じ",単元11!$E62&amp;"",$D62&amp;"")))</f>
        <v/>
      </c>
      <c r="F62" s="150"/>
      <c r="G62" s="150"/>
      <c r="H62" s="150"/>
      <c r="I62" s="151"/>
      <c r="J62" s="41" t="str">
        <f aca="false">IF($E62="","",$E62&amp;"|"&amp;COUNTIF($E$5:$E62,$E62))</f>
        <v/>
      </c>
      <c r="K62" s="40" t="str">
        <f aca="false">IF($I62="","",LEN($I62))</f>
        <v/>
      </c>
      <c r="L62" s="13"/>
      <c r="M62" s="13"/>
      <c r="N62" s="13"/>
      <c r="O62" s="13"/>
      <c r="P62" s="152"/>
      <c r="Q62" s="149"/>
      <c r="R62" s="152"/>
      <c r="S62" s="152"/>
      <c r="T62" s="62" t="str">
        <f aca="false">IF(OR($C62="",R62=""),"",IF(R62/IF($R$2="",100,$R$2)&gt;=設定!$I$28,設定!$G$8,IF(R62/IF($R$2="",100,$R$2)&lt;設定!$I$29,設定!$G$10,設定!$G$9)))</f>
        <v/>
      </c>
      <c r="U62" s="62" t="str">
        <f aca="false">IF(OR($C62="",S62=""),"",IF(S62/IF($S$2="",100,$S$2)&gt;=設定!$I$28,設定!$G$8,IF(S62/IF($S$2="",100,$S$2)&lt;設定!$I$29,設定!$G$10,設定!$G$9)))</f>
        <v/>
      </c>
    </row>
    <row r="63" customFormat="false" ht="21" hidden="false" customHeight="true" outlineLevel="0" collapsed="false">
      <c r="A63" s="91" t="str">
        <f aca="false">IF(名簿!$D63="","",名簿!$B63&amp;"")</f>
        <v/>
      </c>
      <c r="B63" s="91" t="str">
        <f aca="false">IF(名簿!$D63="","",名簿!$C63)</f>
        <v/>
      </c>
      <c r="C63" s="59" t="str">
        <f aca="false">IF(名簿!$D63="","",名簿!$D63&amp;IF(名簿!$F63="転出","（転出）",""))</f>
        <v/>
      </c>
      <c r="D63" s="149"/>
      <c r="E63" s="61" t="str">
        <f aca="false">IF(OR($C63="",名簿!$F63="転出"),"",IF($C$2="学級ごと",$A63,IF($C$2="前の単元と同じ",単元11!$E63&amp;"",$D63&amp;"")))</f>
        <v/>
      </c>
      <c r="F63" s="150"/>
      <c r="G63" s="150"/>
      <c r="H63" s="150"/>
      <c r="I63" s="151"/>
      <c r="J63" s="41" t="str">
        <f aca="false">IF($E63="","",$E63&amp;"|"&amp;COUNTIF($E$5:$E63,$E63))</f>
        <v/>
      </c>
      <c r="K63" s="40" t="str">
        <f aca="false">IF($I63="","",LEN($I63))</f>
        <v/>
      </c>
      <c r="L63" s="13"/>
      <c r="M63" s="13"/>
      <c r="N63" s="13"/>
      <c r="O63" s="13"/>
      <c r="P63" s="152"/>
      <c r="Q63" s="149"/>
      <c r="R63" s="152"/>
      <c r="S63" s="152"/>
      <c r="T63" s="62" t="str">
        <f aca="false">IF(OR($C63="",R63=""),"",IF(R63/IF($R$2="",100,$R$2)&gt;=設定!$I$28,設定!$G$8,IF(R63/IF($R$2="",100,$R$2)&lt;設定!$I$29,設定!$G$10,設定!$G$9)))</f>
        <v/>
      </c>
      <c r="U63" s="62" t="str">
        <f aca="false">IF(OR($C63="",S63=""),"",IF(S63/IF($S$2="",100,$S$2)&gt;=設定!$I$28,設定!$G$8,IF(S63/IF($S$2="",100,$S$2)&lt;設定!$I$29,設定!$G$10,設定!$G$9)))</f>
        <v/>
      </c>
    </row>
    <row r="64" customFormat="false" ht="21" hidden="false" customHeight="true" outlineLevel="0" collapsed="false">
      <c r="A64" s="91" t="str">
        <f aca="false">IF(名簿!$D64="","",名簿!$B64&amp;"")</f>
        <v/>
      </c>
      <c r="B64" s="91" t="str">
        <f aca="false">IF(名簿!$D64="","",名簿!$C64)</f>
        <v/>
      </c>
      <c r="C64" s="59" t="str">
        <f aca="false">IF(名簿!$D64="","",名簿!$D64&amp;IF(名簿!$F64="転出","（転出）",""))</f>
        <v/>
      </c>
      <c r="D64" s="149"/>
      <c r="E64" s="61" t="str">
        <f aca="false">IF(OR($C64="",名簿!$F64="転出"),"",IF($C$2="学級ごと",$A64,IF($C$2="前の単元と同じ",単元11!$E64&amp;"",$D64&amp;"")))</f>
        <v/>
      </c>
      <c r="F64" s="150"/>
      <c r="G64" s="150"/>
      <c r="H64" s="150"/>
      <c r="I64" s="151"/>
      <c r="J64" s="41" t="str">
        <f aca="false">IF($E64="","",$E64&amp;"|"&amp;COUNTIF($E$5:$E64,$E64))</f>
        <v/>
      </c>
      <c r="K64" s="40" t="str">
        <f aca="false">IF($I64="","",LEN($I64))</f>
        <v/>
      </c>
      <c r="L64" s="13"/>
      <c r="M64" s="13"/>
      <c r="N64" s="13"/>
      <c r="O64" s="13"/>
      <c r="P64" s="152"/>
      <c r="Q64" s="149"/>
      <c r="R64" s="152"/>
      <c r="S64" s="152"/>
      <c r="T64" s="62" t="str">
        <f aca="false">IF(OR($C64="",R64=""),"",IF(R64/IF($R$2="",100,$R$2)&gt;=設定!$I$28,設定!$G$8,IF(R64/IF($R$2="",100,$R$2)&lt;設定!$I$29,設定!$G$10,設定!$G$9)))</f>
        <v/>
      </c>
      <c r="U64" s="62" t="str">
        <f aca="false">IF(OR($C64="",S64=""),"",IF(S64/IF($S$2="",100,$S$2)&gt;=設定!$I$28,設定!$G$8,IF(S64/IF($S$2="",100,$S$2)&lt;設定!$I$29,設定!$G$10,設定!$G$9)))</f>
        <v/>
      </c>
    </row>
    <row r="65" customFormat="false" ht="21" hidden="false" customHeight="true" outlineLevel="0" collapsed="false">
      <c r="A65" s="91" t="str">
        <f aca="false">IF(名簿!$D65="","",名簿!$B65&amp;"")</f>
        <v/>
      </c>
      <c r="B65" s="91" t="str">
        <f aca="false">IF(名簿!$D65="","",名簿!$C65)</f>
        <v/>
      </c>
      <c r="C65" s="59" t="str">
        <f aca="false">IF(名簿!$D65="","",名簿!$D65&amp;IF(名簿!$F65="転出","（転出）",""))</f>
        <v/>
      </c>
      <c r="D65" s="149"/>
      <c r="E65" s="61" t="str">
        <f aca="false">IF(OR($C65="",名簿!$F65="転出"),"",IF($C$2="学級ごと",$A65,IF($C$2="前の単元と同じ",単元11!$E65&amp;"",$D65&amp;"")))</f>
        <v/>
      </c>
      <c r="F65" s="150"/>
      <c r="G65" s="150"/>
      <c r="H65" s="150"/>
      <c r="I65" s="151"/>
      <c r="J65" s="41" t="str">
        <f aca="false">IF($E65="","",$E65&amp;"|"&amp;COUNTIF($E$5:$E65,$E65))</f>
        <v/>
      </c>
      <c r="K65" s="40" t="str">
        <f aca="false">IF($I65="","",LEN($I65))</f>
        <v/>
      </c>
      <c r="L65" s="13"/>
      <c r="M65" s="13"/>
      <c r="N65" s="13"/>
      <c r="O65" s="13"/>
      <c r="P65" s="152"/>
      <c r="Q65" s="149"/>
      <c r="R65" s="152"/>
      <c r="S65" s="152"/>
      <c r="T65" s="62" t="str">
        <f aca="false">IF(OR($C65="",R65=""),"",IF(R65/IF($R$2="",100,$R$2)&gt;=設定!$I$28,設定!$G$8,IF(R65/IF($R$2="",100,$R$2)&lt;設定!$I$29,設定!$G$10,設定!$G$9)))</f>
        <v/>
      </c>
      <c r="U65" s="62" t="str">
        <f aca="false">IF(OR($C65="",S65=""),"",IF(S65/IF($S$2="",100,$S$2)&gt;=設定!$I$28,設定!$G$8,IF(S65/IF($S$2="",100,$S$2)&lt;設定!$I$29,設定!$G$10,設定!$G$9)))</f>
        <v/>
      </c>
    </row>
    <row r="66" customFormat="false" ht="21" hidden="false" customHeight="true" outlineLevel="0" collapsed="false">
      <c r="A66" s="91" t="str">
        <f aca="false">IF(名簿!$D66="","",名簿!$B66&amp;"")</f>
        <v/>
      </c>
      <c r="B66" s="91" t="str">
        <f aca="false">IF(名簿!$D66="","",名簿!$C66)</f>
        <v/>
      </c>
      <c r="C66" s="59" t="str">
        <f aca="false">IF(名簿!$D66="","",名簿!$D66&amp;IF(名簿!$F66="転出","（転出）",""))</f>
        <v/>
      </c>
      <c r="D66" s="149"/>
      <c r="E66" s="61" t="str">
        <f aca="false">IF(OR($C66="",名簿!$F66="転出"),"",IF($C$2="学級ごと",$A66,IF($C$2="前の単元と同じ",単元11!$E66&amp;"",$D66&amp;"")))</f>
        <v/>
      </c>
      <c r="F66" s="150"/>
      <c r="G66" s="150"/>
      <c r="H66" s="150"/>
      <c r="I66" s="151"/>
      <c r="J66" s="41" t="str">
        <f aca="false">IF($E66="","",$E66&amp;"|"&amp;COUNTIF($E$5:$E66,$E66))</f>
        <v/>
      </c>
      <c r="K66" s="40" t="str">
        <f aca="false">IF($I66="","",LEN($I66))</f>
        <v/>
      </c>
      <c r="L66" s="13"/>
      <c r="M66" s="13"/>
      <c r="N66" s="13"/>
      <c r="O66" s="13"/>
      <c r="P66" s="152"/>
      <c r="Q66" s="149"/>
      <c r="R66" s="152"/>
      <c r="S66" s="152"/>
      <c r="T66" s="62" t="str">
        <f aca="false">IF(OR($C66="",R66=""),"",IF(R66/IF($R$2="",100,$R$2)&gt;=設定!$I$28,設定!$G$8,IF(R66/IF($R$2="",100,$R$2)&lt;設定!$I$29,設定!$G$10,設定!$G$9)))</f>
        <v/>
      </c>
      <c r="U66" s="62" t="str">
        <f aca="false">IF(OR($C66="",S66=""),"",IF(S66/IF($S$2="",100,$S$2)&gt;=設定!$I$28,設定!$G$8,IF(S66/IF($S$2="",100,$S$2)&lt;設定!$I$29,設定!$G$10,設定!$G$9)))</f>
        <v/>
      </c>
    </row>
    <row r="67" customFormat="false" ht="21" hidden="false" customHeight="true" outlineLevel="0" collapsed="false">
      <c r="A67" s="91" t="str">
        <f aca="false">IF(名簿!$D67="","",名簿!$B67&amp;"")</f>
        <v/>
      </c>
      <c r="B67" s="91" t="str">
        <f aca="false">IF(名簿!$D67="","",名簿!$C67)</f>
        <v/>
      </c>
      <c r="C67" s="59" t="str">
        <f aca="false">IF(名簿!$D67="","",名簿!$D67&amp;IF(名簿!$F67="転出","（転出）",""))</f>
        <v/>
      </c>
      <c r="D67" s="149"/>
      <c r="E67" s="61" t="str">
        <f aca="false">IF(OR($C67="",名簿!$F67="転出"),"",IF($C$2="学級ごと",$A67,IF($C$2="前の単元と同じ",単元11!$E67&amp;"",$D67&amp;"")))</f>
        <v/>
      </c>
      <c r="F67" s="150"/>
      <c r="G67" s="150"/>
      <c r="H67" s="150"/>
      <c r="I67" s="151"/>
      <c r="J67" s="41" t="str">
        <f aca="false">IF($E67="","",$E67&amp;"|"&amp;COUNTIF($E$5:$E67,$E67))</f>
        <v/>
      </c>
      <c r="K67" s="40" t="str">
        <f aca="false">IF($I67="","",LEN($I67))</f>
        <v/>
      </c>
      <c r="L67" s="13"/>
      <c r="M67" s="13"/>
      <c r="N67" s="13"/>
      <c r="O67" s="13"/>
      <c r="P67" s="152"/>
      <c r="Q67" s="149"/>
      <c r="R67" s="152"/>
      <c r="S67" s="152"/>
      <c r="T67" s="62" t="str">
        <f aca="false">IF(OR($C67="",R67=""),"",IF(R67/IF($R$2="",100,$R$2)&gt;=設定!$I$28,設定!$G$8,IF(R67/IF($R$2="",100,$R$2)&lt;設定!$I$29,設定!$G$10,設定!$G$9)))</f>
        <v/>
      </c>
      <c r="U67" s="62" t="str">
        <f aca="false">IF(OR($C67="",S67=""),"",IF(S67/IF($S$2="",100,$S$2)&gt;=設定!$I$28,設定!$G$8,IF(S67/IF($S$2="",100,$S$2)&lt;設定!$I$29,設定!$G$10,設定!$G$9)))</f>
        <v/>
      </c>
    </row>
    <row r="68" customFormat="false" ht="21" hidden="false" customHeight="true" outlineLevel="0" collapsed="false">
      <c r="A68" s="91" t="str">
        <f aca="false">IF(名簿!$D68="","",名簿!$B68&amp;"")</f>
        <v/>
      </c>
      <c r="B68" s="91" t="str">
        <f aca="false">IF(名簿!$D68="","",名簿!$C68)</f>
        <v/>
      </c>
      <c r="C68" s="59" t="str">
        <f aca="false">IF(名簿!$D68="","",名簿!$D68&amp;IF(名簿!$F68="転出","（転出）",""))</f>
        <v/>
      </c>
      <c r="D68" s="149"/>
      <c r="E68" s="61" t="str">
        <f aca="false">IF(OR($C68="",名簿!$F68="転出"),"",IF($C$2="学級ごと",$A68,IF($C$2="前の単元と同じ",単元11!$E68&amp;"",$D68&amp;"")))</f>
        <v/>
      </c>
      <c r="F68" s="150"/>
      <c r="G68" s="150"/>
      <c r="H68" s="150"/>
      <c r="I68" s="151"/>
      <c r="J68" s="41" t="str">
        <f aca="false">IF($E68="","",$E68&amp;"|"&amp;COUNTIF($E$5:$E68,$E68))</f>
        <v/>
      </c>
      <c r="K68" s="40" t="str">
        <f aca="false">IF($I68="","",LEN($I68))</f>
        <v/>
      </c>
      <c r="L68" s="13"/>
      <c r="M68" s="13"/>
      <c r="N68" s="13"/>
      <c r="O68" s="13"/>
      <c r="P68" s="152"/>
      <c r="Q68" s="149"/>
      <c r="R68" s="152"/>
      <c r="S68" s="152"/>
      <c r="T68" s="62" t="str">
        <f aca="false">IF(OR($C68="",R68=""),"",IF(R68/IF($R$2="",100,$R$2)&gt;=設定!$I$28,設定!$G$8,IF(R68/IF($R$2="",100,$R$2)&lt;設定!$I$29,設定!$G$10,設定!$G$9)))</f>
        <v/>
      </c>
      <c r="U68" s="62" t="str">
        <f aca="false">IF(OR($C68="",S68=""),"",IF(S68/IF($S$2="",100,$S$2)&gt;=設定!$I$28,設定!$G$8,IF(S68/IF($S$2="",100,$S$2)&lt;設定!$I$29,設定!$G$10,設定!$G$9)))</f>
        <v/>
      </c>
    </row>
    <row r="69" customFormat="false" ht="21" hidden="false" customHeight="true" outlineLevel="0" collapsed="false">
      <c r="A69" s="91" t="str">
        <f aca="false">IF(名簿!$D69="","",名簿!$B69&amp;"")</f>
        <v/>
      </c>
      <c r="B69" s="91" t="str">
        <f aca="false">IF(名簿!$D69="","",名簿!$C69)</f>
        <v/>
      </c>
      <c r="C69" s="59" t="str">
        <f aca="false">IF(名簿!$D69="","",名簿!$D69&amp;IF(名簿!$F69="転出","（転出）",""))</f>
        <v/>
      </c>
      <c r="D69" s="149"/>
      <c r="E69" s="61" t="str">
        <f aca="false">IF(OR($C69="",名簿!$F69="転出"),"",IF($C$2="学級ごと",$A69,IF($C$2="前の単元と同じ",単元11!$E69&amp;"",$D69&amp;"")))</f>
        <v/>
      </c>
      <c r="F69" s="150"/>
      <c r="G69" s="150"/>
      <c r="H69" s="150"/>
      <c r="I69" s="151"/>
      <c r="J69" s="41" t="str">
        <f aca="false">IF($E69="","",$E69&amp;"|"&amp;COUNTIF($E$5:$E69,$E69))</f>
        <v/>
      </c>
      <c r="K69" s="40" t="str">
        <f aca="false">IF($I69="","",LEN($I69))</f>
        <v/>
      </c>
      <c r="L69" s="13"/>
      <c r="M69" s="13"/>
      <c r="N69" s="13"/>
      <c r="O69" s="13"/>
      <c r="P69" s="152"/>
      <c r="Q69" s="149"/>
      <c r="R69" s="152"/>
      <c r="S69" s="152"/>
      <c r="T69" s="62" t="str">
        <f aca="false">IF(OR($C69="",R69=""),"",IF(R69/IF($R$2="",100,$R$2)&gt;=設定!$I$28,設定!$G$8,IF(R69/IF($R$2="",100,$R$2)&lt;設定!$I$29,設定!$G$10,設定!$G$9)))</f>
        <v/>
      </c>
      <c r="U69" s="62" t="str">
        <f aca="false">IF(OR($C69="",S69=""),"",IF(S69/IF($S$2="",100,$S$2)&gt;=設定!$I$28,設定!$G$8,IF(S69/IF($S$2="",100,$S$2)&lt;設定!$I$29,設定!$G$10,設定!$G$9)))</f>
        <v/>
      </c>
    </row>
    <row r="70" customFormat="false" ht="21" hidden="false" customHeight="true" outlineLevel="0" collapsed="false">
      <c r="A70" s="91" t="str">
        <f aca="false">IF(名簿!$D70="","",名簿!$B70&amp;"")</f>
        <v/>
      </c>
      <c r="B70" s="91" t="str">
        <f aca="false">IF(名簿!$D70="","",名簿!$C70)</f>
        <v/>
      </c>
      <c r="C70" s="59" t="str">
        <f aca="false">IF(名簿!$D70="","",名簿!$D70&amp;IF(名簿!$F70="転出","（転出）",""))</f>
        <v/>
      </c>
      <c r="D70" s="149"/>
      <c r="E70" s="61" t="str">
        <f aca="false">IF(OR($C70="",名簿!$F70="転出"),"",IF($C$2="学級ごと",$A70,IF($C$2="前の単元と同じ",単元11!$E70&amp;"",$D70&amp;"")))</f>
        <v/>
      </c>
      <c r="F70" s="150"/>
      <c r="G70" s="150"/>
      <c r="H70" s="150"/>
      <c r="I70" s="151"/>
      <c r="J70" s="41" t="str">
        <f aca="false">IF($E70="","",$E70&amp;"|"&amp;COUNTIF($E$5:$E70,$E70))</f>
        <v/>
      </c>
      <c r="K70" s="40" t="str">
        <f aca="false">IF($I70="","",LEN($I70))</f>
        <v/>
      </c>
      <c r="L70" s="13"/>
      <c r="M70" s="13"/>
      <c r="N70" s="13"/>
      <c r="O70" s="13"/>
      <c r="P70" s="152"/>
      <c r="Q70" s="149"/>
      <c r="R70" s="152"/>
      <c r="S70" s="152"/>
      <c r="T70" s="62" t="str">
        <f aca="false">IF(OR($C70="",R70=""),"",IF(R70/IF($R$2="",100,$R$2)&gt;=設定!$I$28,設定!$G$8,IF(R70/IF($R$2="",100,$R$2)&lt;設定!$I$29,設定!$G$10,設定!$G$9)))</f>
        <v/>
      </c>
      <c r="U70" s="62" t="str">
        <f aca="false">IF(OR($C70="",S70=""),"",IF(S70/IF($S$2="",100,$S$2)&gt;=設定!$I$28,設定!$G$8,IF(S70/IF($S$2="",100,$S$2)&lt;設定!$I$29,設定!$G$10,設定!$G$9)))</f>
        <v/>
      </c>
    </row>
    <row r="71" customFormat="false" ht="21" hidden="false" customHeight="true" outlineLevel="0" collapsed="false">
      <c r="A71" s="91" t="str">
        <f aca="false">IF(名簿!$D71="","",名簿!$B71&amp;"")</f>
        <v/>
      </c>
      <c r="B71" s="91" t="str">
        <f aca="false">IF(名簿!$D71="","",名簿!$C71)</f>
        <v/>
      </c>
      <c r="C71" s="59" t="str">
        <f aca="false">IF(名簿!$D71="","",名簿!$D71&amp;IF(名簿!$F71="転出","（転出）",""))</f>
        <v/>
      </c>
      <c r="D71" s="149"/>
      <c r="E71" s="61" t="str">
        <f aca="false">IF(OR($C71="",名簿!$F71="転出"),"",IF($C$2="学級ごと",$A71,IF($C$2="前の単元と同じ",単元11!$E71&amp;"",$D71&amp;"")))</f>
        <v/>
      </c>
      <c r="F71" s="150"/>
      <c r="G71" s="150"/>
      <c r="H71" s="150"/>
      <c r="I71" s="151"/>
      <c r="J71" s="41" t="str">
        <f aca="false">IF($E71="","",$E71&amp;"|"&amp;COUNTIF($E$5:$E71,$E71))</f>
        <v/>
      </c>
      <c r="K71" s="40" t="str">
        <f aca="false">IF($I71="","",LEN($I71))</f>
        <v/>
      </c>
      <c r="L71" s="13"/>
      <c r="M71" s="13"/>
      <c r="N71" s="13"/>
      <c r="O71" s="13"/>
      <c r="P71" s="152"/>
      <c r="Q71" s="149"/>
      <c r="R71" s="152"/>
      <c r="S71" s="152"/>
      <c r="T71" s="62" t="str">
        <f aca="false">IF(OR($C71="",R71=""),"",IF(R71/IF($R$2="",100,$R$2)&gt;=設定!$I$28,設定!$G$8,IF(R71/IF($R$2="",100,$R$2)&lt;設定!$I$29,設定!$G$10,設定!$G$9)))</f>
        <v/>
      </c>
      <c r="U71" s="62" t="str">
        <f aca="false">IF(OR($C71="",S71=""),"",IF(S71/IF($S$2="",100,$S$2)&gt;=設定!$I$28,設定!$G$8,IF(S71/IF($S$2="",100,$S$2)&lt;設定!$I$29,設定!$G$10,設定!$G$9)))</f>
        <v/>
      </c>
    </row>
    <row r="72" customFormat="false" ht="21" hidden="false" customHeight="true" outlineLevel="0" collapsed="false">
      <c r="A72" s="91" t="str">
        <f aca="false">IF(名簿!$D72="","",名簿!$B72&amp;"")</f>
        <v/>
      </c>
      <c r="B72" s="91" t="str">
        <f aca="false">IF(名簿!$D72="","",名簿!$C72)</f>
        <v/>
      </c>
      <c r="C72" s="59" t="str">
        <f aca="false">IF(名簿!$D72="","",名簿!$D72&amp;IF(名簿!$F72="転出","（転出）",""))</f>
        <v/>
      </c>
      <c r="D72" s="149"/>
      <c r="E72" s="61" t="str">
        <f aca="false">IF(OR($C72="",名簿!$F72="転出"),"",IF($C$2="学級ごと",$A72,IF($C$2="前の単元と同じ",単元11!$E72&amp;"",$D72&amp;"")))</f>
        <v/>
      </c>
      <c r="F72" s="150"/>
      <c r="G72" s="150"/>
      <c r="H72" s="150"/>
      <c r="I72" s="151"/>
      <c r="J72" s="41" t="str">
        <f aca="false">IF($E72="","",$E72&amp;"|"&amp;COUNTIF($E$5:$E72,$E72))</f>
        <v/>
      </c>
      <c r="K72" s="40" t="str">
        <f aca="false">IF($I72="","",LEN($I72))</f>
        <v/>
      </c>
      <c r="L72" s="13"/>
      <c r="M72" s="13"/>
      <c r="N72" s="13"/>
      <c r="O72" s="13"/>
      <c r="P72" s="152"/>
      <c r="Q72" s="149"/>
      <c r="R72" s="152"/>
      <c r="S72" s="152"/>
      <c r="T72" s="62" t="str">
        <f aca="false">IF(OR($C72="",R72=""),"",IF(R72/IF($R$2="",100,$R$2)&gt;=設定!$I$28,設定!$G$8,IF(R72/IF($R$2="",100,$R$2)&lt;設定!$I$29,設定!$G$10,設定!$G$9)))</f>
        <v/>
      </c>
      <c r="U72" s="62" t="str">
        <f aca="false">IF(OR($C72="",S72=""),"",IF(S72/IF($S$2="",100,$S$2)&gt;=設定!$I$28,設定!$G$8,IF(S72/IF($S$2="",100,$S$2)&lt;設定!$I$29,設定!$G$10,設定!$G$9)))</f>
        <v/>
      </c>
    </row>
    <row r="73" customFormat="false" ht="21" hidden="false" customHeight="true" outlineLevel="0" collapsed="false">
      <c r="A73" s="91" t="str">
        <f aca="false">IF(名簿!$D73="","",名簿!$B73&amp;"")</f>
        <v/>
      </c>
      <c r="B73" s="91" t="str">
        <f aca="false">IF(名簿!$D73="","",名簿!$C73)</f>
        <v/>
      </c>
      <c r="C73" s="59" t="str">
        <f aca="false">IF(名簿!$D73="","",名簿!$D73&amp;IF(名簿!$F73="転出","（転出）",""))</f>
        <v/>
      </c>
      <c r="D73" s="149"/>
      <c r="E73" s="61" t="str">
        <f aca="false">IF(OR($C73="",名簿!$F73="転出"),"",IF($C$2="学級ごと",$A73,IF($C$2="前の単元と同じ",単元11!$E73&amp;"",$D73&amp;"")))</f>
        <v/>
      </c>
      <c r="F73" s="150"/>
      <c r="G73" s="150"/>
      <c r="H73" s="150"/>
      <c r="I73" s="151"/>
      <c r="J73" s="41" t="str">
        <f aca="false">IF($E73="","",$E73&amp;"|"&amp;COUNTIF($E$5:$E73,$E73))</f>
        <v/>
      </c>
      <c r="K73" s="40" t="str">
        <f aca="false">IF($I73="","",LEN($I73))</f>
        <v/>
      </c>
      <c r="L73" s="13"/>
      <c r="M73" s="13"/>
      <c r="N73" s="13"/>
      <c r="O73" s="13"/>
      <c r="P73" s="152"/>
      <c r="Q73" s="149"/>
      <c r="R73" s="152"/>
      <c r="S73" s="152"/>
      <c r="T73" s="62" t="str">
        <f aca="false">IF(OR($C73="",R73=""),"",IF(R73/IF($R$2="",100,$R$2)&gt;=設定!$I$28,設定!$G$8,IF(R73/IF($R$2="",100,$R$2)&lt;設定!$I$29,設定!$G$10,設定!$G$9)))</f>
        <v/>
      </c>
      <c r="U73" s="62" t="str">
        <f aca="false">IF(OR($C73="",S73=""),"",IF(S73/IF($S$2="",100,$S$2)&gt;=設定!$I$28,設定!$G$8,IF(S73/IF($S$2="",100,$S$2)&lt;設定!$I$29,設定!$G$10,設定!$G$9)))</f>
        <v/>
      </c>
    </row>
    <row r="74" customFormat="false" ht="21" hidden="false" customHeight="true" outlineLevel="0" collapsed="false">
      <c r="A74" s="91" t="str">
        <f aca="false">IF(名簿!$D74="","",名簿!$B74&amp;"")</f>
        <v/>
      </c>
      <c r="B74" s="91" t="str">
        <f aca="false">IF(名簿!$D74="","",名簿!$C74)</f>
        <v/>
      </c>
      <c r="C74" s="59" t="str">
        <f aca="false">IF(名簿!$D74="","",名簿!$D74&amp;IF(名簿!$F74="転出","（転出）",""))</f>
        <v/>
      </c>
      <c r="D74" s="149"/>
      <c r="E74" s="61" t="str">
        <f aca="false">IF(OR($C74="",名簿!$F74="転出"),"",IF($C$2="学級ごと",$A74,IF($C$2="前の単元と同じ",単元11!$E74&amp;"",$D74&amp;"")))</f>
        <v/>
      </c>
      <c r="F74" s="150"/>
      <c r="G74" s="150"/>
      <c r="H74" s="150"/>
      <c r="I74" s="151"/>
      <c r="J74" s="41" t="str">
        <f aca="false">IF($E74="","",$E74&amp;"|"&amp;COUNTIF($E$5:$E74,$E74))</f>
        <v/>
      </c>
      <c r="K74" s="40" t="str">
        <f aca="false">IF($I74="","",LEN($I74))</f>
        <v/>
      </c>
      <c r="L74" s="13"/>
      <c r="M74" s="13"/>
      <c r="N74" s="13"/>
      <c r="O74" s="13"/>
      <c r="P74" s="152"/>
      <c r="Q74" s="149"/>
      <c r="R74" s="152"/>
      <c r="S74" s="152"/>
      <c r="T74" s="62" t="str">
        <f aca="false">IF(OR($C74="",R74=""),"",IF(R74/IF($R$2="",100,$R$2)&gt;=設定!$I$28,設定!$G$8,IF(R74/IF($R$2="",100,$R$2)&lt;設定!$I$29,設定!$G$10,設定!$G$9)))</f>
        <v/>
      </c>
      <c r="U74" s="62" t="str">
        <f aca="false">IF(OR($C74="",S74=""),"",IF(S74/IF($S$2="",100,$S$2)&gt;=設定!$I$28,設定!$G$8,IF(S74/IF($S$2="",100,$S$2)&lt;設定!$I$29,設定!$G$10,設定!$G$9)))</f>
        <v/>
      </c>
    </row>
    <row r="75" customFormat="false" ht="21" hidden="false" customHeight="true" outlineLevel="0" collapsed="false">
      <c r="A75" s="91" t="str">
        <f aca="false">IF(名簿!$D75="","",名簿!$B75&amp;"")</f>
        <v/>
      </c>
      <c r="B75" s="91" t="str">
        <f aca="false">IF(名簿!$D75="","",名簿!$C75)</f>
        <v/>
      </c>
      <c r="C75" s="59" t="str">
        <f aca="false">IF(名簿!$D75="","",名簿!$D75&amp;IF(名簿!$F75="転出","（転出）",""))</f>
        <v/>
      </c>
      <c r="D75" s="149"/>
      <c r="E75" s="61" t="str">
        <f aca="false">IF(OR($C75="",名簿!$F75="転出"),"",IF($C$2="学級ごと",$A75,IF($C$2="前の単元と同じ",単元11!$E75&amp;"",$D75&amp;"")))</f>
        <v/>
      </c>
      <c r="F75" s="150"/>
      <c r="G75" s="150"/>
      <c r="H75" s="150"/>
      <c r="I75" s="151"/>
      <c r="J75" s="41" t="str">
        <f aca="false">IF($E75="","",$E75&amp;"|"&amp;COUNTIF($E$5:$E75,$E75))</f>
        <v/>
      </c>
      <c r="K75" s="40" t="str">
        <f aca="false">IF($I75="","",LEN($I75))</f>
        <v/>
      </c>
      <c r="L75" s="13"/>
      <c r="M75" s="13"/>
      <c r="N75" s="13"/>
      <c r="O75" s="13"/>
      <c r="P75" s="152"/>
      <c r="Q75" s="149"/>
      <c r="R75" s="152"/>
      <c r="S75" s="152"/>
      <c r="T75" s="62" t="str">
        <f aca="false">IF(OR($C75="",R75=""),"",IF(R75/IF($R$2="",100,$R$2)&gt;=設定!$I$28,設定!$G$8,IF(R75/IF($R$2="",100,$R$2)&lt;設定!$I$29,設定!$G$10,設定!$G$9)))</f>
        <v/>
      </c>
      <c r="U75" s="62" t="str">
        <f aca="false">IF(OR($C75="",S75=""),"",IF(S75/IF($S$2="",100,$S$2)&gt;=設定!$I$28,設定!$G$8,IF(S75/IF($S$2="",100,$S$2)&lt;設定!$I$29,設定!$G$10,設定!$G$9)))</f>
        <v/>
      </c>
    </row>
    <row r="76" customFormat="false" ht="21" hidden="false" customHeight="true" outlineLevel="0" collapsed="false">
      <c r="A76" s="91" t="str">
        <f aca="false">IF(名簿!$D76="","",名簿!$B76&amp;"")</f>
        <v/>
      </c>
      <c r="B76" s="91" t="str">
        <f aca="false">IF(名簿!$D76="","",名簿!$C76)</f>
        <v/>
      </c>
      <c r="C76" s="59" t="str">
        <f aca="false">IF(名簿!$D76="","",名簿!$D76&amp;IF(名簿!$F76="転出","（転出）",""))</f>
        <v/>
      </c>
      <c r="D76" s="149"/>
      <c r="E76" s="61" t="str">
        <f aca="false">IF(OR($C76="",名簿!$F76="転出"),"",IF($C$2="学級ごと",$A76,IF($C$2="前の単元と同じ",単元11!$E76&amp;"",$D76&amp;"")))</f>
        <v/>
      </c>
      <c r="F76" s="150"/>
      <c r="G76" s="150"/>
      <c r="H76" s="150"/>
      <c r="I76" s="151"/>
      <c r="J76" s="41" t="str">
        <f aca="false">IF($E76="","",$E76&amp;"|"&amp;COUNTIF($E$5:$E76,$E76))</f>
        <v/>
      </c>
      <c r="K76" s="40" t="str">
        <f aca="false">IF($I76="","",LEN($I76))</f>
        <v/>
      </c>
      <c r="L76" s="13"/>
      <c r="M76" s="13"/>
      <c r="N76" s="13"/>
      <c r="O76" s="13"/>
      <c r="P76" s="152"/>
      <c r="Q76" s="149"/>
      <c r="R76" s="152"/>
      <c r="S76" s="152"/>
      <c r="T76" s="62" t="str">
        <f aca="false">IF(OR($C76="",R76=""),"",IF(R76/IF($R$2="",100,$R$2)&gt;=設定!$I$28,設定!$G$8,IF(R76/IF($R$2="",100,$R$2)&lt;設定!$I$29,設定!$G$10,設定!$G$9)))</f>
        <v/>
      </c>
      <c r="U76" s="62" t="str">
        <f aca="false">IF(OR($C76="",S76=""),"",IF(S76/IF($S$2="",100,$S$2)&gt;=設定!$I$28,設定!$G$8,IF(S76/IF($S$2="",100,$S$2)&lt;設定!$I$29,設定!$G$10,設定!$G$9)))</f>
        <v/>
      </c>
    </row>
    <row r="77" customFormat="false" ht="21" hidden="false" customHeight="true" outlineLevel="0" collapsed="false">
      <c r="A77" s="91" t="str">
        <f aca="false">IF(名簿!$D77="","",名簿!$B77&amp;"")</f>
        <v/>
      </c>
      <c r="B77" s="91" t="str">
        <f aca="false">IF(名簿!$D77="","",名簿!$C77)</f>
        <v/>
      </c>
      <c r="C77" s="59" t="str">
        <f aca="false">IF(名簿!$D77="","",名簿!$D77&amp;IF(名簿!$F77="転出","（転出）",""))</f>
        <v/>
      </c>
      <c r="D77" s="149"/>
      <c r="E77" s="61" t="str">
        <f aca="false">IF(OR($C77="",名簿!$F77="転出"),"",IF($C$2="学級ごと",$A77,IF($C$2="前の単元と同じ",単元11!$E77&amp;"",$D77&amp;"")))</f>
        <v/>
      </c>
      <c r="F77" s="150"/>
      <c r="G77" s="150"/>
      <c r="H77" s="150"/>
      <c r="I77" s="151"/>
      <c r="J77" s="41" t="str">
        <f aca="false">IF($E77="","",$E77&amp;"|"&amp;COUNTIF($E$5:$E77,$E77))</f>
        <v/>
      </c>
      <c r="K77" s="40" t="str">
        <f aca="false">IF($I77="","",LEN($I77))</f>
        <v/>
      </c>
      <c r="L77" s="13"/>
      <c r="M77" s="13"/>
      <c r="N77" s="13"/>
      <c r="O77" s="13"/>
      <c r="P77" s="152"/>
      <c r="Q77" s="149"/>
      <c r="R77" s="152"/>
      <c r="S77" s="152"/>
      <c r="T77" s="62" t="str">
        <f aca="false">IF(OR($C77="",R77=""),"",IF(R77/IF($R$2="",100,$R$2)&gt;=設定!$I$28,設定!$G$8,IF(R77/IF($R$2="",100,$R$2)&lt;設定!$I$29,設定!$G$10,設定!$G$9)))</f>
        <v/>
      </c>
      <c r="U77" s="62" t="str">
        <f aca="false">IF(OR($C77="",S77=""),"",IF(S77/IF($S$2="",100,$S$2)&gt;=設定!$I$28,設定!$G$8,IF(S77/IF($S$2="",100,$S$2)&lt;設定!$I$29,設定!$G$10,設定!$G$9)))</f>
        <v/>
      </c>
    </row>
    <row r="78" customFormat="false" ht="21" hidden="false" customHeight="true" outlineLevel="0" collapsed="false">
      <c r="A78" s="91" t="str">
        <f aca="false">IF(名簿!$D78="","",名簿!$B78&amp;"")</f>
        <v/>
      </c>
      <c r="B78" s="91" t="str">
        <f aca="false">IF(名簿!$D78="","",名簿!$C78)</f>
        <v/>
      </c>
      <c r="C78" s="59" t="str">
        <f aca="false">IF(名簿!$D78="","",名簿!$D78&amp;IF(名簿!$F78="転出","（転出）",""))</f>
        <v/>
      </c>
      <c r="D78" s="149"/>
      <c r="E78" s="61" t="str">
        <f aca="false">IF(OR($C78="",名簿!$F78="転出"),"",IF($C$2="学級ごと",$A78,IF($C$2="前の単元と同じ",単元11!$E78&amp;"",$D78&amp;"")))</f>
        <v/>
      </c>
      <c r="F78" s="150"/>
      <c r="G78" s="150"/>
      <c r="H78" s="150"/>
      <c r="I78" s="151"/>
      <c r="J78" s="41" t="str">
        <f aca="false">IF($E78="","",$E78&amp;"|"&amp;COUNTIF($E$5:$E78,$E78))</f>
        <v/>
      </c>
      <c r="K78" s="40" t="str">
        <f aca="false">IF($I78="","",LEN($I78))</f>
        <v/>
      </c>
      <c r="L78" s="13"/>
      <c r="M78" s="13"/>
      <c r="N78" s="13"/>
      <c r="O78" s="13"/>
      <c r="P78" s="152"/>
      <c r="Q78" s="149"/>
      <c r="R78" s="152"/>
      <c r="S78" s="152"/>
      <c r="T78" s="62" t="str">
        <f aca="false">IF(OR($C78="",R78=""),"",IF(R78/IF($R$2="",100,$R$2)&gt;=設定!$I$28,設定!$G$8,IF(R78/IF($R$2="",100,$R$2)&lt;設定!$I$29,設定!$G$10,設定!$G$9)))</f>
        <v/>
      </c>
      <c r="U78" s="62" t="str">
        <f aca="false">IF(OR($C78="",S78=""),"",IF(S78/IF($S$2="",100,$S$2)&gt;=設定!$I$28,設定!$G$8,IF(S78/IF($S$2="",100,$S$2)&lt;設定!$I$29,設定!$G$10,設定!$G$9)))</f>
        <v/>
      </c>
    </row>
    <row r="79" customFormat="false" ht="21" hidden="false" customHeight="true" outlineLevel="0" collapsed="false">
      <c r="A79" s="91" t="str">
        <f aca="false">IF(名簿!$D79="","",名簿!$B79&amp;"")</f>
        <v/>
      </c>
      <c r="B79" s="91" t="str">
        <f aca="false">IF(名簿!$D79="","",名簿!$C79)</f>
        <v/>
      </c>
      <c r="C79" s="59" t="str">
        <f aca="false">IF(名簿!$D79="","",名簿!$D79&amp;IF(名簿!$F79="転出","（転出）",""))</f>
        <v/>
      </c>
      <c r="D79" s="149"/>
      <c r="E79" s="61" t="str">
        <f aca="false">IF(OR($C79="",名簿!$F79="転出"),"",IF($C$2="学級ごと",$A79,IF($C$2="前の単元と同じ",単元11!$E79&amp;"",$D79&amp;"")))</f>
        <v/>
      </c>
      <c r="F79" s="150"/>
      <c r="G79" s="150"/>
      <c r="H79" s="150"/>
      <c r="I79" s="151"/>
      <c r="J79" s="41" t="str">
        <f aca="false">IF($E79="","",$E79&amp;"|"&amp;COUNTIF($E$5:$E79,$E79))</f>
        <v/>
      </c>
      <c r="K79" s="40" t="str">
        <f aca="false">IF($I79="","",LEN($I79))</f>
        <v/>
      </c>
      <c r="L79" s="13"/>
      <c r="M79" s="13"/>
      <c r="N79" s="13"/>
      <c r="O79" s="13"/>
      <c r="P79" s="152"/>
      <c r="Q79" s="149"/>
      <c r="R79" s="152"/>
      <c r="S79" s="152"/>
      <c r="T79" s="62" t="str">
        <f aca="false">IF(OR($C79="",R79=""),"",IF(R79/IF($R$2="",100,$R$2)&gt;=設定!$I$28,設定!$G$8,IF(R79/IF($R$2="",100,$R$2)&lt;設定!$I$29,設定!$G$10,設定!$G$9)))</f>
        <v/>
      </c>
      <c r="U79" s="62" t="str">
        <f aca="false">IF(OR($C79="",S79=""),"",IF(S79/IF($S$2="",100,$S$2)&gt;=設定!$I$28,設定!$G$8,IF(S79/IF($S$2="",100,$S$2)&lt;設定!$I$29,設定!$G$10,設定!$G$9)))</f>
        <v/>
      </c>
    </row>
    <row r="80" customFormat="false" ht="21" hidden="false" customHeight="true" outlineLevel="0" collapsed="false">
      <c r="A80" s="91" t="str">
        <f aca="false">IF(名簿!$D80="","",名簿!$B80&amp;"")</f>
        <v/>
      </c>
      <c r="B80" s="91" t="str">
        <f aca="false">IF(名簿!$D80="","",名簿!$C80)</f>
        <v/>
      </c>
      <c r="C80" s="59" t="str">
        <f aca="false">IF(名簿!$D80="","",名簿!$D80&amp;IF(名簿!$F80="転出","（転出）",""))</f>
        <v/>
      </c>
      <c r="D80" s="149"/>
      <c r="E80" s="61" t="str">
        <f aca="false">IF(OR($C80="",名簿!$F80="転出"),"",IF($C$2="学級ごと",$A80,IF($C$2="前の単元と同じ",単元11!$E80&amp;"",$D80&amp;"")))</f>
        <v/>
      </c>
      <c r="F80" s="150"/>
      <c r="G80" s="150"/>
      <c r="H80" s="150"/>
      <c r="I80" s="151"/>
      <c r="J80" s="41" t="str">
        <f aca="false">IF($E80="","",$E80&amp;"|"&amp;COUNTIF($E$5:$E80,$E80))</f>
        <v/>
      </c>
      <c r="K80" s="40" t="str">
        <f aca="false">IF($I80="","",LEN($I80))</f>
        <v/>
      </c>
      <c r="L80" s="13"/>
      <c r="M80" s="13"/>
      <c r="N80" s="13"/>
      <c r="O80" s="13"/>
      <c r="P80" s="152"/>
      <c r="Q80" s="149"/>
      <c r="R80" s="152"/>
      <c r="S80" s="152"/>
      <c r="T80" s="62" t="str">
        <f aca="false">IF(OR($C80="",R80=""),"",IF(R80/IF($R$2="",100,$R$2)&gt;=設定!$I$28,設定!$G$8,IF(R80/IF($R$2="",100,$R$2)&lt;設定!$I$29,設定!$G$10,設定!$G$9)))</f>
        <v/>
      </c>
      <c r="U80" s="62" t="str">
        <f aca="false">IF(OR($C80="",S80=""),"",IF(S80/IF($S$2="",100,$S$2)&gt;=設定!$I$28,設定!$G$8,IF(S80/IF($S$2="",100,$S$2)&lt;設定!$I$29,設定!$G$10,設定!$G$9)))</f>
        <v/>
      </c>
    </row>
    <row r="81" customFormat="false" ht="21" hidden="false" customHeight="true" outlineLevel="0" collapsed="false">
      <c r="A81" s="91" t="str">
        <f aca="false">IF(名簿!$D81="","",名簿!$B81&amp;"")</f>
        <v/>
      </c>
      <c r="B81" s="91" t="str">
        <f aca="false">IF(名簿!$D81="","",名簿!$C81)</f>
        <v/>
      </c>
      <c r="C81" s="59" t="str">
        <f aca="false">IF(名簿!$D81="","",名簿!$D81&amp;IF(名簿!$F81="転出","（転出）",""))</f>
        <v/>
      </c>
      <c r="D81" s="149"/>
      <c r="E81" s="61" t="str">
        <f aca="false">IF(OR($C81="",名簿!$F81="転出"),"",IF($C$2="学級ごと",$A81,IF($C$2="前の単元と同じ",単元11!$E81&amp;"",$D81&amp;"")))</f>
        <v/>
      </c>
      <c r="F81" s="150"/>
      <c r="G81" s="150"/>
      <c r="H81" s="150"/>
      <c r="I81" s="151"/>
      <c r="J81" s="41" t="str">
        <f aca="false">IF($E81="","",$E81&amp;"|"&amp;COUNTIF($E$5:$E81,$E81))</f>
        <v/>
      </c>
      <c r="K81" s="40" t="str">
        <f aca="false">IF($I81="","",LEN($I81))</f>
        <v/>
      </c>
      <c r="L81" s="13"/>
      <c r="M81" s="13"/>
      <c r="N81" s="13"/>
      <c r="O81" s="13"/>
      <c r="P81" s="152"/>
      <c r="Q81" s="149"/>
      <c r="R81" s="152"/>
      <c r="S81" s="152"/>
      <c r="T81" s="62" t="str">
        <f aca="false">IF(OR($C81="",R81=""),"",IF(R81/IF($R$2="",100,$R$2)&gt;=設定!$I$28,設定!$G$8,IF(R81/IF($R$2="",100,$R$2)&lt;設定!$I$29,設定!$G$10,設定!$G$9)))</f>
        <v/>
      </c>
      <c r="U81" s="62" t="str">
        <f aca="false">IF(OR($C81="",S81=""),"",IF(S81/IF($S$2="",100,$S$2)&gt;=設定!$I$28,設定!$G$8,IF(S81/IF($S$2="",100,$S$2)&lt;設定!$I$29,設定!$G$10,設定!$G$9)))</f>
        <v/>
      </c>
    </row>
    <row r="82" customFormat="false" ht="21" hidden="false" customHeight="true" outlineLevel="0" collapsed="false">
      <c r="A82" s="91" t="str">
        <f aca="false">IF(名簿!$D82="","",名簿!$B82&amp;"")</f>
        <v/>
      </c>
      <c r="B82" s="91" t="str">
        <f aca="false">IF(名簿!$D82="","",名簿!$C82)</f>
        <v/>
      </c>
      <c r="C82" s="59" t="str">
        <f aca="false">IF(名簿!$D82="","",名簿!$D82&amp;IF(名簿!$F82="転出","（転出）",""))</f>
        <v/>
      </c>
      <c r="D82" s="149"/>
      <c r="E82" s="61" t="str">
        <f aca="false">IF(OR($C82="",名簿!$F82="転出"),"",IF($C$2="学級ごと",$A82,IF($C$2="前の単元と同じ",単元11!$E82&amp;"",$D82&amp;"")))</f>
        <v/>
      </c>
      <c r="F82" s="150"/>
      <c r="G82" s="150"/>
      <c r="H82" s="150"/>
      <c r="I82" s="151"/>
      <c r="J82" s="41" t="str">
        <f aca="false">IF($E82="","",$E82&amp;"|"&amp;COUNTIF($E$5:$E82,$E82))</f>
        <v/>
      </c>
      <c r="K82" s="40" t="str">
        <f aca="false">IF($I82="","",LEN($I82))</f>
        <v/>
      </c>
      <c r="L82" s="13"/>
      <c r="M82" s="13"/>
      <c r="N82" s="13"/>
      <c r="O82" s="13"/>
      <c r="P82" s="152"/>
      <c r="Q82" s="149"/>
      <c r="R82" s="152"/>
      <c r="S82" s="152"/>
      <c r="T82" s="62" t="str">
        <f aca="false">IF(OR($C82="",R82=""),"",IF(R82/IF($R$2="",100,$R$2)&gt;=設定!$I$28,設定!$G$8,IF(R82/IF($R$2="",100,$R$2)&lt;設定!$I$29,設定!$G$10,設定!$G$9)))</f>
        <v/>
      </c>
      <c r="U82" s="62" t="str">
        <f aca="false">IF(OR($C82="",S82=""),"",IF(S82/IF($S$2="",100,$S$2)&gt;=設定!$I$28,設定!$G$8,IF(S82/IF($S$2="",100,$S$2)&lt;設定!$I$29,設定!$G$10,設定!$G$9)))</f>
        <v/>
      </c>
    </row>
    <row r="83" customFormat="false" ht="21" hidden="false" customHeight="true" outlineLevel="0" collapsed="false">
      <c r="A83" s="91" t="str">
        <f aca="false">IF(名簿!$D83="","",名簿!$B83&amp;"")</f>
        <v/>
      </c>
      <c r="B83" s="91" t="str">
        <f aca="false">IF(名簿!$D83="","",名簿!$C83)</f>
        <v/>
      </c>
      <c r="C83" s="59" t="str">
        <f aca="false">IF(名簿!$D83="","",名簿!$D83&amp;IF(名簿!$F83="転出","（転出）",""))</f>
        <v/>
      </c>
      <c r="D83" s="149"/>
      <c r="E83" s="61" t="str">
        <f aca="false">IF(OR($C83="",名簿!$F83="転出"),"",IF($C$2="学級ごと",$A83,IF($C$2="前の単元と同じ",単元11!$E83&amp;"",$D83&amp;"")))</f>
        <v/>
      </c>
      <c r="F83" s="150"/>
      <c r="G83" s="150"/>
      <c r="H83" s="150"/>
      <c r="I83" s="151"/>
      <c r="J83" s="41" t="str">
        <f aca="false">IF($E83="","",$E83&amp;"|"&amp;COUNTIF($E$5:$E83,$E83))</f>
        <v/>
      </c>
      <c r="K83" s="40" t="str">
        <f aca="false">IF($I83="","",LEN($I83))</f>
        <v/>
      </c>
      <c r="L83" s="13"/>
      <c r="M83" s="13"/>
      <c r="N83" s="13"/>
      <c r="O83" s="13"/>
      <c r="P83" s="152"/>
      <c r="Q83" s="149"/>
      <c r="R83" s="152"/>
      <c r="S83" s="152"/>
      <c r="T83" s="62" t="str">
        <f aca="false">IF(OR($C83="",R83=""),"",IF(R83/IF($R$2="",100,$R$2)&gt;=設定!$I$28,設定!$G$8,IF(R83/IF($R$2="",100,$R$2)&lt;設定!$I$29,設定!$G$10,設定!$G$9)))</f>
        <v/>
      </c>
      <c r="U83" s="62" t="str">
        <f aca="false">IF(OR($C83="",S83=""),"",IF(S83/IF($S$2="",100,$S$2)&gt;=設定!$I$28,設定!$G$8,IF(S83/IF($S$2="",100,$S$2)&lt;設定!$I$29,設定!$G$10,設定!$G$9)))</f>
        <v/>
      </c>
    </row>
    <row r="84" customFormat="false" ht="21" hidden="false" customHeight="true" outlineLevel="0" collapsed="false">
      <c r="A84" s="91" t="str">
        <f aca="false">IF(名簿!$D84="","",名簿!$B84&amp;"")</f>
        <v/>
      </c>
      <c r="B84" s="91" t="str">
        <f aca="false">IF(名簿!$D84="","",名簿!$C84)</f>
        <v/>
      </c>
      <c r="C84" s="59" t="str">
        <f aca="false">IF(名簿!$D84="","",名簿!$D84&amp;IF(名簿!$F84="転出","（転出）",""))</f>
        <v/>
      </c>
      <c r="D84" s="149"/>
      <c r="E84" s="61" t="str">
        <f aca="false">IF(OR($C84="",名簿!$F84="転出"),"",IF($C$2="学級ごと",$A84,IF($C$2="前の単元と同じ",単元11!$E84&amp;"",$D84&amp;"")))</f>
        <v/>
      </c>
      <c r="F84" s="150"/>
      <c r="G84" s="150"/>
      <c r="H84" s="150"/>
      <c r="I84" s="151"/>
      <c r="J84" s="41" t="str">
        <f aca="false">IF($E84="","",$E84&amp;"|"&amp;COUNTIF($E$5:$E84,$E84))</f>
        <v/>
      </c>
      <c r="K84" s="40" t="str">
        <f aca="false">IF($I84="","",LEN($I84))</f>
        <v/>
      </c>
      <c r="L84" s="13"/>
      <c r="M84" s="13"/>
      <c r="N84" s="13"/>
      <c r="O84" s="13"/>
      <c r="P84" s="152"/>
      <c r="Q84" s="149"/>
      <c r="R84" s="152"/>
      <c r="S84" s="152"/>
      <c r="T84" s="62" t="str">
        <f aca="false">IF(OR($C84="",R84=""),"",IF(R84/IF($R$2="",100,$R$2)&gt;=設定!$I$28,設定!$G$8,IF(R84/IF($R$2="",100,$R$2)&lt;設定!$I$29,設定!$G$10,設定!$G$9)))</f>
        <v/>
      </c>
      <c r="U84" s="62" t="str">
        <f aca="false">IF(OR($C84="",S84=""),"",IF(S84/IF($S$2="",100,$S$2)&gt;=設定!$I$28,設定!$G$8,IF(S84/IF($S$2="",100,$S$2)&lt;設定!$I$29,設定!$G$10,設定!$G$9)))</f>
        <v/>
      </c>
    </row>
    <row r="85" customFormat="false" ht="21" hidden="false" customHeight="true" outlineLevel="0" collapsed="false">
      <c r="A85" s="91" t="str">
        <f aca="false">IF(名簿!$D85="","",名簿!$B85&amp;"")</f>
        <v/>
      </c>
      <c r="B85" s="91" t="str">
        <f aca="false">IF(名簿!$D85="","",名簿!$C85)</f>
        <v/>
      </c>
      <c r="C85" s="59" t="str">
        <f aca="false">IF(名簿!$D85="","",名簿!$D85&amp;IF(名簿!$F85="転出","（転出）",""))</f>
        <v/>
      </c>
      <c r="D85" s="149"/>
      <c r="E85" s="61" t="str">
        <f aca="false">IF(OR($C85="",名簿!$F85="転出"),"",IF($C$2="学級ごと",$A85,IF($C$2="前の単元と同じ",単元11!$E85&amp;"",$D85&amp;"")))</f>
        <v/>
      </c>
      <c r="F85" s="150"/>
      <c r="G85" s="150"/>
      <c r="H85" s="150"/>
      <c r="I85" s="151"/>
      <c r="J85" s="41" t="str">
        <f aca="false">IF($E85="","",$E85&amp;"|"&amp;COUNTIF($E$5:$E85,$E85))</f>
        <v/>
      </c>
      <c r="K85" s="40" t="str">
        <f aca="false">IF($I85="","",LEN($I85))</f>
        <v/>
      </c>
      <c r="L85" s="13"/>
      <c r="M85" s="13"/>
      <c r="N85" s="13"/>
      <c r="O85" s="13"/>
      <c r="P85" s="152"/>
      <c r="Q85" s="149"/>
      <c r="R85" s="152"/>
      <c r="S85" s="152"/>
      <c r="T85" s="62" t="str">
        <f aca="false">IF(OR($C85="",R85=""),"",IF(R85/IF($R$2="",100,$R$2)&gt;=設定!$I$28,設定!$G$8,IF(R85/IF($R$2="",100,$R$2)&lt;設定!$I$29,設定!$G$10,設定!$G$9)))</f>
        <v/>
      </c>
      <c r="U85" s="62" t="str">
        <f aca="false">IF(OR($C85="",S85=""),"",IF(S85/IF($S$2="",100,$S$2)&gt;=設定!$I$28,設定!$G$8,IF(S85/IF($S$2="",100,$S$2)&lt;設定!$I$29,設定!$G$10,設定!$G$9)))</f>
        <v/>
      </c>
    </row>
    <row r="86" customFormat="false" ht="21" hidden="false" customHeight="true" outlineLevel="0" collapsed="false">
      <c r="A86" s="91" t="str">
        <f aca="false">IF(名簿!$D86="","",名簿!$B86&amp;"")</f>
        <v/>
      </c>
      <c r="B86" s="91" t="str">
        <f aca="false">IF(名簿!$D86="","",名簿!$C86)</f>
        <v/>
      </c>
      <c r="C86" s="59" t="str">
        <f aca="false">IF(名簿!$D86="","",名簿!$D86&amp;IF(名簿!$F86="転出","（転出）",""))</f>
        <v/>
      </c>
      <c r="D86" s="149"/>
      <c r="E86" s="61" t="str">
        <f aca="false">IF(OR($C86="",名簿!$F86="転出"),"",IF($C$2="学級ごと",$A86,IF($C$2="前の単元と同じ",単元11!$E86&amp;"",$D86&amp;"")))</f>
        <v/>
      </c>
      <c r="F86" s="150"/>
      <c r="G86" s="150"/>
      <c r="H86" s="150"/>
      <c r="I86" s="151"/>
      <c r="J86" s="41" t="str">
        <f aca="false">IF($E86="","",$E86&amp;"|"&amp;COUNTIF($E$5:$E86,$E86))</f>
        <v/>
      </c>
      <c r="K86" s="40" t="str">
        <f aca="false">IF($I86="","",LEN($I86))</f>
        <v/>
      </c>
      <c r="L86" s="13"/>
      <c r="M86" s="13"/>
      <c r="N86" s="13"/>
      <c r="O86" s="13"/>
      <c r="P86" s="152"/>
      <c r="Q86" s="149"/>
      <c r="R86" s="152"/>
      <c r="S86" s="152"/>
      <c r="T86" s="62" t="str">
        <f aca="false">IF(OR($C86="",R86=""),"",IF(R86/IF($R$2="",100,$R$2)&gt;=設定!$I$28,設定!$G$8,IF(R86/IF($R$2="",100,$R$2)&lt;設定!$I$29,設定!$G$10,設定!$G$9)))</f>
        <v/>
      </c>
      <c r="U86" s="62" t="str">
        <f aca="false">IF(OR($C86="",S86=""),"",IF(S86/IF($S$2="",100,$S$2)&gt;=設定!$I$28,設定!$G$8,IF(S86/IF($S$2="",100,$S$2)&lt;設定!$I$29,設定!$G$10,設定!$G$9)))</f>
        <v/>
      </c>
    </row>
    <row r="87" customFormat="false" ht="21" hidden="false" customHeight="true" outlineLevel="0" collapsed="false">
      <c r="A87" s="91" t="str">
        <f aca="false">IF(名簿!$D87="","",名簿!$B87&amp;"")</f>
        <v/>
      </c>
      <c r="B87" s="91" t="str">
        <f aca="false">IF(名簿!$D87="","",名簿!$C87)</f>
        <v/>
      </c>
      <c r="C87" s="59" t="str">
        <f aca="false">IF(名簿!$D87="","",名簿!$D87&amp;IF(名簿!$F87="転出","（転出）",""))</f>
        <v/>
      </c>
      <c r="D87" s="149"/>
      <c r="E87" s="61" t="str">
        <f aca="false">IF(OR($C87="",名簿!$F87="転出"),"",IF($C$2="学級ごと",$A87,IF($C$2="前の単元と同じ",単元11!$E87&amp;"",$D87&amp;"")))</f>
        <v/>
      </c>
      <c r="F87" s="150"/>
      <c r="G87" s="150"/>
      <c r="H87" s="150"/>
      <c r="I87" s="151"/>
      <c r="J87" s="41" t="str">
        <f aca="false">IF($E87="","",$E87&amp;"|"&amp;COUNTIF($E$5:$E87,$E87))</f>
        <v/>
      </c>
      <c r="K87" s="40" t="str">
        <f aca="false">IF($I87="","",LEN($I87))</f>
        <v/>
      </c>
      <c r="L87" s="13"/>
      <c r="M87" s="13"/>
      <c r="N87" s="13"/>
      <c r="O87" s="13"/>
      <c r="P87" s="152"/>
      <c r="Q87" s="149"/>
      <c r="R87" s="152"/>
      <c r="S87" s="152"/>
      <c r="T87" s="62" t="str">
        <f aca="false">IF(OR($C87="",R87=""),"",IF(R87/IF($R$2="",100,$R$2)&gt;=設定!$I$28,設定!$G$8,IF(R87/IF($R$2="",100,$R$2)&lt;設定!$I$29,設定!$G$10,設定!$G$9)))</f>
        <v/>
      </c>
      <c r="U87" s="62" t="str">
        <f aca="false">IF(OR($C87="",S87=""),"",IF(S87/IF($S$2="",100,$S$2)&gt;=設定!$I$28,設定!$G$8,IF(S87/IF($S$2="",100,$S$2)&lt;設定!$I$29,設定!$G$10,設定!$G$9)))</f>
        <v/>
      </c>
    </row>
    <row r="88" customFormat="false" ht="21" hidden="false" customHeight="true" outlineLevel="0" collapsed="false">
      <c r="A88" s="91" t="str">
        <f aca="false">IF(名簿!$D88="","",名簿!$B88&amp;"")</f>
        <v/>
      </c>
      <c r="B88" s="91" t="str">
        <f aca="false">IF(名簿!$D88="","",名簿!$C88)</f>
        <v/>
      </c>
      <c r="C88" s="59" t="str">
        <f aca="false">IF(名簿!$D88="","",名簿!$D88&amp;IF(名簿!$F88="転出","（転出）",""))</f>
        <v/>
      </c>
      <c r="D88" s="149"/>
      <c r="E88" s="61" t="str">
        <f aca="false">IF(OR($C88="",名簿!$F88="転出"),"",IF($C$2="学級ごと",$A88,IF($C$2="前の単元と同じ",単元11!$E88&amp;"",$D88&amp;"")))</f>
        <v/>
      </c>
      <c r="F88" s="150"/>
      <c r="G88" s="150"/>
      <c r="H88" s="150"/>
      <c r="I88" s="151"/>
      <c r="J88" s="41" t="str">
        <f aca="false">IF($E88="","",$E88&amp;"|"&amp;COUNTIF($E$5:$E88,$E88))</f>
        <v/>
      </c>
      <c r="K88" s="40" t="str">
        <f aca="false">IF($I88="","",LEN($I88))</f>
        <v/>
      </c>
      <c r="L88" s="13"/>
      <c r="M88" s="13"/>
      <c r="N88" s="13"/>
      <c r="O88" s="13"/>
      <c r="P88" s="152"/>
      <c r="Q88" s="149"/>
      <c r="R88" s="152"/>
      <c r="S88" s="152"/>
      <c r="T88" s="62" t="str">
        <f aca="false">IF(OR($C88="",R88=""),"",IF(R88/IF($R$2="",100,$R$2)&gt;=設定!$I$28,設定!$G$8,IF(R88/IF($R$2="",100,$R$2)&lt;設定!$I$29,設定!$G$10,設定!$G$9)))</f>
        <v/>
      </c>
      <c r="U88" s="62" t="str">
        <f aca="false">IF(OR($C88="",S88=""),"",IF(S88/IF($S$2="",100,$S$2)&gt;=設定!$I$28,設定!$G$8,IF(S88/IF($S$2="",100,$S$2)&lt;設定!$I$29,設定!$G$10,設定!$G$9)))</f>
        <v/>
      </c>
    </row>
    <row r="89" customFormat="false" ht="21" hidden="false" customHeight="true" outlineLevel="0" collapsed="false">
      <c r="A89" s="91" t="str">
        <f aca="false">IF(名簿!$D89="","",名簿!$B89&amp;"")</f>
        <v/>
      </c>
      <c r="B89" s="91" t="str">
        <f aca="false">IF(名簿!$D89="","",名簿!$C89)</f>
        <v/>
      </c>
      <c r="C89" s="59" t="str">
        <f aca="false">IF(名簿!$D89="","",名簿!$D89&amp;IF(名簿!$F89="転出","（転出）",""))</f>
        <v/>
      </c>
      <c r="D89" s="149"/>
      <c r="E89" s="61" t="str">
        <f aca="false">IF(OR($C89="",名簿!$F89="転出"),"",IF($C$2="学級ごと",$A89,IF($C$2="前の単元と同じ",単元11!$E89&amp;"",$D89&amp;"")))</f>
        <v/>
      </c>
      <c r="F89" s="150"/>
      <c r="G89" s="150"/>
      <c r="H89" s="150"/>
      <c r="I89" s="151"/>
      <c r="J89" s="41" t="str">
        <f aca="false">IF($E89="","",$E89&amp;"|"&amp;COUNTIF($E$5:$E89,$E89))</f>
        <v/>
      </c>
      <c r="K89" s="40" t="str">
        <f aca="false">IF($I89="","",LEN($I89))</f>
        <v/>
      </c>
      <c r="L89" s="13"/>
      <c r="M89" s="13"/>
      <c r="N89" s="13"/>
      <c r="O89" s="13"/>
      <c r="P89" s="152"/>
      <c r="Q89" s="149"/>
      <c r="R89" s="152"/>
      <c r="S89" s="152"/>
      <c r="T89" s="62" t="str">
        <f aca="false">IF(OR($C89="",R89=""),"",IF(R89/IF($R$2="",100,$R$2)&gt;=設定!$I$28,設定!$G$8,IF(R89/IF($R$2="",100,$R$2)&lt;設定!$I$29,設定!$G$10,設定!$G$9)))</f>
        <v/>
      </c>
      <c r="U89" s="62" t="str">
        <f aca="false">IF(OR($C89="",S89=""),"",IF(S89/IF($S$2="",100,$S$2)&gt;=設定!$I$28,設定!$G$8,IF(S89/IF($S$2="",100,$S$2)&lt;設定!$I$29,設定!$G$10,設定!$G$9)))</f>
        <v/>
      </c>
    </row>
    <row r="90" customFormat="false" ht="21" hidden="false" customHeight="true" outlineLevel="0" collapsed="false">
      <c r="A90" s="91" t="str">
        <f aca="false">IF(名簿!$D90="","",名簿!$B90&amp;"")</f>
        <v/>
      </c>
      <c r="B90" s="91" t="str">
        <f aca="false">IF(名簿!$D90="","",名簿!$C90)</f>
        <v/>
      </c>
      <c r="C90" s="59" t="str">
        <f aca="false">IF(名簿!$D90="","",名簿!$D90&amp;IF(名簿!$F90="転出","（転出）",""))</f>
        <v/>
      </c>
      <c r="D90" s="149"/>
      <c r="E90" s="61" t="str">
        <f aca="false">IF(OR($C90="",名簿!$F90="転出"),"",IF($C$2="学級ごと",$A90,IF($C$2="前の単元と同じ",単元11!$E90&amp;"",$D90&amp;"")))</f>
        <v/>
      </c>
      <c r="F90" s="150"/>
      <c r="G90" s="150"/>
      <c r="H90" s="150"/>
      <c r="I90" s="151"/>
      <c r="J90" s="41" t="str">
        <f aca="false">IF($E90="","",$E90&amp;"|"&amp;COUNTIF($E$5:$E90,$E90))</f>
        <v/>
      </c>
      <c r="K90" s="40" t="str">
        <f aca="false">IF($I90="","",LEN($I90))</f>
        <v/>
      </c>
      <c r="L90" s="13"/>
      <c r="M90" s="13"/>
      <c r="N90" s="13"/>
      <c r="O90" s="13"/>
      <c r="P90" s="152"/>
      <c r="Q90" s="149"/>
      <c r="R90" s="152"/>
      <c r="S90" s="152"/>
      <c r="T90" s="62" t="str">
        <f aca="false">IF(OR($C90="",R90=""),"",IF(R90/IF($R$2="",100,$R$2)&gt;=設定!$I$28,設定!$G$8,IF(R90/IF($R$2="",100,$R$2)&lt;設定!$I$29,設定!$G$10,設定!$G$9)))</f>
        <v/>
      </c>
      <c r="U90" s="62" t="str">
        <f aca="false">IF(OR($C90="",S90=""),"",IF(S90/IF($S$2="",100,$S$2)&gt;=設定!$I$28,設定!$G$8,IF(S90/IF($S$2="",100,$S$2)&lt;設定!$I$29,設定!$G$10,設定!$G$9)))</f>
        <v/>
      </c>
    </row>
    <row r="91" customFormat="false" ht="21" hidden="false" customHeight="true" outlineLevel="0" collapsed="false">
      <c r="A91" s="91" t="str">
        <f aca="false">IF(名簿!$D91="","",名簿!$B91&amp;"")</f>
        <v/>
      </c>
      <c r="B91" s="91" t="str">
        <f aca="false">IF(名簿!$D91="","",名簿!$C91)</f>
        <v/>
      </c>
      <c r="C91" s="59" t="str">
        <f aca="false">IF(名簿!$D91="","",名簿!$D91&amp;IF(名簿!$F91="転出","（転出）",""))</f>
        <v/>
      </c>
      <c r="D91" s="149"/>
      <c r="E91" s="61" t="str">
        <f aca="false">IF(OR($C91="",名簿!$F91="転出"),"",IF($C$2="学級ごと",$A91,IF($C$2="前の単元と同じ",単元11!$E91&amp;"",$D91&amp;"")))</f>
        <v/>
      </c>
      <c r="F91" s="150"/>
      <c r="G91" s="150"/>
      <c r="H91" s="150"/>
      <c r="I91" s="151"/>
      <c r="J91" s="41" t="str">
        <f aca="false">IF($E91="","",$E91&amp;"|"&amp;COUNTIF($E$5:$E91,$E91))</f>
        <v/>
      </c>
      <c r="K91" s="40" t="str">
        <f aca="false">IF($I91="","",LEN($I91))</f>
        <v/>
      </c>
      <c r="L91" s="13"/>
      <c r="M91" s="13"/>
      <c r="N91" s="13"/>
      <c r="O91" s="13"/>
      <c r="P91" s="152"/>
      <c r="Q91" s="149"/>
      <c r="R91" s="152"/>
      <c r="S91" s="152"/>
      <c r="T91" s="62" t="str">
        <f aca="false">IF(OR($C91="",R91=""),"",IF(R91/IF($R$2="",100,$R$2)&gt;=設定!$I$28,設定!$G$8,IF(R91/IF($R$2="",100,$R$2)&lt;設定!$I$29,設定!$G$10,設定!$G$9)))</f>
        <v/>
      </c>
      <c r="U91" s="62" t="str">
        <f aca="false">IF(OR($C91="",S91=""),"",IF(S91/IF($S$2="",100,$S$2)&gt;=設定!$I$28,設定!$G$8,IF(S91/IF($S$2="",100,$S$2)&lt;設定!$I$29,設定!$G$10,設定!$G$9)))</f>
        <v/>
      </c>
    </row>
    <row r="92" customFormat="false" ht="21" hidden="false" customHeight="true" outlineLevel="0" collapsed="false">
      <c r="A92" s="91" t="str">
        <f aca="false">IF(名簿!$D92="","",名簿!$B92&amp;"")</f>
        <v/>
      </c>
      <c r="B92" s="91" t="str">
        <f aca="false">IF(名簿!$D92="","",名簿!$C92)</f>
        <v/>
      </c>
      <c r="C92" s="59" t="str">
        <f aca="false">IF(名簿!$D92="","",名簿!$D92&amp;IF(名簿!$F92="転出","（転出）",""))</f>
        <v/>
      </c>
      <c r="D92" s="149"/>
      <c r="E92" s="61" t="str">
        <f aca="false">IF(OR($C92="",名簿!$F92="転出"),"",IF($C$2="学級ごと",$A92,IF($C$2="前の単元と同じ",単元11!$E92&amp;"",$D92&amp;"")))</f>
        <v/>
      </c>
      <c r="F92" s="150"/>
      <c r="G92" s="150"/>
      <c r="H92" s="150"/>
      <c r="I92" s="151"/>
      <c r="J92" s="41" t="str">
        <f aca="false">IF($E92="","",$E92&amp;"|"&amp;COUNTIF($E$5:$E92,$E92))</f>
        <v/>
      </c>
      <c r="K92" s="40" t="str">
        <f aca="false">IF($I92="","",LEN($I92))</f>
        <v/>
      </c>
      <c r="L92" s="13"/>
      <c r="M92" s="13"/>
      <c r="N92" s="13"/>
      <c r="O92" s="13"/>
      <c r="P92" s="152"/>
      <c r="Q92" s="149"/>
      <c r="R92" s="152"/>
      <c r="S92" s="152"/>
      <c r="T92" s="62" t="str">
        <f aca="false">IF(OR($C92="",R92=""),"",IF(R92/IF($R$2="",100,$R$2)&gt;=設定!$I$28,設定!$G$8,IF(R92/IF($R$2="",100,$R$2)&lt;設定!$I$29,設定!$G$10,設定!$G$9)))</f>
        <v/>
      </c>
      <c r="U92" s="62" t="str">
        <f aca="false">IF(OR($C92="",S92=""),"",IF(S92/IF($S$2="",100,$S$2)&gt;=設定!$I$28,設定!$G$8,IF(S92/IF($S$2="",100,$S$2)&lt;設定!$I$29,設定!$G$10,設定!$G$9)))</f>
        <v/>
      </c>
    </row>
    <row r="93" customFormat="false" ht="21" hidden="false" customHeight="true" outlineLevel="0" collapsed="false">
      <c r="A93" s="91" t="str">
        <f aca="false">IF(名簿!$D93="","",名簿!$B93&amp;"")</f>
        <v/>
      </c>
      <c r="B93" s="91" t="str">
        <f aca="false">IF(名簿!$D93="","",名簿!$C93)</f>
        <v/>
      </c>
      <c r="C93" s="59" t="str">
        <f aca="false">IF(名簿!$D93="","",名簿!$D93&amp;IF(名簿!$F93="転出","（転出）",""))</f>
        <v/>
      </c>
      <c r="D93" s="149"/>
      <c r="E93" s="61" t="str">
        <f aca="false">IF(OR($C93="",名簿!$F93="転出"),"",IF($C$2="学級ごと",$A93,IF($C$2="前の単元と同じ",単元11!$E93&amp;"",$D93&amp;"")))</f>
        <v/>
      </c>
      <c r="F93" s="150"/>
      <c r="G93" s="150"/>
      <c r="H93" s="150"/>
      <c r="I93" s="151"/>
      <c r="J93" s="41" t="str">
        <f aca="false">IF($E93="","",$E93&amp;"|"&amp;COUNTIF($E$5:$E93,$E93))</f>
        <v/>
      </c>
      <c r="K93" s="40" t="str">
        <f aca="false">IF($I93="","",LEN($I93))</f>
        <v/>
      </c>
      <c r="L93" s="13"/>
      <c r="M93" s="13"/>
      <c r="N93" s="13"/>
      <c r="O93" s="13"/>
      <c r="P93" s="152"/>
      <c r="Q93" s="149"/>
      <c r="R93" s="152"/>
      <c r="S93" s="152"/>
      <c r="T93" s="62" t="str">
        <f aca="false">IF(OR($C93="",R93=""),"",IF(R93/IF($R$2="",100,$R$2)&gt;=設定!$I$28,設定!$G$8,IF(R93/IF($R$2="",100,$R$2)&lt;設定!$I$29,設定!$G$10,設定!$G$9)))</f>
        <v/>
      </c>
      <c r="U93" s="62" t="str">
        <f aca="false">IF(OR($C93="",S93=""),"",IF(S93/IF($S$2="",100,$S$2)&gt;=設定!$I$28,設定!$G$8,IF(S93/IF($S$2="",100,$S$2)&lt;設定!$I$29,設定!$G$10,設定!$G$9)))</f>
        <v/>
      </c>
    </row>
    <row r="94" customFormat="false" ht="21" hidden="false" customHeight="true" outlineLevel="0" collapsed="false">
      <c r="A94" s="91" t="str">
        <f aca="false">IF(名簿!$D94="","",名簿!$B94&amp;"")</f>
        <v/>
      </c>
      <c r="B94" s="91" t="str">
        <f aca="false">IF(名簿!$D94="","",名簿!$C94)</f>
        <v/>
      </c>
      <c r="C94" s="59" t="str">
        <f aca="false">IF(名簿!$D94="","",名簿!$D94&amp;IF(名簿!$F94="転出","（転出）",""))</f>
        <v/>
      </c>
      <c r="D94" s="149"/>
      <c r="E94" s="61" t="str">
        <f aca="false">IF(OR($C94="",名簿!$F94="転出"),"",IF($C$2="学級ごと",$A94,IF($C$2="前の単元と同じ",単元11!$E94&amp;"",$D94&amp;"")))</f>
        <v/>
      </c>
      <c r="F94" s="150"/>
      <c r="G94" s="150"/>
      <c r="H94" s="150"/>
      <c r="I94" s="151"/>
      <c r="J94" s="41" t="str">
        <f aca="false">IF($E94="","",$E94&amp;"|"&amp;COUNTIF($E$5:$E94,$E94))</f>
        <v/>
      </c>
      <c r="K94" s="40" t="str">
        <f aca="false">IF($I94="","",LEN($I94))</f>
        <v/>
      </c>
      <c r="L94" s="13"/>
      <c r="M94" s="13"/>
      <c r="N94" s="13"/>
      <c r="O94" s="13"/>
      <c r="P94" s="152"/>
      <c r="Q94" s="149"/>
      <c r="R94" s="152"/>
      <c r="S94" s="152"/>
      <c r="T94" s="62" t="str">
        <f aca="false">IF(OR($C94="",R94=""),"",IF(R94/IF($R$2="",100,$R$2)&gt;=設定!$I$28,設定!$G$8,IF(R94/IF($R$2="",100,$R$2)&lt;設定!$I$29,設定!$G$10,設定!$G$9)))</f>
        <v/>
      </c>
      <c r="U94" s="62" t="str">
        <f aca="false">IF(OR($C94="",S94=""),"",IF(S94/IF($S$2="",100,$S$2)&gt;=設定!$I$28,設定!$G$8,IF(S94/IF($S$2="",100,$S$2)&lt;設定!$I$29,設定!$G$10,設定!$G$9)))</f>
        <v/>
      </c>
    </row>
    <row r="95" customFormat="false" ht="21" hidden="false" customHeight="true" outlineLevel="0" collapsed="false">
      <c r="A95" s="91" t="str">
        <f aca="false">IF(名簿!$D95="","",名簿!$B95&amp;"")</f>
        <v/>
      </c>
      <c r="B95" s="91" t="str">
        <f aca="false">IF(名簿!$D95="","",名簿!$C95)</f>
        <v/>
      </c>
      <c r="C95" s="59" t="str">
        <f aca="false">IF(名簿!$D95="","",名簿!$D95&amp;IF(名簿!$F95="転出","（転出）",""))</f>
        <v/>
      </c>
      <c r="D95" s="149"/>
      <c r="E95" s="61" t="str">
        <f aca="false">IF(OR($C95="",名簿!$F95="転出"),"",IF($C$2="学級ごと",$A95,IF($C$2="前の単元と同じ",単元11!$E95&amp;"",$D95&amp;"")))</f>
        <v/>
      </c>
      <c r="F95" s="150"/>
      <c r="G95" s="150"/>
      <c r="H95" s="150"/>
      <c r="I95" s="151"/>
      <c r="J95" s="41" t="str">
        <f aca="false">IF($E95="","",$E95&amp;"|"&amp;COUNTIF($E$5:$E95,$E95))</f>
        <v/>
      </c>
      <c r="K95" s="40" t="str">
        <f aca="false">IF($I95="","",LEN($I95))</f>
        <v/>
      </c>
      <c r="L95" s="13"/>
      <c r="M95" s="13"/>
      <c r="N95" s="13"/>
      <c r="O95" s="13"/>
      <c r="P95" s="152"/>
      <c r="Q95" s="149"/>
      <c r="R95" s="152"/>
      <c r="S95" s="152"/>
      <c r="T95" s="62" t="str">
        <f aca="false">IF(OR($C95="",R95=""),"",IF(R95/IF($R$2="",100,$R$2)&gt;=設定!$I$28,設定!$G$8,IF(R95/IF($R$2="",100,$R$2)&lt;設定!$I$29,設定!$G$10,設定!$G$9)))</f>
        <v/>
      </c>
      <c r="U95" s="62" t="str">
        <f aca="false">IF(OR($C95="",S95=""),"",IF(S95/IF($S$2="",100,$S$2)&gt;=設定!$I$28,設定!$G$8,IF(S95/IF($S$2="",100,$S$2)&lt;設定!$I$29,設定!$G$10,設定!$G$9)))</f>
        <v/>
      </c>
    </row>
    <row r="96" customFormat="false" ht="21" hidden="false" customHeight="true" outlineLevel="0" collapsed="false">
      <c r="A96" s="91" t="str">
        <f aca="false">IF(名簿!$D96="","",名簿!$B96&amp;"")</f>
        <v/>
      </c>
      <c r="B96" s="91" t="str">
        <f aca="false">IF(名簿!$D96="","",名簿!$C96)</f>
        <v/>
      </c>
      <c r="C96" s="59" t="str">
        <f aca="false">IF(名簿!$D96="","",名簿!$D96&amp;IF(名簿!$F96="転出","（転出）",""))</f>
        <v/>
      </c>
      <c r="D96" s="149"/>
      <c r="E96" s="61" t="str">
        <f aca="false">IF(OR($C96="",名簿!$F96="転出"),"",IF($C$2="学級ごと",$A96,IF($C$2="前の単元と同じ",単元11!$E96&amp;"",$D96&amp;"")))</f>
        <v/>
      </c>
      <c r="F96" s="150"/>
      <c r="G96" s="150"/>
      <c r="H96" s="150"/>
      <c r="I96" s="151"/>
      <c r="J96" s="41" t="str">
        <f aca="false">IF($E96="","",$E96&amp;"|"&amp;COUNTIF($E$5:$E96,$E96))</f>
        <v/>
      </c>
      <c r="K96" s="40" t="str">
        <f aca="false">IF($I96="","",LEN($I96))</f>
        <v/>
      </c>
      <c r="L96" s="13"/>
      <c r="M96" s="13"/>
      <c r="N96" s="13"/>
      <c r="O96" s="13"/>
      <c r="P96" s="152"/>
      <c r="Q96" s="149"/>
      <c r="R96" s="152"/>
      <c r="S96" s="152"/>
      <c r="T96" s="62" t="str">
        <f aca="false">IF(OR($C96="",R96=""),"",IF(R96/IF($R$2="",100,$R$2)&gt;=設定!$I$28,設定!$G$8,IF(R96/IF($R$2="",100,$R$2)&lt;設定!$I$29,設定!$G$10,設定!$G$9)))</f>
        <v/>
      </c>
      <c r="U96" s="62" t="str">
        <f aca="false">IF(OR($C96="",S96=""),"",IF(S96/IF($S$2="",100,$S$2)&gt;=設定!$I$28,設定!$G$8,IF(S96/IF($S$2="",100,$S$2)&lt;設定!$I$29,設定!$G$10,設定!$G$9)))</f>
        <v/>
      </c>
    </row>
    <row r="97" customFormat="false" ht="21" hidden="false" customHeight="true" outlineLevel="0" collapsed="false">
      <c r="A97" s="91" t="str">
        <f aca="false">IF(名簿!$D97="","",名簿!$B97&amp;"")</f>
        <v/>
      </c>
      <c r="B97" s="91" t="str">
        <f aca="false">IF(名簿!$D97="","",名簿!$C97)</f>
        <v/>
      </c>
      <c r="C97" s="59" t="str">
        <f aca="false">IF(名簿!$D97="","",名簿!$D97&amp;IF(名簿!$F97="転出","（転出）",""))</f>
        <v/>
      </c>
      <c r="D97" s="149"/>
      <c r="E97" s="61" t="str">
        <f aca="false">IF(OR($C97="",名簿!$F97="転出"),"",IF($C$2="学級ごと",$A97,IF($C$2="前の単元と同じ",単元11!$E97&amp;"",$D97&amp;"")))</f>
        <v/>
      </c>
      <c r="F97" s="150"/>
      <c r="G97" s="150"/>
      <c r="H97" s="150"/>
      <c r="I97" s="151"/>
      <c r="J97" s="41" t="str">
        <f aca="false">IF($E97="","",$E97&amp;"|"&amp;COUNTIF($E$5:$E97,$E97))</f>
        <v/>
      </c>
      <c r="K97" s="40" t="str">
        <f aca="false">IF($I97="","",LEN($I97))</f>
        <v/>
      </c>
      <c r="L97" s="13"/>
      <c r="M97" s="13"/>
      <c r="N97" s="13"/>
      <c r="O97" s="13"/>
      <c r="P97" s="152"/>
      <c r="Q97" s="149"/>
      <c r="R97" s="152"/>
      <c r="S97" s="152"/>
      <c r="T97" s="62" t="str">
        <f aca="false">IF(OR($C97="",R97=""),"",IF(R97/IF($R$2="",100,$R$2)&gt;=設定!$I$28,設定!$G$8,IF(R97/IF($R$2="",100,$R$2)&lt;設定!$I$29,設定!$G$10,設定!$G$9)))</f>
        <v/>
      </c>
      <c r="U97" s="62" t="str">
        <f aca="false">IF(OR($C97="",S97=""),"",IF(S97/IF($S$2="",100,$S$2)&gt;=設定!$I$28,設定!$G$8,IF(S97/IF($S$2="",100,$S$2)&lt;設定!$I$29,設定!$G$10,設定!$G$9)))</f>
        <v/>
      </c>
    </row>
    <row r="98" customFormat="false" ht="21" hidden="false" customHeight="true" outlineLevel="0" collapsed="false">
      <c r="A98" s="91" t="str">
        <f aca="false">IF(名簿!$D98="","",名簿!$B98&amp;"")</f>
        <v/>
      </c>
      <c r="B98" s="91" t="str">
        <f aca="false">IF(名簿!$D98="","",名簿!$C98)</f>
        <v/>
      </c>
      <c r="C98" s="59" t="str">
        <f aca="false">IF(名簿!$D98="","",名簿!$D98&amp;IF(名簿!$F98="転出","（転出）",""))</f>
        <v/>
      </c>
      <c r="D98" s="149"/>
      <c r="E98" s="61" t="str">
        <f aca="false">IF(OR($C98="",名簿!$F98="転出"),"",IF($C$2="学級ごと",$A98,IF($C$2="前の単元と同じ",単元11!$E98&amp;"",$D98&amp;"")))</f>
        <v/>
      </c>
      <c r="F98" s="150"/>
      <c r="G98" s="150"/>
      <c r="H98" s="150"/>
      <c r="I98" s="151"/>
      <c r="J98" s="41" t="str">
        <f aca="false">IF($E98="","",$E98&amp;"|"&amp;COUNTIF($E$5:$E98,$E98))</f>
        <v/>
      </c>
      <c r="K98" s="40" t="str">
        <f aca="false">IF($I98="","",LEN($I98))</f>
        <v/>
      </c>
      <c r="L98" s="13"/>
      <c r="M98" s="13"/>
      <c r="N98" s="13"/>
      <c r="O98" s="13"/>
      <c r="P98" s="152"/>
      <c r="Q98" s="149"/>
      <c r="R98" s="152"/>
      <c r="S98" s="152"/>
      <c r="T98" s="62" t="str">
        <f aca="false">IF(OR($C98="",R98=""),"",IF(R98/IF($R$2="",100,$R$2)&gt;=設定!$I$28,設定!$G$8,IF(R98/IF($R$2="",100,$R$2)&lt;設定!$I$29,設定!$G$10,設定!$G$9)))</f>
        <v/>
      </c>
      <c r="U98" s="62" t="str">
        <f aca="false">IF(OR($C98="",S98=""),"",IF(S98/IF($S$2="",100,$S$2)&gt;=設定!$I$28,設定!$G$8,IF(S98/IF($S$2="",100,$S$2)&lt;設定!$I$29,設定!$G$10,設定!$G$9)))</f>
        <v/>
      </c>
    </row>
    <row r="99" customFormat="false" ht="21" hidden="false" customHeight="true" outlineLevel="0" collapsed="false">
      <c r="A99" s="91" t="str">
        <f aca="false">IF(名簿!$D99="","",名簿!$B99&amp;"")</f>
        <v/>
      </c>
      <c r="B99" s="91" t="str">
        <f aca="false">IF(名簿!$D99="","",名簿!$C99)</f>
        <v/>
      </c>
      <c r="C99" s="59" t="str">
        <f aca="false">IF(名簿!$D99="","",名簿!$D99&amp;IF(名簿!$F99="転出","（転出）",""))</f>
        <v/>
      </c>
      <c r="D99" s="149"/>
      <c r="E99" s="61" t="str">
        <f aca="false">IF(OR($C99="",名簿!$F99="転出"),"",IF($C$2="学級ごと",$A99,IF($C$2="前の単元と同じ",単元11!$E99&amp;"",$D99&amp;"")))</f>
        <v/>
      </c>
      <c r="F99" s="150"/>
      <c r="G99" s="150"/>
      <c r="H99" s="150"/>
      <c r="I99" s="151"/>
      <c r="J99" s="41" t="str">
        <f aca="false">IF($E99="","",$E99&amp;"|"&amp;COUNTIF($E$5:$E99,$E99))</f>
        <v/>
      </c>
      <c r="K99" s="40" t="str">
        <f aca="false">IF($I99="","",LEN($I99))</f>
        <v/>
      </c>
      <c r="L99" s="13"/>
      <c r="M99" s="13"/>
      <c r="N99" s="13"/>
      <c r="O99" s="13"/>
      <c r="P99" s="152"/>
      <c r="Q99" s="149"/>
      <c r="R99" s="152"/>
      <c r="S99" s="152"/>
      <c r="T99" s="62" t="str">
        <f aca="false">IF(OR($C99="",R99=""),"",IF(R99/IF($R$2="",100,$R$2)&gt;=設定!$I$28,設定!$G$8,IF(R99/IF($R$2="",100,$R$2)&lt;設定!$I$29,設定!$G$10,設定!$G$9)))</f>
        <v/>
      </c>
      <c r="U99" s="62" t="str">
        <f aca="false">IF(OR($C99="",S99=""),"",IF(S99/IF($S$2="",100,$S$2)&gt;=設定!$I$28,設定!$G$8,IF(S99/IF($S$2="",100,$S$2)&lt;設定!$I$29,設定!$G$10,設定!$G$9)))</f>
        <v/>
      </c>
    </row>
    <row r="100" customFormat="false" ht="21" hidden="false" customHeight="true" outlineLevel="0" collapsed="false">
      <c r="A100" s="91" t="str">
        <f aca="false">IF(名簿!$D100="","",名簿!$B100&amp;"")</f>
        <v/>
      </c>
      <c r="B100" s="91" t="str">
        <f aca="false">IF(名簿!$D100="","",名簿!$C100)</f>
        <v/>
      </c>
      <c r="C100" s="59" t="str">
        <f aca="false">IF(名簿!$D100="","",名簿!$D100&amp;IF(名簿!$F100="転出","（転出）",""))</f>
        <v/>
      </c>
      <c r="D100" s="149"/>
      <c r="E100" s="61" t="str">
        <f aca="false">IF(OR($C100="",名簿!$F100="転出"),"",IF($C$2="学級ごと",$A100,IF($C$2="前の単元と同じ",単元11!$E100&amp;"",$D100&amp;"")))</f>
        <v/>
      </c>
      <c r="F100" s="150"/>
      <c r="G100" s="150"/>
      <c r="H100" s="150"/>
      <c r="I100" s="151"/>
      <c r="J100" s="41" t="str">
        <f aca="false">IF($E100="","",$E100&amp;"|"&amp;COUNTIF($E$5:$E100,$E100))</f>
        <v/>
      </c>
      <c r="K100" s="40" t="str">
        <f aca="false">IF($I100="","",LEN($I100))</f>
        <v/>
      </c>
      <c r="L100" s="13"/>
      <c r="M100" s="13"/>
      <c r="N100" s="13"/>
      <c r="O100" s="13"/>
      <c r="P100" s="152"/>
      <c r="Q100" s="149"/>
      <c r="R100" s="152"/>
      <c r="S100" s="152"/>
      <c r="T100" s="62" t="str">
        <f aca="false">IF(OR($C100="",R100=""),"",IF(R100/IF($R$2="",100,$R$2)&gt;=設定!$I$28,設定!$G$8,IF(R100/IF($R$2="",100,$R$2)&lt;設定!$I$29,設定!$G$10,設定!$G$9)))</f>
        <v/>
      </c>
      <c r="U100" s="62" t="str">
        <f aca="false">IF(OR($C100="",S100=""),"",IF(S100/IF($S$2="",100,$S$2)&gt;=設定!$I$28,設定!$G$8,IF(S100/IF($S$2="",100,$S$2)&lt;設定!$I$29,設定!$G$10,設定!$G$9)))</f>
        <v/>
      </c>
    </row>
    <row r="101" customFormat="false" ht="21" hidden="false" customHeight="true" outlineLevel="0" collapsed="false">
      <c r="A101" s="91" t="str">
        <f aca="false">IF(名簿!$D101="","",名簿!$B101&amp;"")</f>
        <v/>
      </c>
      <c r="B101" s="91" t="str">
        <f aca="false">IF(名簿!$D101="","",名簿!$C101)</f>
        <v/>
      </c>
      <c r="C101" s="59" t="str">
        <f aca="false">IF(名簿!$D101="","",名簿!$D101&amp;IF(名簿!$F101="転出","（転出）",""))</f>
        <v/>
      </c>
      <c r="D101" s="149"/>
      <c r="E101" s="61" t="str">
        <f aca="false">IF(OR($C101="",名簿!$F101="転出"),"",IF($C$2="学級ごと",$A101,IF($C$2="前の単元と同じ",単元11!$E101&amp;"",$D101&amp;"")))</f>
        <v/>
      </c>
      <c r="F101" s="150"/>
      <c r="G101" s="150"/>
      <c r="H101" s="150"/>
      <c r="I101" s="151"/>
      <c r="J101" s="41" t="str">
        <f aca="false">IF($E101="","",$E101&amp;"|"&amp;COUNTIF($E$5:$E101,$E101))</f>
        <v/>
      </c>
      <c r="K101" s="40" t="str">
        <f aca="false">IF($I101="","",LEN($I101))</f>
        <v/>
      </c>
      <c r="L101" s="13"/>
      <c r="M101" s="13"/>
      <c r="N101" s="13"/>
      <c r="O101" s="13"/>
      <c r="P101" s="152"/>
      <c r="Q101" s="149"/>
      <c r="R101" s="152"/>
      <c r="S101" s="152"/>
      <c r="T101" s="62" t="str">
        <f aca="false">IF(OR($C101="",R101=""),"",IF(R101/IF($R$2="",100,$R$2)&gt;=設定!$I$28,設定!$G$8,IF(R101/IF($R$2="",100,$R$2)&lt;設定!$I$29,設定!$G$10,設定!$G$9)))</f>
        <v/>
      </c>
      <c r="U101" s="62" t="str">
        <f aca="false">IF(OR($C101="",S101=""),"",IF(S101/IF($S$2="",100,$S$2)&gt;=設定!$I$28,設定!$G$8,IF(S101/IF($S$2="",100,$S$2)&lt;設定!$I$29,設定!$G$10,設定!$G$9)))</f>
        <v/>
      </c>
    </row>
    <row r="102" customFormat="false" ht="21" hidden="false" customHeight="true" outlineLevel="0" collapsed="false">
      <c r="A102" s="91" t="str">
        <f aca="false">IF(名簿!$D102="","",名簿!$B102&amp;"")</f>
        <v/>
      </c>
      <c r="B102" s="91" t="str">
        <f aca="false">IF(名簿!$D102="","",名簿!$C102)</f>
        <v/>
      </c>
      <c r="C102" s="59" t="str">
        <f aca="false">IF(名簿!$D102="","",名簿!$D102&amp;IF(名簿!$F102="転出","（転出）",""))</f>
        <v/>
      </c>
      <c r="D102" s="149"/>
      <c r="E102" s="61" t="str">
        <f aca="false">IF(OR($C102="",名簿!$F102="転出"),"",IF($C$2="学級ごと",$A102,IF($C$2="前の単元と同じ",単元11!$E102&amp;"",$D102&amp;"")))</f>
        <v/>
      </c>
      <c r="F102" s="150"/>
      <c r="G102" s="150"/>
      <c r="H102" s="150"/>
      <c r="I102" s="151"/>
      <c r="J102" s="41" t="str">
        <f aca="false">IF($E102="","",$E102&amp;"|"&amp;COUNTIF($E$5:$E102,$E102))</f>
        <v/>
      </c>
      <c r="K102" s="40" t="str">
        <f aca="false">IF($I102="","",LEN($I102))</f>
        <v/>
      </c>
      <c r="L102" s="13"/>
      <c r="M102" s="13"/>
      <c r="N102" s="13"/>
      <c r="O102" s="13"/>
      <c r="P102" s="152"/>
      <c r="Q102" s="149"/>
      <c r="R102" s="152"/>
      <c r="S102" s="152"/>
      <c r="T102" s="62" t="str">
        <f aca="false">IF(OR($C102="",R102=""),"",IF(R102/IF($R$2="",100,$R$2)&gt;=設定!$I$28,設定!$G$8,IF(R102/IF($R$2="",100,$R$2)&lt;設定!$I$29,設定!$G$10,設定!$G$9)))</f>
        <v/>
      </c>
      <c r="U102" s="62" t="str">
        <f aca="false">IF(OR($C102="",S102=""),"",IF(S102/IF($S$2="",100,$S$2)&gt;=設定!$I$28,設定!$G$8,IF(S102/IF($S$2="",100,$S$2)&lt;設定!$I$29,設定!$G$10,設定!$G$9)))</f>
        <v/>
      </c>
    </row>
    <row r="103" customFormat="false" ht="21" hidden="false" customHeight="true" outlineLevel="0" collapsed="false">
      <c r="A103" s="91" t="str">
        <f aca="false">IF(名簿!$D103="","",名簿!$B103&amp;"")</f>
        <v/>
      </c>
      <c r="B103" s="91" t="str">
        <f aca="false">IF(名簿!$D103="","",名簿!$C103)</f>
        <v/>
      </c>
      <c r="C103" s="59" t="str">
        <f aca="false">IF(名簿!$D103="","",名簿!$D103&amp;IF(名簿!$F103="転出","（転出）",""))</f>
        <v/>
      </c>
      <c r="D103" s="149"/>
      <c r="E103" s="61" t="str">
        <f aca="false">IF(OR($C103="",名簿!$F103="転出"),"",IF($C$2="学級ごと",$A103,IF($C$2="前の単元と同じ",単元11!$E103&amp;"",$D103&amp;"")))</f>
        <v/>
      </c>
      <c r="F103" s="150"/>
      <c r="G103" s="150"/>
      <c r="H103" s="150"/>
      <c r="I103" s="151"/>
      <c r="J103" s="41" t="str">
        <f aca="false">IF($E103="","",$E103&amp;"|"&amp;COUNTIF($E$5:$E103,$E103))</f>
        <v/>
      </c>
      <c r="K103" s="40" t="str">
        <f aca="false">IF($I103="","",LEN($I103))</f>
        <v/>
      </c>
      <c r="L103" s="13"/>
      <c r="M103" s="13"/>
      <c r="N103" s="13"/>
      <c r="O103" s="13"/>
      <c r="P103" s="152"/>
      <c r="Q103" s="149"/>
      <c r="R103" s="152"/>
      <c r="S103" s="152"/>
      <c r="T103" s="62" t="str">
        <f aca="false">IF(OR($C103="",R103=""),"",IF(R103/IF($R$2="",100,$R$2)&gt;=設定!$I$28,設定!$G$8,IF(R103/IF($R$2="",100,$R$2)&lt;設定!$I$29,設定!$G$10,設定!$G$9)))</f>
        <v/>
      </c>
      <c r="U103" s="62" t="str">
        <f aca="false">IF(OR($C103="",S103=""),"",IF(S103/IF($S$2="",100,$S$2)&gt;=設定!$I$28,設定!$G$8,IF(S103/IF($S$2="",100,$S$2)&lt;設定!$I$29,設定!$G$10,設定!$G$9)))</f>
        <v/>
      </c>
    </row>
    <row r="104" customFormat="false" ht="21" hidden="false" customHeight="true" outlineLevel="0" collapsed="false">
      <c r="A104" s="91" t="str">
        <f aca="false">IF(名簿!$D104="","",名簿!$B104&amp;"")</f>
        <v/>
      </c>
      <c r="B104" s="91" t="str">
        <f aca="false">IF(名簿!$D104="","",名簿!$C104)</f>
        <v/>
      </c>
      <c r="C104" s="59" t="str">
        <f aca="false">IF(名簿!$D104="","",名簿!$D104&amp;IF(名簿!$F104="転出","（転出）",""))</f>
        <v/>
      </c>
      <c r="D104" s="149"/>
      <c r="E104" s="61" t="str">
        <f aca="false">IF(OR($C104="",名簿!$F104="転出"),"",IF($C$2="学級ごと",$A104,IF($C$2="前の単元と同じ",単元11!$E104&amp;"",$D104&amp;"")))</f>
        <v/>
      </c>
      <c r="F104" s="150"/>
      <c r="G104" s="150"/>
      <c r="H104" s="150"/>
      <c r="I104" s="151"/>
      <c r="J104" s="41" t="str">
        <f aca="false">IF($E104="","",$E104&amp;"|"&amp;COUNTIF($E$5:$E104,$E104))</f>
        <v/>
      </c>
      <c r="K104" s="40" t="str">
        <f aca="false">IF($I104="","",LEN($I104))</f>
        <v/>
      </c>
      <c r="L104" s="13"/>
      <c r="M104" s="13"/>
      <c r="N104" s="13"/>
      <c r="O104" s="13"/>
      <c r="P104" s="152"/>
      <c r="Q104" s="149"/>
      <c r="R104" s="152"/>
      <c r="S104" s="152"/>
      <c r="T104" s="62" t="str">
        <f aca="false">IF(OR($C104="",R104=""),"",IF(R104/IF($R$2="",100,$R$2)&gt;=設定!$I$28,設定!$G$8,IF(R104/IF($R$2="",100,$R$2)&lt;設定!$I$29,設定!$G$10,設定!$G$9)))</f>
        <v/>
      </c>
      <c r="U104" s="62" t="str">
        <f aca="false">IF(OR($C104="",S104=""),"",IF(S104/IF($S$2="",100,$S$2)&gt;=設定!$I$28,設定!$G$8,IF(S104/IF($S$2="",100,$S$2)&lt;設定!$I$29,設定!$G$10,設定!$G$9)))</f>
        <v/>
      </c>
    </row>
    <row r="105" customFormat="false" ht="21" hidden="false" customHeight="true" outlineLevel="0" collapsed="false">
      <c r="A105" s="91" t="str">
        <f aca="false">IF(名簿!$D105="","",名簿!$B105&amp;"")</f>
        <v/>
      </c>
      <c r="B105" s="91" t="str">
        <f aca="false">IF(名簿!$D105="","",名簿!$C105)</f>
        <v/>
      </c>
      <c r="C105" s="59" t="str">
        <f aca="false">IF(名簿!$D105="","",名簿!$D105&amp;IF(名簿!$F105="転出","（転出）",""))</f>
        <v/>
      </c>
      <c r="D105" s="149"/>
      <c r="E105" s="61" t="str">
        <f aca="false">IF(OR($C105="",名簿!$F105="転出"),"",IF($C$2="学級ごと",$A105,IF($C$2="前の単元と同じ",単元11!$E105&amp;"",$D105&amp;"")))</f>
        <v/>
      </c>
      <c r="F105" s="150"/>
      <c r="G105" s="150"/>
      <c r="H105" s="150"/>
      <c r="I105" s="151"/>
      <c r="J105" s="41" t="str">
        <f aca="false">IF($E105="","",$E105&amp;"|"&amp;COUNTIF($E$5:$E105,$E105))</f>
        <v/>
      </c>
      <c r="K105" s="40" t="str">
        <f aca="false">IF($I105="","",LEN($I105))</f>
        <v/>
      </c>
      <c r="L105" s="13"/>
      <c r="M105" s="13"/>
      <c r="N105" s="13"/>
      <c r="O105" s="13"/>
      <c r="P105" s="152"/>
      <c r="Q105" s="149"/>
      <c r="R105" s="152"/>
      <c r="S105" s="152"/>
      <c r="T105" s="62" t="str">
        <f aca="false">IF(OR($C105="",R105=""),"",IF(R105/IF($R$2="",100,$R$2)&gt;=設定!$I$28,設定!$G$8,IF(R105/IF($R$2="",100,$R$2)&lt;設定!$I$29,設定!$G$10,設定!$G$9)))</f>
        <v/>
      </c>
      <c r="U105" s="62" t="str">
        <f aca="false">IF(OR($C105="",S105=""),"",IF(S105/IF($S$2="",100,$S$2)&gt;=設定!$I$28,設定!$G$8,IF(S105/IF($S$2="",100,$S$2)&lt;設定!$I$29,設定!$G$10,設定!$G$9)))</f>
        <v/>
      </c>
    </row>
    <row r="106" customFormat="false" ht="21" hidden="false" customHeight="true" outlineLevel="0" collapsed="false">
      <c r="A106" s="91" t="str">
        <f aca="false">IF(名簿!$D106="","",名簿!$B106&amp;"")</f>
        <v/>
      </c>
      <c r="B106" s="91" t="str">
        <f aca="false">IF(名簿!$D106="","",名簿!$C106)</f>
        <v/>
      </c>
      <c r="C106" s="59" t="str">
        <f aca="false">IF(名簿!$D106="","",名簿!$D106&amp;IF(名簿!$F106="転出","（転出）",""))</f>
        <v/>
      </c>
      <c r="D106" s="149"/>
      <c r="E106" s="61" t="str">
        <f aca="false">IF(OR($C106="",名簿!$F106="転出"),"",IF($C$2="学級ごと",$A106,IF($C$2="前の単元と同じ",単元11!$E106&amp;"",$D106&amp;"")))</f>
        <v/>
      </c>
      <c r="F106" s="150"/>
      <c r="G106" s="150"/>
      <c r="H106" s="150"/>
      <c r="I106" s="151"/>
      <c r="J106" s="41" t="str">
        <f aca="false">IF($E106="","",$E106&amp;"|"&amp;COUNTIF($E$5:$E106,$E106))</f>
        <v/>
      </c>
      <c r="K106" s="40" t="str">
        <f aca="false">IF($I106="","",LEN($I106))</f>
        <v/>
      </c>
      <c r="L106" s="13"/>
      <c r="M106" s="13"/>
      <c r="N106" s="13"/>
      <c r="O106" s="13"/>
      <c r="P106" s="152"/>
      <c r="Q106" s="149"/>
      <c r="R106" s="152"/>
      <c r="S106" s="152"/>
      <c r="T106" s="62" t="str">
        <f aca="false">IF(OR($C106="",R106=""),"",IF(R106/IF($R$2="",100,$R$2)&gt;=設定!$I$28,設定!$G$8,IF(R106/IF($R$2="",100,$R$2)&lt;設定!$I$29,設定!$G$10,設定!$G$9)))</f>
        <v/>
      </c>
      <c r="U106" s="62" t="str">
        <f aca="false">IF(OR($C106="",S106=""),"",IF(S106/IF($S$2="",100,$S$2)&gt;=設定!$I$28,設定!$G$8,IF(S106/IF($S$2="",100,$S$2)&lt;設定!$I$29,設定!$G$10,設定!$G$9)))</f>
        <v/>
      </c>
    </row>
    <row r="107" customFormat="false" ht="21" hidden="false" customHeight="true" outlineLevel="0" collapsed="false">
      <c r="A107" s="91" t="str">
        <f aca="false">IF(名簿!$D107="","",名簿!$B107&amp;"")</f>
        <v/>
      </c>
      <c r="B107" s="91" t="str">
        <f aca="false">IF(名簿!$D107="","",名簿!$C107)</f>
        <v/>
      </c>
      <c r="C107" s="59" t="str">
        <f aca="false">IF(名簿!$D107="","",名簿!$D107&amp;IF(名簿!$F107="転出","（転出）",""))</f>
        <v/>
      </c>
      <c r="D107" s="149"/>
      <c r="E107" s="61" t="str">
        <f aca="false">IF(OR($C107="",名簿!$F107="転出"),"",IF($C$2="学級ごと",$A107,IF($C$2="前の単元と同じ",単元11!$E107&amp;"",$D107&amp;"")))</f>
        <v/>
      </c>
      <c r="F107" s="150"/>
      <c r="G107" s="150"/>
      <c r="H107" s="150"/>
      <c r="I107" s="151"/>
      <c r="J107" s="41" t="str">
        <f aca="false">IF($E107="","",$E107&amp;"|"&amp;COUNTIF($E$5:$E107,$E107))</f>
        <v/>
      </c>
      <c r="K107" s="40" t="str">
        <f aca="false">IF($I107="","",LEN($I107))</f>
        <v/>
      </c>
      <c r="L107" s="13"/>
      <c r="M107" s="13"/>
      <c r="N107" s="13"/>
      <c r="O107" s="13"/>
      <c r="P107" s="152"/>
      <c r="Q107" s="149"/>
      <c r="R107" s="152"/>
      <c r="S107" s="152"/>
      <c r="T107" s="62" t="str">
        <f aca="false">IF(OR($C107="",R107=""),"",IF(R107/IF($R$2="",100,$R$2)&gt;=設定!$I$28,設定!$G$8,IF(R107/IF($R$2="",100,$R$2)&lt;設定!$I$29,設定!$G$10,設定!$G$9)))</f>
        <v/>
      </c>
      <c r="U107" s="62" t="str">
        <f aca="false">IF(OR($C107="",S107=""),"",IF(S107/IF($S$2="",100,$S$2)&gt;=設定!$I$28,設定!$G$8,IF(S107/IF($S$2="",100,$S$2)&lt;設定!$I$29,設定!$G$10,設定!$G$9)))</f>
        <v/>
      </c>
    </row>
    <row r="108" customFormat="false" ht="21" hidden="false" customHeight="true" outlineLevel="0" collapsed="false">
      <c r="A108" s="91" t="str">
        <f aca="false">IF(名簿!$D108="","",名簿!$B108&amp;"")</f>
        <v/>
      </c>
      <c r="B108" s="91" t="str">
        <f aca="false">IF(名簿!$D108="","",名簿!$C108)</f>
        <v/>
      </c>
      <c r="C108" s="59" t="str">
        <f aca="false">IF(名簿!$D108="","",名簿!$D108&amp;IF(名簿!$F108="転出","（転出）",""))</f>
        <v/>
      </c>
      <c r="D108" s="149"/>
      <c r="E108" s="61" t="str">
        <f aca="false">IF(OR($C108="",名簿!$F108="転出"),"",IF($C$2="学級ごと",$A108,IF($C$2="前の単元と同じ",単元11!$E108&amp;"",$D108&amp;"")))</f>
        <v/>
      </c>
      <c r="F108" s="150"/>
      <c r="G108" s="150"/>
      <c r="H108" s="150"/>
      <c r="I108" s="151"/>
      <c r="J108" s="41" t="str">
        <f aca="false">IF($E108="","",$E108&amp;"|"&amp;COUNTIF($E$5:$E108,$E108))</f>
        <v/>
      </c>
      <c r="K108" s="40" t="str">
        <f aca="false">IF($I108="","",LEN($I108))</f>
        <v/>
      </c>
      <c r="L108" s="13"/>
      <c r="M108" s="13"/>
      <c r="N108" s="13"/>
      <c r="O108" s="13"/>
      <c r="P108" s="152"/>
      <c r="Q108" s="149"/>
      <c r="R108" s="152"/>
      <c r="S108" s="152"/>
      <c r="T108" s="62" t="str">
        <f aca="false">IF(OR($C108="",R108=""),"",IF(R108/IF($R$2="",100,$R$2)&gt;=設定!$I$28,設定!$G$8,IF(R108/IF($R$2="",100,$R$2)&lt;設定!$I$29,設定!$G$10,設定!$G$9)))</f>
        <v/>
      </c>
      <c r="U108" s="62" t="str">
        <f aca="false">IF(OR($C108="",S108=""),"",IF(S108/IF($S$2="",100,$S$2)&gt;=設定!$I$28,設定!$G$8,IF(S108/IF($S$2="",100,$S$2)&lt;設定!$I$29,設定!$G$10,設定!$G$9)))</f>
        <v/>
      </c>
    </row>
    <row r="109" customFormat="false" ht="21" hidden="false" customHeight="true" outlineLevel="0" collapsed="false">
      <c r="A109" s="91" t="str">
        <f aca="false">IF(名簿!$D109="","",名簿!$B109&amp;"")</f>
        <v/>
      </c>
      <c r="B109" s="91" t="str">
        <f aca="false">IF(名簿!$D109="","",名簿!$C109)</f>
        <v/>
      </c>
      <c r="C109" s="59" t="str">
        <f aca="false">IF(名簿!$D109="","",名簿!$D109&amp;IF(名簿!$F109="転出","（転出）",""))</f>
        <v/>
      </c>
      <c r="D109" s="149"/>
      <c r="E109" s="61" t="str">
        <f aca="false">IF(OR($C109="",名簿!$F109="転出"),"",IF($C$2="学級ごと",$A109,IF($C$2="前の単元と同じ",単元11!$E109&amp;"",$D109&amp;"")))</f>
        <v/>
      </c>
      <c r="F109" s="150"/>
      <c r="G109" s="150"/>
      <c r="H109" s="150"/>
      <c r="I109" s="151"/>
      <c r="J109" s="41" t="str">
        <f aca="false">IF($E109="","",$E109&amp;"|"&amp;COUNTIF($E$5:$E109,$E109))</f>
        <v/>
      </c>
      <c r="K109" s="40" t="str">
        <f aca="false">IF($I109="","",LEN($I109))</f>
        <v/>
      </c>
      <c r="L109" s="13"/>
      <c r="M109" s="13"/>
      <c r="N109" s="13"/>
      <c r="O109" s="13"/>
      <c r="P109" s="152"/>
      <c r="Q109" s="149"/>
      <c r="R109" s="152"/>
      <c r="S109" s="152"/>
      <c r="T109" s="62" t="str">
        <f aca="false">IF(OR($C109="",R109=""),"",IF(R109/IF($R$2="",100,$R$2)&gt;=設定!$I$28,設定!$G$8,IF(R109/IF($R$2="",100,$R$2)&lt;設定!$I$29,設定!$G$10,設定!$G$9)))</f>
        <v/>
      </c>
      <c r="U109" s="62" t="str">
        <f aca="false">IF(OR($C109="",S109=""),"",IF(S109/IF($S$2="",100,$S$2)&gt;=設定!$I$28,設定!$G$8,IF(S109/IF($S$2="",100,$S$2)&lt;設定!$I$29,設定!$G$10,設定!$G$9)))</f>
        <v/>
      </c>
    </row>
    <row r="110" customFormat="false" ht="21" hidden="false" customHeight="true" outlineLevel="0" collapsed="false">
      <c r="A110" s="91" t="str">
        <f aca="false">IF(名簿!$D110="","",名簿!$B110&amp;"")</f>
        <v/>
      </c>
      <c r="B110" s="91" t="str">
        <f aca="false">IF(名簿!$D110="","",名簿!$C110)</f>
        <v/>
      </c>
      <c r="C110" s="59" t="str">
        <f aca="false">IF(名簿!$D110="","",名簿!$D110&amp;IF(名簿!$F110="転出","（転出）",""))</f>
        <v/>
      </c>
      <c r="D110" s="149"/>
      <c r="E110" s="61" t="str">
        <f aca="false">IF(OR($C110="",名簿!$F110="転出"),"",IF($C$2="学級ごと",$A110,IF($C$2="前の単元と同じ",単元11!$E110&amp;"",$D110&amp;"")))</f>
        <v/>
      </c>
      <c r="F110" s="150"/>
      <c r="G110" s="150"/>
      <c r="H110" s="150"/>
      <c r="I110" s="151"/>
      <c r="J110" s="41" t="str">
        <f aca="false">IF($E110="","",$E110&amp;"|"&amp;COUNTIF($E$5:$E110,$E110))</f>
        <v/>
      </c>
      <c r="K110" s="40" t="str">
        <f aca="false">IF($I110="","",LEN($I110))</f>
        <v/>
      </c>
      <c r="L110" s="13"/>
      <c r="M110" s="13"/>
      <c r="N110" s="13"/>
      <c r="O110" s="13"/>
      <c r="P110" s="152"/>
      <c r="Q110" s="149"/>
      <c r="R110" s="152"/>
      <c r="S110" s="152"/>
      <c r="T110" s="62" t="str">
        <f aca="false">IF(OR($C110="",R110=""),"",IF(R110/IF($R$2="",100,$R$2)&gt;=設定!$I$28,設定!$G$8,IF(R110/IF($R$2="",100,$R$2)&lt;設定!$I$29,設定!$G$10,設定!$G$9)))</f>
        <v/>
      </c>
      <c r="U110" s="62" t="str">
        <f aca="false">IF(OR($C110="",S110=""),"",IF(S110/IF($S$2="",100,$S$2)&gt;=設定!$I$28,設定!$G$8,IF(S110/IF($S$2="",100,$S$2)&lt;設定!$I$29,設定!$G$10,設定!$G$9)))</f>
        <v/>
      </c>
    </row>
    <row r="111" customFormat="false" ht="21" hidden="false" customHeight="true" outlineLevel="0" collapsed="false">
      <c r="A111" s="91" t="str">
        <f aca="false">IF(名簿!$D111="","",名簿!$B111&amp;"")</f>
        <v/>
      </c>
      <c r="B111" s="91" t="str">
        <f aca="false">IF(名簿!$D111="","",名簿!$C111)</f>
        <v/>
      </c>
      <c r="C111" s="59" t="str">
        <f aca="false">IF(名簿!$D111="","",名簿!$D111&amp;IF(名簿!$F111="転出","（転出）",""))</f>
        <v/>
      </c>
      <c r="D111" s="149"/>
      <c r="E111" s="61" t="str">
        <f aca="false">IF(OR($C111="",名簿!$F111="転出"),"",IF($C$2="学級ごと",$A111,IF($C$2="前の単元と同じ",単元11!$E111&amp;"",$D111&amp;"")))</f>
        <v/>
      </c>
      <c r="F111" s="150"/>
      <c r="G111" s="150"/>
      <c r="H111" s="150"/>
      <c r="I111" s="151"/>
      <c r="J111" s="41" t="str">
        <f aca="false">IF($E111="","",$E111&amp;"|"&amp;COUNTIF($E$5:$E111,$E111))</f>
        <v/>
      </c>
      <c r="K111" s="40" t="str">
        <f aca="false">IF($I111="","",LEN($I111))</f>
        <v/>
      </c>
      <c r="L111" s="13"/>
      <c r="M111" s="13"/>
      <c r="N111" s="13"/>
      <c r="O111" s="13"/>
      <c r="P111" s="152"/>
      <c r="Q111" s="149"/>
      <c r="R111" s="152"/>
      <c r="S111" s="152"/>
      <c r="T111" s="62" t="str">
        <f aca="false">IF(OR($C111="",R111=""),"",IF(R111/IF($R$2="",100,$R$2)&gt;=設定!$I$28,設定!$G$8,IF(R111/IF($R$2="",100,$R$2)&lt;設定!$I$29,設定!$G$10,設定!$G$9)))</f>
        <v/>
      </c>
      <c r="U111" s="62" t="str">
        <f aca="false">IF(OR($C111="",S111=""),"",IF(S111/IF($S$2="",100,$S$2)&gt;=設定!$I$28,設定!$G$8,IF(S111/IF($S$2="",100,$S$2)&lt;設定!$I$29,設定!$G$10,設定!$G$9)))</f>
        <v/>
      </c>
    </row>
    <row r="112" customFormat="false" ht="21" hidden="false" customHeight="true" outlineLevel="0" collapsed="false">
      <c r="A112" s="91" t="str">
        <f aca="false">IF(名簿!$D112="","",名簿!$B112&amp;"")</f>
        <v/>
      </c>
      <c r="B112" s="91" t="str">
        <f aca="false">IF(名簿!$D112="","",名簿!$C112)</f>
        <v/>
      </c>
      <c r="C112" s="59" t="str">
        <f aca="false">IF(名簿!$D112="","",名簿!$D112&amp;IF(名簿!$F112="転出","（転出）",""))</f>
        <v/>
      </c>
      <c r="D112" s="149"/>
      <c r="E112" s="61" t="str">
        <f aca="false">IF(OR($C112="",名簿!$F112="転出"),"",IF($C$2="学級ごと",$A112,IF($C$2="前の単元と同じ",単元11!$E112&amp;"",$D112&amp;"")))</f>
        <v/>
      </c>
      <c r="F112" s="150"/>
      <c r="G112" s="150"/>
      <c r="H112" s="150"/>
      <c r="I112" s="151"/>
      <c r="J112" s="41" t="str">
        <f aca="false">IF($E112="","",$E112&amp;"|"&amp;COUNTIF($E$5:$E112,$E112))</f>
        <v/>
      </c>
      <c r="K112" s="40" t="str">
        <f aca="false">IF($I112="","",LEN($I112))</f>
        <v/>
      </c>
      <c r="L112" s="13"/>
      <c r="M112" s="13"/>
      <c r="N112" s="13"/>
      <c r="O112" s="13"/>
      <c r="P112" s="152"/>
      <c r="Q112" s="149"/>
      <c r="R112" s="152"/>
      <c r="S112" s="152"/>
      <c r="T112" s="62" t="str">
        <f aca="false">IF(OR($C112="",R112=""),"",IF(R112/IF($R$2="",100,$R$2)&gt;=設定!$I$28,設定!$G$8,IF(R112/IF($R$2="",100,$R$2)&lt;設定!$I$29,設定!$G$10,設定!$G$9)))</f>
        <v/>
      </c>
      <c r="U112" s="62" t="str">
        <f aca="false">IF(OR($C112="",S112=""),"",IF(S112/IF($S$2="",100,$S$2)&gt;=設定!$I$28,設定!$G$8,IF(S112/IF($S$2="",100,$S$2)&lt;設定!$I$29,設定!$G$10,設定!$G$9)))</f>
        <v/>
      </c>
    </row>
    <row r="113" customFormat="false" ht="21" hidden="false" customHeight="true" outlineLevel="0" collapsed="false">
      <c r="A113" s="91" t="str">
        <f aca="false">IF(名簿!$D113="","",名簿!$B113&amp;"")</f>
        <v/>
      </c>
      <c r="B113" s="91" t="str">
        <f aca="false">IF(名簿!$D113="","",名簿!$C113)</f>
        <v/>
      </c>
      <c r="C113" s="59" t="str">
        <f aca="false">IF(名簿!$D113="","",名簿!$D113&amp;IF(名簿!$F113="転出","（転出）",""))</f>
        <v/>
      </c>
      <c r="D113" s="149"/>
      <c r="E113" s="61" t="str">
        <f aca="false">IF(OR($C113="",名簿!$F113="転出"),"",IF($C$2="学級ごと",$A113,IF($C$2="前の単元と同じ",単元11!$E113&amp;"",$D113&amp;"")))</f>
        <v/>
      </c>
      <c r="F113" s="150"/>
      <c r="G113" s="150"/>
      <c r="H113" s="150"/>
      <c r="I113" s="151"/>
      <c r="J113" s="41" t="str">
        <f aca="false">IF($E113="","",$E113&amp;"|"&amp;COUNTIF($E$5:$E113,$E113))</f>
        <v/>
      </c>
      <c r="K113" s="40" t="str">
        <f aca="false">IF($I113="","",LEN($I113))</f>
        <v/>
      </c>
      <c r="L113" s="13"/>
      <c r="M113" s="13"/>
      <c r="N113" s="13"/>
      <c r="O113" s="13"/>
      <c r="P113" s="152"/>
      <c r="Q113" s="149"/>
      <c r="R113" s="152"/>
      <c r="S113" s="152"/>
      <c r="T113" s="62" t="str">
        <f aca="false">IF(OR($C113="",R113=""),"",IF(R113/IF($R$2="",100,$R$2)&gt;=設定!$I$28,設定!$G$8,IF(R113/IF($R$2="",100,$R$2)&lt;設定!$I$29,設定!$G$10,設定!$G$9)))</f>
        <v/>
      </c>
      <c r="U113" s="62" t="str">
        <f aca="false">IF(OR($C113="",S113=""),"",IF(S113/IF($S$2="",100,$S$2)&gt;=設定!$I$28,設定!$G$8,IF(S113/IF($S$2="",100,$S$2)&lt;設定!$I$29,設定!$G$10,設定!$G$9)))</f>
        <v/>
      </c>
    </row>
    <row r="114" customFormat="false" ht="21" hidden="false" customHeight="true" outlineLevel="0" collapsed="false">
      <c r="A114" s="91" t="str">
        <f aca="false">IF(名簿!$D114="","",名簿!$B114&amp;"")</f>
        <v/>
      </c>
      <c r="B114" s="91" t="str">
        <f aca="false">IF(名簿!$D114="","",名簿!$C114)</f>
        <v/>
      </c>
      <c r="C114" s="59" t="str">
        <f aca="false">IF(名簿!$D114="","",名簿!$D114&amp;IF(名簿!$F114="転出","（転出）",""))</f>
        <v/>
      </c>
      <c r="D114" s="149"/>
      <c r="E114" s="61" t="str">
        <f aca="false">IF(OR($C114="",名簿!$F114="転出"),"",IF($C$2="学級ごと",$A114,IF($C$2="前の単元と同じ",単元11!$E114&amp;"",$D114&amp;"")))</f>
        <v/>
      </c>
      <c r="F114" s="150"/>
      <c r="G114" s="150"/>
      <c r="H114" s="150"/>
      <c r="I114" s="151"/>
      <c r="J114" s="41" t="str">
        <f aca="false">IF($E114="","",$E114&amp;"|"&amp;COUNTIF($E$5:$E114,$E114))</f>
        <v/>
      </c>
      <c r="K114" s="40" t="str">
        <f aca="false">IF($I114="","",LEN($I114))</f>
        <v/>
      </c>
      <c r="L114" s="13"/>
      <c r="M114" s="13"/>
      <c r="N114" s="13"/>
      <c r="O114" s="13"/>
      <c r="P114" s="152"/>
      <c r="Q114" s="149"/>
      <c r="R114" s="152"/>
      <c r="S114" s="152"/>
      <c r="T114" s="62" t="str">
        <f aca="false">IF(OR($C114="",R114=""),"",IF(R114/IF($R$2="",100,$R$2)&gt;=設定!$I$28,設定!$G$8,IF(R114/IF($R$2="",100,$R$2)&lt;設定!$I$29,設定!$G$10,設定!$G$9)))</f>
        <v/>
      </c>
      <c r="U114" s="62" t="str">
        <f aca="false">IF(OR($C114="",S114=""),"",IF(S114/IF($S$2="",100,$S$2)&gt;=設定!$I$28,設定!$G$8,IF(S114/IF($S$2="",100,$S$2)&lt;設定!$I$29,設定!$G$10,設定!$G$9)))</f>
        <v/>
      </c>
    </row>
    <row r="115" customFormat="false" ht="21" hidden="false" customHeight="true" outlineLevel="0" collapsed="false">
      <c r="A115" s="91" t="str">
        <f aca="false">IF(名簿!$D115="","",名簿!$B115&amp;"")</f>
        <v/>
      </c>
      <c r="B115" s="91" t="str">
        <f aca="false">IF(名簿!$D115="","",名簿!$C115)</f>
        <v/>
      </c>
      <c r="C115" s="59" t="str">
        <f aca="false">IF(名簿!$D115="","",名簿!$D115&amp;IF(名簿!$F115="転出","（転出）",""))</f>
        <v/>
      </c>
      <c r="D115" s="149"/>
      <c r="E115" s="61" t="str">
        <f aca="false">IF(OR($C115="",名簿!$F115="転出"),"",IF($C$2="学級ごと",$A115,IF($C$2="前の単元と同じ",単元11!$E115&amp;"",$D115&amp;"")))</f>
        <v/>
      </c>
      <c r="F115" s="150"/>
      <c r="G115" s="150"/>
      <c r="H115" s="150"/>
      <c r="I115" s="151"/>
      <c r="J115" s="41" t="str">
        <f aca="false">IF($E115="","",$E115&amp;"|"&amp;COUNTIF($E$5:$E115,$E115))</f>
        <v/>
      </c>
      <c r="K115" s="40" t="str">
        <f aca="false">IF($I115="","",LEN($I115))</f>
        <v/>
      </c>
      <c r="L115" s="13"/>
      <c r="M115" s="13"/>
      <c r="N115" s="13"/>
      <c r="O115" s="13"/>
      <c r="P115" s="152"/>
      <c r="Q115" s="149"/>
      <c r="R115" s="152"/>
      <c r="S115" s="152"/>
      <c r="T115" s="62" t="str">
        <f aca="false">IF(OR($C115="",R115=""),"",IF(R115/IF($R$2="",100,$R$2)&gt;=設定!$I$28,設定!$G$8,IF(R115/IF($R$2="",100,$R$2)&lt;設定!$I$29,設定!$G$10,設定!$G$9)))</f>
        <v/>
      </c>
      <c r="U115" s="62" t="str">
        <f aca="false">IF(OR($C115="",S115=""),"",IF(S115/IF($S$2="",100,$S$2)&gt;=設定!$I$28,設定!$G$8,IF(S115/IF($S$2="",100,$S$2)&lt;設定!$I$29,設定!$G$10,設定!$G$9)))</f>
        <v/>
      </c>
    </row>
    <row r="116" customFormat="false" ht="21" hidden="false" customHeight="true" outlineLevel="0" collapsed="false">
      <c r="A116" s="91" t="str">
        <f aca="false">IF(名簿!$D116="","",名簿!$B116&amp;"")</f>
        <v/>
      </c>
      <c r="B116" s="91" t="str">
        <f aca="false">IF(名簿!$D116="","",名簿!$C116)</f>
        <v/>
      </c>
      <c r="C116" s="59" t="str">
        <f aca="false">IF(名簿!$D116="","",名簿!$D116&amp;IF(名簿!$F116="転出","（転出）",""))</f>
        <v/>
      </c>
      <c r="D116" s="149"/>
      <c r="E116" s="61" t="str">
        <f aca="false">IF(OR($C116="",名簿!$F116="転出"),"",IF($C$2="学級ごと",$A116,IF($C$2="前の単元と同じ",単元11!$E116&amp;"",$D116&amp;"")))</f>
        <v/>
      </c>
      <c r="F116" s="150"/>
      <c r="G116" s="150"/>
      <c r="H116" s="150"/>
      <c r="I116" s="151"/>
      <c r="J116" s="41" t="str">
        <f aca="false">IF($E116="","",$E116&amp;"|"&amp;COUNTIF($E$5:$E116,$E116))</f>
        <v/>
      </c>
      <c r="K116" s="40" t="str">
        <f aca="false">IF($I116="","",LEN($I116))</f>
        <v/>
      </c>
      <c r="L116" s="13"/>
      <c r="M116" s="13"/>
      <c r="N116" s="13"/>
      <c r="O116" s="13"/>
      <c r="P116" s="152"/>
      <c r="Q116" s="149"/>
      <c r="R116" s="152"/>
      <c r="S116" s="152"/>
      <c r="T116" s="62" t="str">
        <f aca="false">IF(OR($C116="",R116=""),"",IF(R116/IF($R$2="",100,$R$2)&gt;=設定!$I$28,設定!$G$8,IF(R116/IF($R$2="",100,$R$2)&lt;設定!$I$29,設定!$G$10,設定!$G$9)))</f>
        <v/>
      </c>
      <c r="U116" s="62" t="str">
        <f aca="false">IF(OR($C116="",S116=""),"",IF(S116/IF($S$2="",100,$S$2)&gt;=設定!$I$28,設定!$G$8,IF(S116/IF($S$2="",100,$S$2)&lt;設定!$I$29,設定!$G$10,設定!$G$9)))</f>
        <v/>
      </c>
    </row>
    <row r="117" customFormat="false" ht="21" hidden="false" customHeight="true" outlineLevel="0" collapsed="false">
      <c r="A117" s="91" t="str">
        <f aca="false">IF(名簿!$D117="","",名簿!$B117&amp;"")</f>
        <v/>
      </c>
      <c r="B117" s="91" t="str">
        <f aca="false">IF(名簿!$D117="","",名簿!$C117)</f>
        <v/>
      </c>
      <c r="C117" s="59" t="str">
        <f aca="false">IF(名簿!$D117="","",名簿!$D117&amp;IF(名簿!$F117="転出","（転出）",""))</f>
        <v/>
      </c>
      <c r="D117" s="149"/>
      <c r="E117" s="61" t="str">
        <f aca="false">IF(OR($C117="",名簿!$F117="転出"),"",IF($C$2="学級ごと",$A117,IF($C$2="前の単元と同じ",単元11!$E117&amp;"",$D117&amp;"")))</f>
        <v/>
      </c>
      <c r="F117" s="150"/>
      <c r="G117" s="150"/>
      <c r="H117" s="150"/>
      <c r="I117" s="151"/>
      <c r="J117" s="41" t="str">
        <f aca="false">IF($E117="","",$E117&amp;"|"&amp;COUNTIF($E$5:$E117,$E117))</f>
        <v/>
      </c>
      <c r="K117" s="40" t="str">
        <f aca="false">IF($I117="","",LEN($I117))</f>
        <v/>
      </c>
      <c r="L117" s="13"/>
      <c r="M117" s="13"/>
      <c r="N117" s="13"/>
      <c r="O117" s="13"/>
      <c r="P117" s="152"/>
      <c r="Q117" s="149"/>
      <c r="R117" s="152"/>
      <c r="S117" s="152"/>
      <c r="T117" s="62" t="str">
        <f aca="false">IF(OR($C117="",R117=""),"",IF(R117/IF($R$2="",100,$R$2)&gt;=設定!$I$28,設定!$G$8,IF(R117/IF($R$2="",100,$R$2)&lt;設定!$I$29,設定!$G$10,設定!$G$9)))</f>
        <v/>
      </c>
      <c r="U117" s="62" t="str">
        <f aca="false">IF(OR($C117="",S117=""),"",IF(S117/IF($S$2="",100,$S$2)&gt;=設定!$I$28,設定!$G$8,IF(S117/IF($S$2="",100,$S$2)&lt;設定!$I$29,設定!$G$10,設定!$G$9)))</f>
        <v/>
      </c>
    </row>
    <row r="118" customFormat="false" ht="21" hidden="false" customHeight="true" outlineLevel="0" collapsed="false">
      <c r="A118" s="91" t="str">
        <f aca="false">IF(名簿!$D118="","",名簿!$B118&amp;"")</f>
        <v/>
      </c>
      <c r="B118" s="91" t="str">
        <f aca="false">IF(名簿!$D118="","",名簿!$C118)</f>
        <v/>
      </c>
      <c r="C118" s="59" t="str">
        <f aca="false">IF(名簿!$D118="","",名簿!$D118&amp;IF(名簿!$F118="転出","（転出）",""))</f>
        <v/>
      </c>
      <c r="D118" s="149"/>
      <c r="E118" s="61" t="str">
        <f aca="false">IF(OR($C118="",名簿!$F118="転出"),"",IF($C$2="学級ごと",$A118,IF($C$2="前の単元と同じ",単元11!$E118&amp;"",$D118&amp;"")))</f>
        <v/>
      </c>
      <c r="F118" s="150"/>
      <c r="G118" s="150"/>
      <c r="H118" s="150"/>
      <c r="I118" s="151"/>
      <c r="J118" s="41" t="str">
        <f aca="false">IF($E118="","",$E118&amp;"|"&amp;COUNTIF($E$5:$E118,$E118))</f>
        <v/>
      </c>
      <c r="K118" s="40" t="str">
        <f aca="false">IF($I118="","",LEN($I118))</f>
        <v/>
      </c>
      <c r="L118" s="13"/>
      <c r="M118" s="13"/>
      <c r="N118" s="13"/>
      <c r="O118" s="13"/>
      <c r="P118" s="152"/>
      <c r="Q118" s="149"/>
      <c r="R118" s="152"/>
      <c r="S118" s="152"/>
      <c r="T118" s="62" t="str">
        <f aca="false">IF(OR($C118="",R118=""),"",IF(R118/IF($R$2="",100,$R$2)&gt;=設定!$I$28,設定!$G$8,IF(R118/IF($R$2="",100,$R$2)&lt;設定!$I$29,設定!$G$10,設定!$G$9)))</f>
        <v/>
      </c>
      <c r="U118" s="62" t="str">
        <f aca="false">IF(OR($C118="",S118=""),"",IF(S118/IF($S$2="",100,$S$2)&gt;=設定!$I$28,設定!$G$8,IF(S118/IF($S$2="",100,$S$2)&lt;設定!$I$29,設定!$G$10,設定!$G$9)))</f>
        <v/>
      </c>
    </row>
    <row r="119" customFormat="false" ht="21" hidden="false" customHeight="true" outlineLevel="0" collapsed="false">
      <c r="A119" s="91" t="str">
        <f aca="false">IF(名簿!$D119="","",名簿!$B119&amp;"")</f>
        <v/>
      </c>
      <c r="B119" s="91" t="str">
        <f aca="false">IF(名簿!$D119="","",名簿!$C119)</f>
        <v/>
      </c>
      <c r="C119" s="59" t="str">
        <f aca="false">IF(名簿!$D119="","",名簿!$D119&amp;IF(名簿!$F119="転出","（転出）",""))</f>
        <v/>
      </c>
      <c r="D119" s="149"/>
      <c r="E119" s="61" t="str">
        <f aca="false">IF(OR($C119="",名簿!$F119="転出"),"",IF($C$2="学級ごと",$A119,IF($C$2="前の単元と同じ",単元11!$E119&amp;"",$D119&amp;"")))</f>
        <v/>
      </c>
      <c r="F119" s="150"/>
      <c r="G119" s="150"/>
      <c r="H119" s="150"/>
      <c r="I119" s="151"/>
      <c r="J119" s="41" t="str">
        <f aca="false">IF($E119="","",$E119&amp;"|"&amp;COUNTIF($E$5:$E119,$E119))</f>
        <v/>
      </c>
      <c r="K119" s="40" t="str">
        <f aca="false">IF($I119="","",LEN($I119))</f>
        <v/>
      </c>
      <c r="L119" s="13"/>
      <c r="M119" s="13"/>
      <c r="N119" s="13"/>
      <c r="O119" s="13"/>
      <c r="P119" s="152"/>
      <c r="Q119" s="149"/>
      <c r="R119" s="152"/>
      <c r="S119" s="152"/>
      <c r="T119" s="62" t="str">
        <f aca="false">IF(OR($C119="",R119=""),"",IF(R119/IF($R$2="",100,$R$2)&gt;=設定!$I$28,設定!$G$8,IF(R119/IF($R$2="",100,$R$2)&lt;設定!$I$29,設定!$G$10,設定!$G$9)))</f>
        <v/>
      </c>
      <c r="U119" s="62" t="str">
        <f aca="false">IF(OR($C119="",S119=""),"",IF(S119/IF($S$2="",100,$S$2)&gt;=設定!$I$28,設定!$G$8,IF(S119/IF($S$2="",100,$S$2)&lt;設定!$I$29,設定!$G$10,設定!$G$9)))</f>
        <v/>
      </c>
    </row>
    <row r="120" customFormat="false" ht="21" hidden="false" customHeight="true" outlineLevel="0" collapsed="false">
      <c r="A120" s="91" t="str">
        <f aca="false">IF(名簿!$D120="","",名簿!$B120&amp;"")</f>
        <v/>
      </c>
      <c r="B120" s="91" t="str">
        <f aca="false">IF(名簿!$D120="","",名簿!$C120)</f>
        <v/>
      </c>
      <c r="C120" s="59" t="str">
        <f aca="false">IF(名簿!$D120="","",名簿!$D120&amp;IF(名簿!$F120="転出","（転出）",""))</f>
        <v/>
      </c>
      <c r="D120" s="149"/>
      <c r="E120" s="61" t="str">
        <f aca="false">IF(OR($C120="",名簿!$F120="転出"),"",IF($C$2="学級ごと",$A120,IF($C$2="前の単元と同じ",単元11!$E120&amp;"",$D120&amp;"")))</f>
        <v/>
      </c>
      <c r="F120" s="150"/>
      <c r="G120" s="150"/>
      <c r="H120" s="150"/>
      <c r="I120" s="151"/>
      <c r="J120" s="41" t="str">
        <f aca="false">IF($E120="","",$E120&amp;"|"&amp;COUNTIF($E$5:$E120,$E120))</f>
        <v/>
      </c>
      <c r="K120" s="40" t="str">
        <f aca="false">IF($I120="","",LEN($I120))</f>
        <v/>
      </c>
      <c r="L120" s="13"/>
      <c r="M120" s="13"/>
      <c r="N120" s="13"/>
      <c r="O120" s="13"/>
      <c r="P120" s="152"/>
      <c r="Q120" s="149"/>
      <c r="R120" s="152"/>
      <c r="S120" s="152"/>
      <c r="T120" s="62" t="str">
        <f aca="false">IF(OR($C120="",R120=""),"",IF(R120/IF($R$2="",100,$R$2)&gt;=設定!$I$28,設定!$G$8,IF(R120/IF($R$2="",100,$R$2)&lt;設定!$I$29,設定!$G$10,設定!$G$9)))</f>
        <v/>
      </c>
      <c r="U120" s="62" t="str">
        <f aca="false">IF(OR($C120="",S120=""),"",IF(S120/IF($S$2="",100,$S$2)&gt;=設定!$I$28,設定!$G$8,IF(S120/IF($S$2="",100,$S$2)&lt;設定!$I$29,設定!$G$10,設定!$G$9)))</f>
        <v/>
      </c>
    </row>
    <row r="121" customFormat="false" ht="21" hidden="false" customHeight="true" outlineLevel="0" collapsed="false">
      <c r="A121" s="91" t="str">
        <f aca="false">IF(名簿!$D121="","",名簿!$B121&amp;"")</f>
        <v/>
      </c>
      <c r="B121" s="91" t="str">
        <f aca="false">IF(名簿!$D121="","",名簿!$C121)</f>
        <v/>
      </c>
      <c r="C121" s="59" t="str">
        <f aca="false">IF(名簿!$D121="","",名簿!$D121&amp;IF(名簿!$F121="転出","（転出）",""))</f>
        <v/>
      </c>
      <c r="D121" s="149"/>
      <c r="E121" s="61" t="str">
        <f aca="false">IF(OR($C121="",名簿!$F121="転出"),"",IF($C$2="学級ごと",$A121,IF($C$2="前の単元と同じ",単元11!$E121&amp;"",$D121&amp;"")))</f>
        <v/>
      </c>
      <c r="F121" s="150"/>
      <c r="G121" s="150"/>
      <c r="H121" s="150"/>
      <c r="I121" s="151"/>
      <c r="J121" s="41" t="str">
        <f aca="false">IF($E121="","",$E121&amp;"|"&amp;COUNTIF($E$5:$E121,$E121))</f>
        <v/>
      </c>
      <c r="K121" s="40" t="str">
        <f aca="false">IF($I121="","",LEN($I121))</f>
        <v/>
      </c>
      <c r="L121" s="13"/>
      <c r="M121" s="13"/>
      <c r="N121" s="13"/>
      <c r="O121" s="13"/>
      <c r="P121" s="152"/>
      <c r="Q121" s="149"/>
      <c r="R121" s="152"/>
      <c r="S121" s="152"/>
      <c r="T121" s="62" t="str">
        <f aca="false">IF(OR($C121="",R121=""),"",IF(R121/IF($R$2="",100,$R$2)&gt;=設定!$I$28,設定!$G$8,IF(R121/IF($R$2="",100,$R$2)&lt;設定!$I$29,設定!$G$10,設定!$G$9)))</f>
        <v/>
      </c>
      <c r="U121" s="62" t="str">
        <f aca="false">IF(OR($C121="",S121=""),"",IF(S121/IF($S$2="",100,$S$2)&gt;=設定!$I$28,設定!$G$8,IF(S121/IF($S$2="",100,$S$2)&lt;設定!$I$29,設定!$G$10,設定!$G$9)))</f>
        <v/>
      </c>
    </row>
    <row r="122" customFormat="false" ht="21" hidden="false" customHeight="true" outlineLevel="0" collapsed="false">
      <c r="A122" s="91" t="str">
        <f aca="false">IF(名簿!$D122="","",名簿!$B122&amp;"")</f>
        <v/>
      </c>
      <c r="B122" s="91" t="str">
        <f aca="false">IF(名簿!$D122="","",名簿!$C122)</f>
        <v/>
      </c>
      <c r="C122" s="59" t="str">
        <f aca="false">IF(名簿!$D122="","",名簿!$D122&amp;IF(名簿!$F122="転出","（転出）",""))</f>
        <v/>
      </c>
      <c r="D122" s="149"/>
      <c r="E122" s="61" t="str">
        <f aca="false">IF(OR($C122="",名簿!$F122="転出"),"",IF($C$2="学級ごと",$A122,IF($C$2="前の単元と同じ",単元11!$E122&amp;"",$D122&amp;"")))</f>
        <v/>
      </c>
      <c r="F122" s="150"/>
      <c r="G122" s="150"/>
      <c r="H122" s="150"/>
      <c r="I122" s="151"/>
      <c r="J122" s="41" t="str">
        <f aca="false">IF($E122="","",$E122&amp;"|"&amp;COUNTIF($E$5:$E122,$E122))</f>
        <v/>
      </c>
      <c r="K122" s="40" t="str">
        <f aca="false">IF($I122="","",LEN($I122))</f>
        <v/>
      </c>
      <c r="L122" s="13"/>
      <c r="M122" s="13"/>
      <c r="N122" s="13"/>
      <c r="O122" s="13"/>
      <c r="P122" s="152"/>
      <c r="Q122" s="149"/>
      <c r="R122" s="152"/>
      <c r="S122" s="152"/>
      <c r="T122" s="62" t="str">
        <f aca="false">IF(OR($C122="",R122=""),"",IF(R122/IF($R$2="",100,$R$2)&gt;=設定!$I$28,設定!$G$8,IF(R122/IF($R$2="",100,$R$2)&lt;設定!$I$29,設定!$G$10,設定!$G$9)))</f>
        <v/>
      </c>
      <c r="U122" s="62" t="str">
        <f aca="false">IF(OR($C122="",S122=""),"",IF(S122/IF($S$2="",100,$S$2)&gt;=設定!$I$28,設定!$G$8,IF(S122/IF($S$2="",100,$S$2)&lt;設定!$I$29,設定!$G$10,設定!$G$9)))</f>
        <v/>
      </c>
    </row>
    <row r="123" customFormat="false" ht="21" hidden="false" customHeight="true" outlineLevel="0" collapsed="false">
      <c r="A123" s="91" t="str">
        <f aca="false">IF(名簿!$D123="","",名簿!$B123&amp;"")</f>
        <v/>
      </c>
      <c r="B123" s="91" t="str">
        <f aca="false">IF(名簿!$D123="","",名簿!$C123)</f>
        <v/>
      </c>
      <c r="C123" s="59" t="str">
        <f aca="false">IF(名簿!$D123="","",名簿!$D123&amp;IF(名簿!$F123="転出","（転出）",""))</f>
        <v/>
      </c>
      <c r="D123" s="149"/>
      <c r="E123" s="61" t="str">
        <f aca="false">IF(OR($C123="",名簿!$F123="転出"),"",IF($C$2="学級ごと",$A123,IF($C$2="前の単元と同じ",単元11!$E123&amp;"",$D123&amp;"")))</f>
        <v/>
      </c>
      <c r="F123" s="150"/>
      <c r="G123" s="150"/>
      <c r="H123" s="150"/>
      <c r="I123" s="151"/>
      <c r="J123" s="41" t="str">
        <f aca="false">IF($E123="","",$E123&amp;"|"&amp;COUNTIF($E$5:$E123,$E123))</f>
        <v/>
      </c>
      <c r="K123" s="40" t="str">
        <f aca="false">IF($I123="","",LEN($I123))</f>
        <v/>
      </c>
      <c r="L123" s="13"/>
      <c r="M123" s="13"/>
      <c r="N123" s="13"/>
      <c r="O123" s="13"/>
      <c r="P123" s="152"/>
      <c r="Q123" s="149"/>
      <c r="R123" s="152"/>
      <c r="S123" s="152"/>
      <c r="T123" s="62" t="str">
        <f aca="false">IF(OR($C123="",R123=""),"",IF(R123/IF($R$2="",100,$R$2)&gt;=設定!$I$28,設定!$G$8,IF(R123/IF($R$2="",100,$R$2)&lt;設定!$I$29,設定!$G$10,設定!$G$9)))</f>
        <v/>
      </c>
      <c r="U123" s="62" t="str">
        <f aca="false">IF(OR($C123="",S123=""),"",IF(S123/IF($S$2="",100,$S$2)&gt;=設定!$I$28,設定!$G$8,IF(S123/IF($S$2="",100,$S$2)&lt;設定!$I$29,設定!$G$10,設定!$G$9)))</f>
        <v/>
      </c>
    </row>
    <row r="124" customFormat="false" ht="21" hidden="false" customHeight="true" outlineLevel="0" collapsed="false">
      <c r="A124" s="91" t="str">
        <f aca="false">IF(名簿!$D124="","",名簿!$B124&amp;"")</f>
        <v/>
      </c>
      <c r="B124" s="91" t="str">
        <f aca="false">IF(名簿!$D124="","",名簿!$C124)</f>
        <v/>
      </c>
      <c r="C124" s="59" t="str">
        <f aca="false">IF(名簿!$D124="","",名簿!$D124&amp;IF(名簿!$F124="転出","（転出）",""))</f>
        <v/>
      </c>
      <c r="D124" s="149"/>
      <c r="E124" s="61" t="str">
        <f aca="false">IF(OR($C124="",名簿!$F124="転出"),"",IF($C$2="学級ごと",$A124,IF($C$2="前の単元と同じ",単元11!$E124&amp;"",$D124&amp;"")))</f>
        <v/>
      </c>
      <c r="F124" s="150"/>
      <c r="G124" s="150"/>
      <c r="H124" s="150"/>
      <c r="I124" s="151"/>
      <c r="J124" s="41" t="str">
        <f aca="false">IF($E124="","",$E124&amp;"|"&amp;COUNTIF($E$5:$E124,$E124))</f>
        <v/>
      </c>
      <c r="K124" s="40" t="str">
        <f aca="false">IF($I124="","",LEN($I124))</f>
        <v/>
      </c>
      <c r="L124" s="13"/>
      <c r="M124" s="13"/>
      <c r="N124" s="13"/>
      <c r="O124" s="13"/>
      <c r="P124" s="152"/>
      <c r="Q124" s="149"/>
      <c r="R124" s="152"/>
      <c r="S124" s="152"/>
      <c r="T124" s="62" t="str">
        <f aca="false">IF(OR($C124="",R124=""),"",IF(R124/IF($R$2="",100,$R$2)&gt;=設定!$I$28,設定!$G$8,IF(R124/IF($R$2="",100,$R$2)&lt;設定!$I$29,設定!$G$10,設定!$G$9)))</f>
        <v/>
      </c>
      <c r="U124" s="62" t="str">
        <f aca="false">IF(OR($C124="",S124=""),"",IF(S124/IF($S$2="",100,$S$2)&gt;=設定!$I$28,設定!$G$8,IF(S124/IF($S$2="",100,$S$2)&lt;設定!$I$29,設定!$G$10,設定!$G$9)))</f>
        <v/>
      </c>
    </row>
    <row r="125" customFormat="false" ht="21" hidden="false" customHeight="true" outlineLevel="0" collapsed="false">
      <c r="A125" s="91" t="str">
        <f aca="false">IF(名簿!$D125="","",名簿!$B125&amp;"")</f>
        <v/>
      </c>
      <c r="B125" s="91" t="str">
        <f aca="false">IF(名簿!$D125="","",名簿!$C125)</f>
        <v/>
      </c>
      <c r="C125" s="59" t="str">
        <f aca="false">IF(名簿!$D125="","",名簿!$D125&amp;IF(名簿!$F125="転出","（転出）",""))</f>
        <v/>
      </c>
      <c r="D125" s="149"/>
      <c r="E125" s="61" t="str">
        <f aca="false">IF(OR($C125="",名簿!$F125="転出"),"",IF($C$2="学級ごと",$A125,IF($C$2="前の単元と同じ",単元11!$E125&amp;"",$D125&amp;"")))</f>
        <v/>
      </c>
      <c r="F125" s="150"/>
      <c r="G125" s="150"/>
      <c r="H125" s="150"/>
      <c r="I125" s="151"/>
      <c r="J125" s="41" t="str">
        <f aca="false">IF($E125="","",$E125&amp;"|"&amp;COUNTIF($E$5:$E125,$E125))</f>
        <v/>
      </c>
      <c r="K125" s="40" t="str">
        <f aca="false">IF($I125="","",LEN($I125))</f>
        <v/>
      </c>
      <c r="L125" s="13"/>
      <c r="M125" s="13"/>
      <c r="N125" s="13"/>
      <c r="O125" s="13"/>
      <c r="P125" s="152"/>
      <c r="Q125" s="149"/>
      <c r="R125" s="152"/>
      <c r="S125" s="152"/>
      <c r="T125" s="62" t="str">
        <f aca="false">IF(OR($C125="",R125=""),"",IF(R125/IF($R$2="",100,$R$2)&gt;=設定!$I$28,設定!$G$8,IF(R125/IF($R$2="",100,$R$2)&lt;設定!$I$29,設定!$G$10,設定!$G$9)))</f>
        <v/>
      </c>
      <c r="U125" s="62" t="str">
        <f aca="false">IF(OR($C125="",S125=""),"",IF(S125/IF($S$2="",100,$S$2)&gt;=設定!$I$28,設定!$G$8,IF(S125/IF($S$2="",100,$S$2)&lt;設定!$I$29,設定!$G$10,設定!$G$9)))</f>
        <v/>
      </c>
    </row>
    <row r="126" customFormat="false" ht="21" hidden="false" customHeight="true" outlineLevel="0" collapsed="false">
      <c r="A126" s="91" t="str">
        <f aca="false">IF(名簿!$D126="","",名簿!$B126&amp;"")</f>
        <v/>
      </c>
      <c r="B126" s="91" t="str">
        <f aca="false">IF(名簿!$D126="","",名簿!$C126)</f>
        <v/>
      </c>
      <c r="C126" s="59" t="str">
        <f aca="false">IF(名簿!$D126="","",名簿!$D126&amp;IF(名簿!$F126="転出","（転出）",""))</f>
        <v/>
      </c>
      <c r="D126" s="149"/>
      <c r="E126" s="61" t="str">
        <f aca="false">IF(OR($C126="",名簿!$F126="転出"),"",IF($C$2="学級ごと",$A126,IF($C$2="前の単元と同じ",単元11!$E126&amp;"",$D126&amp;"")))</f>
        <v/>
      </c>
      <c r="F126" s="150"/>
      <c r="G126" s="150"/>
      <c r="H126" s="150"/>
      <c r="I126" s="151"/>
      <c r="J126" s="41" t="str">
        <f aca="false">IF($E126="","",$E126&amp;"|"&amp;COUNTIF($E$5:$E126,$E126))</f>
        <v/>
      </c>
      <c r="K126" s="40" t="str">
        <f aca="false">IF($I126="","",LEN($I126))</f>
        <v/>
      </c>
      <c r="L126" s="13"/>
      <c r="M126" s="13"/>
      <c r="N126" s="13"/>
      <c r="O126" s="13"/>
      <c r="P126" s="152"/>
      <c r="Q126" s="149"/>
      <c r="R126" s="152"/>
      <c r="S126" s="152"/>
      <c r="T126" s="62" t="str">
        <f aca="false">IF(OR($C126="",R126=""),"",IF(R126/IF($R$2="",100,$R$2)&gt;=設定!$I$28,設定!$G$8,IF(R126/IF($R$2="",100,$R$2)&lt;設定!$I$29,設定!$G$10,設定!$G$9)))</f>
        <v/>
      </c>
      <c r="U126" s="62" t="str">
        <f aca="false">IF(OR($C126="",S126=""),"",IF(S126/IF($S$2="",100,$S$2)&gt;=設定!$I$28,設定!$G$8,IF(S126/IF($S$2="",100,$S$2)&lt;設定!$I$29,設定!$G$10,設定!$G$9)))</f>
        <v/>
      </c>
    </row>
    <row r="127" customFormat="false" ht="21" hidden="false" customHeight="true" outlineLevel="0" collapsed="false">
      <c r="A127" s="91" t="str">
        <f aca="false">IF(名簿!$D127="","",名簿!$B127&amp;"")</f>
        <v/>
      </c>
      <c r="B127" s="91" t="str">
        <f aca="false">IF(名簿!$D127="","",名簿!$C127)</f>
        <v/>
      </c>
      <c r="C127" s="59" t="str">
        <f aca="false">IF(名簿!$D127="","",名簿!$D127&amp;IF(名簿!$F127="転出","（転出）",""))</f>
        <v/>
      </c>
      <c r="D127" s="149"/>
      <c r="E127" s="61" t="str">
        <f aca="false">IF(OR($C127="",名簿!$F127="転出"),"",IF($C$2="学級ごと",$A127,IF($C$2="前の単元と同じ",単元11!$E127&amp;"",$D127&amp;"")))</f>
        <v/>
      </c>
      <c r="F127" s="150"/>
      <c r="G127" s="150"/>
      <c r="H127" s="150"/>
      <c r="I127" s="151"/>
      <c r="J127" s="41" t="str">
        <f aca="false">IF($E127="","",$E127&amp;"|"&amp;COUNTIF($E$5:$E127,$E127))</f>
        <v/>
      </c>
      <c r="K127" s="40" t="str">
        <f aca="false">IF($I127="","",LEN($I127))</f>
        <v/>
      </c>
      <c r="L127" s="13"/>
      <c r="M127" s="13"/>
      <c r="N127" s="13"/>
      <c r="O127" s="13"/>
      <c r="P127" s="152"/>
      <c r="Q127" s="149"/>
      <c r="R127" s="152"/>
      <c r="S127" s="152"/>
      <c r="T127" s="62" t="str">
        <f aca="false">IF(OR($C127="",R127=""),"",IF(R127/IF($R$2="",100,$R$2)&gt;=設定!$I$28,設定!$G$8,IF(R127/IF($R$2="",100,$R$2)&lt;設定!$I$29,設定!$G$10,設定!$G$9)))</f>
        <v/>
      </c>
      <c r="U127" s="62" t="str">
        <f aca="false">IF(OR($C127="",S127=""),"",IF(S127/IF($S$2="",100,$S$2)&gt;=設定!$I$28,設定!$G$8,IF(S127/IF($S$2="",100,$S$2)&lt;設定!$I$29,設定!$G$10,設定!$G$9)))</f>
        <v/>
      </c>
    </row>
    <row r="128" customFormat="false" ht="21" hidden="false" customHeight="true" outlineLevel="0" collapsed="false">
      <c r="A128" s="91" t="str">
        <f aca="false">IF(名簿!$D128="","",名簿!$B128&amp;"")</f>
        <v/>
      </c>
      <c r="B128" s="91" t="str">
        <f aca="false">IF(名簿!$D128="","",名簿!$C128)</f>
        <v/>
      </c>
      <c r="C128" s="59" t="str">
        <f aca="false">IF(名簿!$D128="","",名簿!$D128&amp;IF(名簿!$F128="転出","（転出）",""))</f>
        <v/>
      </c>
      <c r="D128" s="149"/>
      <c r="E128" s="61" t="str">
        <f aca="false">IF(OR($C128="",名簿!$F128="転出"),"",IF($C$2="学級ごと",$A128,IF($C$2="前の単元と同じ",単元11!$E128&amp;"",$D128&amp;"")))</f>
        <v/>
      </c>
      <c r="F128" s="150"/>
      <c r="G128" s="150"/>
      <c r="H128" s="150"/>
      <c r="I128" s="151"/>
      <c r="J128" s="41" t="str">
        <f aca="false">IF($E128="","",$E128&amp;"|"&amp;COUNTIF($E$5:$E128,$E128))</f>
        <v/>
      </c>
      <c r="K128" s="40" t="str">
        <f aca="false">IF($I128="","",LEN($I128))</f>
        <v/>
      </c>
      <c r="L128" s="13"/>
      <c r="M128" s="13"/>
      <c r="N128" s="13"/>
      <c r="O128" s="13"/>
      <c r="P128" s="152"/>
      <c r="Q128" s="149"/>
      <c r="R128" s="152"/>
      <c r="S128" s="152"/>
      <c r="T128" s="62" t="str">
        <f aca="false">IF(OR($C128="",R128=""),"",IF(R128/IF($R$2="",100,$R$2)&gt;=設定!$I$28,設定!$G$8,IF(R128/IF($R$2="",100,$R$2)&lt;設定!$I$29,設定!$G$10,設定!$G$9)))</f>
        <v/>
      </c>
      <c r="U128" s="62" t="str">
        <f aca="false">IF(OR($C128="",S128=""),"",IF(S128/IF($S$2="",100,$S$2)&gt;=設定!$I$28,設定!$G$8,IF(S128/IF($S$2="",100,$S$2)&lt;設定!$I$29,設定!$G$10,設定!$G$9)))</f>
        <v/>
      </c>
    </row>
    <row r="129" customFormat="false" ht="21" hidden="false" customHeight="true" outlineLevel="0" collapsed="false">
      <c r="A129" s="91" t="str">
        <f aca="false">IF(名簿!$D129="","",名簿!$B129&amp;"")</f>
        <v/>
      </c>
      <c r="B129" s="91" t="str">
        <f aca="false">IF(名簿!$D129="","",名簿!$C129)</f>
        <v/>
      </c>
      <c r="C129" s="59" t="str">
        <f aca="false">IF(名簿!$D129="","",名簿!$D129&amp;IF(名簿!$F129="転出","（転出）",""))</f>
        <v/>
      </c>
      <c r="D129" s="149"/>
      <c r="E129" s="61" t="str">
        <f aca="false">IF(OR($C129="",名簿!$F129="転出"),"",IF($C$2="学級ごと",$A129,IF($C$2="前の単元と同じ",単元11!$E129&amp;"",$D129&amp;"")))</f>
        <v/>
      </c>
      <c r="F129" s="150"/>
      <c r="G129" s="150"/>
      <c r="H129" s="150"/>
      <c r="I129" s="151"/>
      <c r="J129" s="41" t="str">
        <f aca="false">IF($E129="","",$E129&amp;"|"&amp;COUNTIF($E$5:$E129,$E129))</f>
        <v/>
      </c>
      <c r="K129" s="40" t="str">
        <f aca="false">IF($I129="","",LEN($I129))</f>
        <v/>
      </c>
      <c r="L129" s="13"/>
      <c r="M129" s="13"/>
      <c r="N129" s="13"/>
      <c r="O129" s="13"/>
      <c r="P129" s="152"/>
      <c r="Q129" s="149"/>
      <c r="R129" s="152"/>
      <c r="S129" s="152"/>
      <c r="T129" s="62" t="str">
        <f aca="false">IF(OR($C129="",R129=""),"",IF(R129/IF($R$2="",100,$R$2)&gt;=設定!$I$28,設定!$G$8,IF(R129/IF($R$2="",100,$R$2)&lt;設定!$I$29,設定!$G$10,設定!$G$9)))</f>
        <v/>
      </c>
      <c r="U129" s="62" t="str">
        <f aca="false">IF(OR($C129="",S129=""),"",IF(S129/IF($S$2="",100,$S$2)&gt;=設定!$I$28,設定!$G$8,IF(S129/IF($S$2="",100,$S$2)&lt;設定!$I$29,設定!$G$10,設定!$G$9)))</f>
        <v/>
      </c>
    </row>
    <row r="130" customFormat="false" ht="21" hidden="false" customHeight="true" outlineLevel="0" collapsed="false">
      <c r="A130" s="91" t="str">
        <f aca="false">IF(名簿!$D130="","",名簿!$B130&amp;"")</f>
        <v/>
      </c>
      <c r="B130" s="91" t="str">
        <f aca="false">IF(名簿!$D130="","",名簿!$C130)</f>
        <v/>
      </c>
      <c r="C130" s="59" t="str">
        <f aca="false">IF(名簿!$D130="","",名簿!$D130&amp;IF(名簿!$F130="転出","（転出）",""))</f>
        <v/>
      </c>
      <c r="D130" s="149"/>
      <c r="E130" s="61" t="str">
        <f aca="false">IF(OR($C130="",名簿!$F130="転出"),"",IF($C$2="学級ごと",$A130,IF($C$2="前の単元と同じ",単元11!$E130&amp;"",$D130&amp;"")))</f>
        <v/>
      </c>
      <c r="F130" s="150"/>
      <c r="G130" s="150"/>
      <c r="H130" s="150"/>
      <c r="I130" s="151"/>
      <c r="J130" s="41" t="str">
        <f aca="false">IF($E130="","",$E130&amp;"|"&amp;COUNTIF($E$5:$E130,$E130))</f>
        <v/>
      </c>
      <c r="K130" s="40" t="str">
        <f aca="false">IF($I130="","",LEN($I130))</f>
        <v/>
      </c>
      <c r="L130" s="13"/>
      <c r="M130" s="13"/>
      <c r="N130" s="13"/>
      <c r="O130" s="13"/>
      <c r="P130" s="152"/>
      <c r="Q130" s="149"/>
      <c r="R130" s="152"/>
      <c r="S130" s="152"/>
      <c r="T130" s="62" t="str">
        <f aca="false">IF(OR($C130="",R130=""),"",IF(R130/IF($R$2="",100,$R$2)&gt;=設定!$I$28,設定!$G$8,IF(R130/IF($R$2="",100,$R$2)&lt;設定!$I$29,設定!$G$10,設定!$G$9)))</f>
        <v/>
      </c>
      <c r="U130" s="62" t="str">
        <f aca="false">IF(OR($C130="",S130=""),"",IF(S130/IF($S$2="",100,$S$2)&gt;=設定!$I$28,設定!$G$8,IF(S130/IF($S$2="",100,$S$2)&lt;設定!$I$29,設定!$G$10,設定!$G$9)))</f>
        <v/>
      </c>
    </row>
    <row r="131" customFormat="false" ht="21" hidden="false" customHeight="true" outlineLevel="0" collapsed="false">
      <c r="A131" s="91" t="str">
        <f aca="false">IF(名簿!$D131="","",名簿!$B131&amp;"")</f>
        <v/>
      </c>
      <c r="B131" s="91" t="str">
        <f aca="false">IF(名簿!$D131="","",名簿!$C131)</f>
        <v/>
      </c>
      <c r="C131" s="59" t="str">
        <f aca="false">IF(名簿!$D131="","",名簿!$D131&amp;IF(名簿!$F131="転出","（転出）",""))</f>
        <v/>
      </c>
      <c r="D131" s="149"/>
      <c r="E131" s="61" t="str">
        <f aca="false">IF(OR($C131="",名簿!$F131="転出"),"",IF($C$2="学級ごと",$A131,IF($C$2="前の単元と同じ",単元11!$E131&amp;"",$D131&amp;"")))</f>
        <v/>
      </c>
      <c r="F131" s="150"/>
      <c r="G131" s="150"/>
      <c r="H131" s="150"/>
      <c r="I131" s="151"/>
      <c r="J131" s="41" t="str">
        <f aca="false">IF($E131="","",$E131&amp;"|"&amp;COUNTIF($E$5:$E131,$E131))</f>
        <v/>
      </c>
      <c r="K131" s="40" t="str">
        <f aca="false">IF($I131="","",LEN($I131))</f>
        <v/>
      </c>
      <c r="L131" s="13"/>
      <c r="M131" s="13"/>
      <c r="N131" s="13"/>
      <c r="O131" s="13"/>
      <c r="P131" s="152"/>
      <c r="Q131" s="149"/>
      <c r="R131" s="152"/>
      <c r="S131" s="152"/>
      <c r="T131" s="62" t="str">
        <f aca="false">IF(OR($C131="",R131=""),"",IF(R131/IF($R$2="",100,$R$2)&gt;=設定!$I$28,設定!$G$8,IF(R131/IF($R$2="",100,$R$2)&lt;設定!$I$29,設定!$G$10,設定!$G$9)))</f>
        <v/>
      </c>
      <c r="U131" s="62" t="str">
        <f aca="false">IF(OR($C131="",S131=""),"",IF(S131/IF($S$2="",100,$S$2)&gt;=設定!$I$28,設定!$G$8,IF(S131/IF($S$2="",100,$S$2)&lt;設定!$I$29,設定!$G$10,設定!$G$9)))</f>
        <v/>
      </c>
    </row>
    <row r="132" customFormat="false" ht="21" hidden="false" customHeight="true" outlineLevel="0" collapsed="false">
      <c r="A132" s="91" t="str">
        <f aca="false">IF(名簿!$D132="","",名簿!$B132&amp;"")</f>
        <v/>
      </c>
      <c r="B132" s="91" t="str">
        <f aca="false">IF(名簿!$D132="","",名簿!$C132)</f>
        <v/>
      </c>
      <c r="C132" s="59" t="str">
        <f aca="false">IF(名簿!$D132="","",名簿!$D132&amp;IF(名簿!$F132="転出","（転出）",""))</f>
        <v/>
      </c>
      <c r="D132" s="149"/>
      <c r="E132" s="61" t="str">
        <f aca="false">IF(OR($C132="",名簿!$F132="転出"),"",IF($C$2="学級ごと",$A132,IF($C$2="前の単元と同じ",単元11!$E132&amp;"",$D132&amp;"")))</f>
        <v/>
      </c>
      <c r="F132" s="150"/>
      <c r="G132" s="150"/>
      <c r="H132" s="150"/>
      <c r="I132" s="151"/>
      <c r="J132" s="41" t="str">
        <f aca="false">IF($E132="","",$E132&amp;"|"&amp;COUNTIF($E$5:$E132,$E132))</f>
        <v/>
      </c>
      <c r="K132" s="40" t="str">
        <f aca="false">IF($I132="","",LEN($I132))</f>
        <v/>
      </c>
      <c r="L132" s="13"/>
      <c r="M132" s="13"/>
      <c r="N132" s="13"/>
      <c r="O132" s="13"/>
      <c r="P132" s="152"/>
      <c r="Q132" s="149"/>
      <c r="R132" s="152"/>
      <c r="S132" s="152"/>
      <c r="T132" s="62" t="str">
        <f aca="false">IF(OR($C132="",R132=""),"",IF(R132/IF($R$2="",100,$R$2)&gt;=設定!$I$28,設定!$G$8,IF(R132/IF($R$2="",100,$R$2)&lt;設定!$I$29,設定!$G$10,設定!$G$9)))</f>
        <v/>
      </c>
      <c r="U132" s="62" t="str">
        <f aca="false">IF(OR($C132="",S132=""),"",IF(S132/IF($S$2="",100,$S$2)&gt;=設定!$I$28,設定!$G$8,IF(S132/IF($S$2="",100,$S$2)&lt;設定!$I$29,設定!$G$10,設定!$G$9)))</f>
        <v/>
      </c>
    </row>
    <row r="133" customFormat="false" ht="21" hidden="false" customHeight="true" outlineLevel="0" collapsed="false">
      <c r="A133" s="91" t="str">
        <f aca="false">IF(名簿!$D133="","",名簿!$B133&amp;"")</f>
        <v/>
      </c>
      <c r="B133" s="91" t="str">
        <f aca="false">IF(名簿!$D133="","",名簿!$C133)</f>
        <v/>
      </c>
      <c r="C133" s="59" t="str">
        <f aca="false">IF(名簿!$D133="","",名簿!$D133&amp;IF(名簿!$F133="転出","（転出）",""))</f>
        <v/>
      </c>
      <c r="D133" s="149"/>
      <c r="E133" s="61" t="str">
        <f aca="false">IF(OR($C133="",名簿!$F133="転出"),"",IF($C$2="学級ごと",$A133,IF($C$2="前の単元と同じ",単元11!$E133&amp;"",$D133&amp;"")))</f>
        <v/>
      </c>
      <c r="F133" s="150"/>
      <c r="G133" s="150"/>
      <c r="H133" s="150"/>
      <c r="I133" s="151"/>
      <c r="J133" s="41" t="str">
        <f aca="false">IF($E133="","",$E133&amp;"|"&amp;COUNTIF($E$5:$E133,$E133))</f>
        <v/>
      </c>
      <c r="K133" s="40" t="str">
        <f aca="false">IF($I133="","",LEN($I133))</f>
        <v/>
      </c>
      <c r="L133" s="13"/>
      <c r="M133" s="13"/>
      <c r="N133" s="13"/>
      <c r="O133" s="13"/>
      <c r="P133" s="152"/>
      <c r="Q133" s="149"/>
      <c r="R133" s="152"/>
      <c r="S133" s="152"/>
      <c r="T133" s="62" t="str">
        <f aca="false">IF(OR($C133="",R133=""),"",IF(R133/IF($R$2="",100,$R$2)&gt;=設定!$I$28,設定!$G$8,IF(R133/IF($R$2="",100,$R$2)&lt;設定!$I$29,設定!$G$10,設定!$G$9)))</f>
        <v/>
      </c>
      <c r="U133" s="62" t="str">
        <f aca="false">IF(OR($C133="",S133=""),"",IF(S133/IF($S$2="",100,$S$2)&gt;=設定!$I$28,設定!$G$8,IF(S133/IF($S$2="",100,$S$2)&lt;設定!$I$29,設定!$G$10,設定!$G$9)))</f>
        <v/>
      </c>
    </row>
    <row r="134" customFormat="false" ht="21" hidden="false" customHeight="true" outlineLevel="0" collapsed="false">
      <c r="A134" s="91" t="str">
        <f aca="false">IF(名簿!$D134="","",名簿!$B134&amp;"")</f>
        <v/>
      </c>
      <c r="B134" s="91" t="str">
        <f aca="false">IF(名簿!$D134="","",名簿!$C134)</f>
        <v/>
      </c>
      <c r="C134" s="59" t="str">
        <f aca="false">IF(名簿!$D134="","",名簿!$D134&amp;IF(名簿!$F134="転出","（転出）",""))</f>
        <v/>
      </c>
      <c r="D134" s="149"/>
      <c r="E134" s="61" t="str">
        <f aca="false">IF(OR($C134="",名簿!$F134="転出"),"",IF($C$2="学級ごと",$A134,IF($C$2="前の単元と同じ",単元11!$E134&amp;"",$D134&amp;"")))</f>
        <v/>
      </c>
      <c r="F134" s="150"/>
      <c r="G134" s="150"/>
      <c r="H134" s="150"/>
      <c r="I134" s="151"/>
      <c r="J134" s="41" t="str">
        <f aca="false">IF($E134="","",$E134&amp;"|"&amp;COUNTIF($E$5:$E134,$E134))</f>
        <v/>
      </c>
      <c r="K134" s="40" t="str">
        <f aca="false">IF($I134="","",LEN($I134))</f>
        <v/>
      </c>
      <c r="L134" s="13"/>
      <c r="M134" s="13"/>
      <c r="N134" s="13"/>
      <c r="O134" s="13"/>
      <c r="P134" s="152"/>
      <c r="Q134" s="149"/>
      <c r="R134" s="152"/>
      <c r="S134" s="152"/>
      <c r="T134" s="62" t="str">
        <f aca="false">IF(OR($C134="",R134=""),"",IF(R134/IF($R$2="",100,$R$2)&gt;=設定!$I$28,設定!$G$8,IF(R134/IF($R$2="",100,$R$2)&lt;設定!$I$29,設定!$G$10,設定!$G$9)))</f>
        <v/>
      </c>
      <c r="U134" s="62" t="str">
        <f aca="false">IF(OR($C134="",S134=""),"",IF(S134/IF($S$2="",100,$S$2)&gt;=設定!$I$28,設定!$G$8,IF(S134/IF($S$2="",100,$S$2)&lt;設定!$I$29,設定!$G$10,設定!$G$9)))</f>
        <v/>
      </c>
    </row>
    <row r="135" customFormat="false" ht="21" hidden="false" customHeight="true" outlineLevel="0" collapsed="false">
      <c r="A135" s="91" t="str">
        <f aca="false">IF(名簿!$D135="","",名簿!$B135&amp;"")</f>
        <v/>
      </c>
      <c r="B135" s="91" t="str">
        <f aca="false">IF(名簿!$D135="","",名簿!$C135)</f>
        <v/>
      </c>
      <c r="C135" s="59" t="str">
        <f aca="false">IF(名簿!$D135="","",名簿!$D135&amp;IF(名簿!$F135="転出","（転出）",""))</f>
        <v/>
      </c>
      <c r="D135" s="149"/>
      <c r="E135" s="61" t="str">
        <f aca="false">IF(OR($C135="",名簿!$F135="転出"),"",IF($C$2="学級ごと",$A135,IF($C$2="前の単元と同じ",単元11!$E135&amp;"",$D135&amp;"")))</f>
        <v/>
      </c>
      <c r="F135" s="150"/>
      <c r="G135" s="150"/>
      <c r="H135" s="150"/>
      <c r="I135" s="151"/>
      <c r="J135" s="41" t="str">
        <f aca="false">IF($E135="","",$E135&amp;"|"&amp;COUNTIF($E$5:$E135,$E135))</f>
        <v/>
      </c>
      <c r="K135" s="40" t="str">
        <f aca="false">IF($I135="","",LEN($I135))</f>
        <v/>
      </c>
      <c r="L135" s="13"/>
      <c r="M135" s="13"/>
      <c r="N135" s="13"/>
      <c r="O135" s="13"/>
      <c r="P135" s="152"/>
      <c r="Q135" s="149"/>
      <c r="R135" s="152"/>
      <c r="S135" s="152"/>
      <c r="T135" s="62" t="str">
        <f aca="false">IF(OR($C135="",R135=""),"",IF(R135/IF($R$2="",100,$R$2)&gt;=設定!$I$28,設定!$G$8,IF(R135/IF($R$2="",100,$R$2)&lt;設定!$I$29,設定!$G$10,設定!$G$9)))</f>
        <v/>
      </c>
      <c r="U135" s="62" t="str">
        <f aca="false">IF(OR($C135="",S135=""),"",IF(S135/IF($S$2="",100,$S$2)&gt;=設定!$I$28,設定!$G$8,IF(S135/IF($S$2="",100,$S$2)&lt;設定!$I$29,設定!$G$10,設定!$G$9)))</f>
        <v/>
      </c>
    </row>
    <row r="136" customFormat="false" ht="21" hidden="false" customHeight="true" outlineLevel="0" collapsed="false">
      <c r="A136" s="91" t="str">
        <f aca="false">IF(名簿!$D136="","",名簿!$B136&amp;"")</f>
        <v/>
      </c>
      <c r="B136" s="91" t="str">
        <f aca="false">IF(名簿!$D136="","",名簿!$C136)</f>
        <v/>
      </c>
      <c r="C136" s="59" t="str">
        <f aca="false">IF(名簿!$D136="","",名簿!$D136&amp;IF(名簿!$F136="転出","（転出）",""))</f>
        <v/>
      </c>
      <c r="D136" s="149"/>
      <c r="E136" s="61" t="str">
        <f aca="false">IF(OR($C136="",名簿!$F136="転出"),"",IF($C$2="学級ごと",$A136,IF($C$2="前の単元と同じ",単元11!$E136&amp;"",$D136&amp;"")))</f>
        <v/>
      </c>
      <c r="F136" s="150"/>
      <c r="G136" s="150"/>
      <c r="H136" s="150"/>
      <c r="I136" s="151"/>
      <c r="J136" s="41" t="str">
        <f aca="false">IF($E136="","",$E136&amp;"|"&amp;COUNTIF($E$5:$E136,$E136))</f>
        <v/>
      </c>
      <c r="K136" s="40" t="str">
        <f aca="false">IF($I136="","",LEN($I136))</f>
        <v/>
      </c>
      <c r="L136" s="13"/>
      <c r="M136" s="13"/>
      <c r="N136" s="13"/>
      <c r="O136" s="13"/>
      <c r="P136" s="152"/>
      <c r="Q136" s="149"/>
      <c r="R136" s="152"/>
      <c r="S136" s="152"/>
      <c r="T136" s="62" t="str">
        <f aca="false">IF(OR($C136="",R136=""),"",IF(R136/IF($R$2="",100,$R$2)&gt;=設定!$I$28,設定!$G$8,IF(R136/IF($R$2="",100,$R$2)&lt;設定!$I$29,設定!$G$10,設定!$G$9)))</f>
        <v/>
      </c>
      <c r="U136" s="62" t="str">
        <f aca="false">IF(OR($C136="",S136=""),"",IF(S136/IF($S$2="",100,$S$2)&gt;=設定!$I$28,設定!$G$8,IF(S136/IF($S$2="",100,$S$2)&lt;設定!$I$29,設定!$G$10,設定!$G$9)))</f>
        <v/>
      </c>
    </row>
    <row r="137" customFormat="false" ht="21" hidden="false" customHeight="true" outlineLevel="0" collapsed="false">
      <c r="A137" s="91" t="str">
        <f aca="false">IF(名簿!$D137="","",名簿!$B137&amp;"")</f>
        <v/>
      </c>
      <c r="B137" s="91" t="str">
        <f aca="false">IF(名簿!$D137="","",名簿!$C137)</f>
        <v/>
      </c>
      <c r="C137" s="59" t="str">
        <f aca="false">IF(名簿!$D137="","",名簿!$D137&amp;IF(名簿!$F137="転出","（転出）",""))</f>
        <v/>
      </c>
      <c r="D137" s="149"/>
      <c r="E137" s="61" t="str">
        <f aca="false">IF(OR($C137="",名簿!$F137="転出"),"",IF($C$2="学級ごと",$A137,IF($C$2="前の単元と同じ",単元11!$E137&amp;"",$D137&amp;"")))</f>
        <v/>
      </c>
      <c r="F137" s="150"/>
      <c r="G137" s="150"/>
      <c r="H137" s="150"/>
      <c r="I137" s="151"/>
      <c r="J137" s="41" t="str">
        <f aca="false">IF($E137="","",$E137&amp;"|"&amp;COUNTIF($E$5:$E137,$E137))</f>
        <v/>
      </c>
      <c r="K137" s="40" t="str">
        <f aca="false">IF($I137="","",LEN($I137))</f>
        <v/>
      </c>
      <c r="L137" s="13"/>
      <c r="M137" s="13"/>
      <c r="N137" s="13"/>
      <c r="O137" s="13"/>
      <c r="P137" s="152"/>
      <c r="Q137" s="149"/>
      <c r="R137" s="152"/>
      <c r="S137" s="152"/>
      <c r="T137" s="62" t="str">
        <f aca="false">IF(OR($C137="",R137=""),"",IF(R137/IF($R$2="",100,$R$2)&gt;=設定!$I$28,設定!$G$8,IF(R137/IF($R$2="",100,$R$2)&lt;設定!$I$29,設定!$G$10,設定!$G$9)))</f>
        <v/>
      </c>
      <c r="U137" s="62" t="str">
        <f aca="false">IF(OR($C137="",S137=""),"",IF(S137/IF($S$2="",100,$S$2)&gt;=設定!$I$28,設定!$G$8,IF(S137/IF($S$2="",100,$S$2)&lt;設定!$I$29,設定!$G$10,設定!$G$9)))</f>
        <v/>
      </c>
    </row>
    <row r="138" customFormat="false" ht="21" hidden="false" customHeight="true" outlineLevel="0" collapsed="false">
      <c r="A138" s="91" t="str">
        <f aca="false">IF(名簿!$D138="","",名簿!$B138&amp;"")</f>
        <v/>
      </c>
      <c r="B138" s="91" t="str">
        <f aca="false">IF(名簿!$D138="","",名簿!$C138)</f>
        <v/>
      </c>
      <c r="C138" s="59" t="str">
        <f aca="false">IF(名簿!$D138="","",名簿!$D138&amp;IF(名簿!$F138="転出","（転出）",""))</f>
        <v/>
      </c>
      <c r="D138" s="149"/>
      <c r="E138" s="61" t="str">
        <f aca="false">IF(OR($C138="",名簿!$F138="転出"),"",IF($C$2="学級ごと",$A138,IF($C$2="前の単元と同じ",単元11!$E138&amp;"",$D138&amp;"")))</f>
        <v/>
      </c>
      <c r="F138" s="150"/>
      <c r="G138" s="150"/>
      <c r="H138" s="150"/>
      <c r="I138" s="151"/>
      <c r="J138" s="41" t="str">
        <f aca="false">IF($E138="","",$E138&amp;"|"&amp;COUNTIF($E$5:$E138,$E138))</f>
        <v/>
      </c>
      <c r="K138" s="40" t="str">
        <f aca="false">IF($I138="","",LEN($I138))</f>
        <v/>
      </c>
      <c r="L138" s="13"/>
      <c r="M138" s="13"/>
      <c r="N138" s="13"/>
      <c r="O138" s="13"/>
      <c r="P138" s="152"/>
      <c r="Q138" s="149"/>
      <c r="R138" s="152"/>
      <c r="S138" s="152"/>
      <c r="T138" s="62" t="str">
        <f aca="false">IF(OR($C138="",R138=""),"",IF(R138/IF($R$2="",100,$R$2)&gt;=設定!$I$28,設定!$G$8,IF(R138/IF($R$2="",100,$R$2)&lt;設定!$I$29,設定!$G$10,設定!$G$9)))</f>
        <v/>
      </c>
      <c r="U138" s="62" t="str">
        <f aca="false">IF(OR($C138="",S138=""),"",IF(S138/IF($S$2="",100,$S$2)&gt;=設定!$I$28,設定!$G$8,IF(S138/IF($S$2="",100,$S$2)&lt;設定!$I$29,設定!$G$10,設定!$G$9)))</f>
        <v/>
      </c>
    </row>
    <row r="139" customFormat="false" ht="21" hidden="false" customHeight="true" outlineLevel="0" collapsed="false">
      <c r="A139" s="91" t="str">
        <f aca="false">IF(名簿!$D139="","",名簿!$B139&amp;"")</f>
        <v/>
      </c>
      <c r="B139" s="91" t="str">
        <f aca="false">IF(名簿!$D139="","",名簿!$C139)</f>
        <v/>
      </c>
      <c r="C139" s="59" t="str">
        <f aca="false">IF(名簿!$D139="","",名簿!$D139&amp;IF(名簿!$F139="転出","（転出）",""))</f>
        <v/>
      </c>
      <c r="D139" s="149"/>
      <c r="E139" s="61" t="str">
        <f aca="false">IF(OR($C139="",名簿!$F139="転出"),"",IF($C$2="学級ごと",$A139,IF($C$2="前の単元と同じ",単元11!$E139&amp;"",$D139&amp;"")))</f>
        <v/>
      </c>
      <c r="F139" s="150"/>
      <c r="G139" s="150"/>
      <c r="H139" s="150"/>
      <c r="I139" s="151"/>
      <c r="J139" s="41" t="str">
        <f aca="false">IF($E139="","",$E139&amp;"|"&amp;COUNTIF($E$5:$E139,$E139))</f>
        <v/>
      </c>
      <c r="K139" s="40" t="str">
        <f aca="false">IF($I139="","",LEN($I139))</f>
        <v/>
      </c>
      <c r="L139" s="13"/>
      <c r="M139" s="13"/>
      <c r="N139" s="13"/>
      <c r="O139" s="13"/>
      <c r="P139" s="152"/>
      <c r="Q139" s="149"/>
      <c r="R139" s="152"/>
      <c r="S139" s="152"/>
      <c r="T139" s="62" t="str">
        <f aca="false">IF(OR($C139="",R139=""),"",IF(R139/IF($R$2="",100,$R$2)&gt;=設定!$I$28,設定!$G$8,IF(R139/IF($R$2="",100,$R$2)&lt;設定!$I$29,設定!$G$10,設定!$G$9)))</f>
        <v/>
      </c>
      <c r="U139" s="62" t="str">
        <f aca="false">IF(OR($C139="",S139=""),"",IF(S139/IF($S$2="",100,$S$2)&gt;=設定!$I$28,設定!$G$8,IF(S139/IF($S$2="",100,$S$2)&lt;設定!$I$29,設定!$G$10,設定!$G$9)))</f>
        <v/>
      </c>
    </row>
    <row r="140" customFormat="false" ht="21" hidden="false" customHeight="true" outlineLevel="0" collapsed="false">
      <c r="A140" s="91" t="str">
        <f aca="false">IF(名簿!$D140="","",名簿!$B140&amp;"")</f>
        <v/>
      </c>
      <c r="B140" s="91" t="str">
        <f aca="false">IF(名簿!$D140="","",名簿!$C140)</f>
        <v/>
      </c>
      <c r="C140" s="59" t="str">
        <f aca="false">IF(名簿!$D140="","",名簿!$D140&amp;IF(名簿!$F140="転出","（転出）",""))</f>
        <v/>
      </c>
      <c r="D140" s="149"/>
      <c r="E140" s="61" t="str">
        <f aca="false">IF(OR($C140="",名簿!$F140="転出"),"",IF($C$2="学級ごと",$A140,IF($C$2="前の単元と同じ",単元11!$E140&amp;"",$D140&amp;"")))</f>
        <v/>
      </c>
      <c r="F140" s="150"/>
      <c r="G140" s="150"/>
      <c r="H140" s="150"/>
      <c r="I140" s="151"/>
      <c r="J140" s="41" t="str">
        <f aca="false">IF($E140="","",$E140&amp;"|"&amp;COUNTIF($E$5:$E140,$E140))</f>
        <v/>
      </c>
      <c r="K140" s="40" t="str">
        <f aca="false">IF($I140="","",LEN($I140))</f>
        <v/>
      </c>
      <c r="L140" s="13"/>
      <c r="M140" s="13"/>
      <c r="N140" s="13"/>
      <c r="O140" s="13"/>
      <c r="P140" s="152"/>
      <c r="Q140" s="149"/>
      <c r="R140" s="152"/>
      <c r="S140" s="152"/>
      <c r="T140" s="62" t="str">
        <f aca="false">IF(OR($C140="",R140=""),"",IF(R140/IF($R$2="",100,$R$2)&gt;=設定!$I$28,設定!$G$8,IF(R140/IF($R$2="",100,$R$2)&lt;設定!$I$29,設定!$G$10,設定!$G$9)))</f>
        <v/>
      </c>
      <c r="U140" s="62" t="str">
        <f aca="false">IF(OR($C140="",S140=""),"",IF(S140/IF($S$2="",100,$S$2)&gt;=設定!$I$28,設定!$G$8,IF(S140/IF($S$2="",100,$S$2)&lt;設定!$I$29,設定!$G$10,設定!$G$9)))</f>
        <v/>
      </c>
    </row>
    <row r="141" customFormat="false" ht="21" hidden="false" customHeight="true" outlineLevel="0" collapsed="false">
      <c r="A141" s="91" t="str">
        <f aca="false">IF(名簿!$D141="","",名簿!$B141&amp;"")</f>
        <v/>
      </c>
      <c r="B141" s="91" t="str">
        <f aca="false">IF(名簿!$D141="","",名簿!$C141)</f>
        <v/>
      </c>
      <c r="C141" s="59" t="str">
        <f aca="false">IF(名簿!$D141="","",名簿!$D141&amp;IF(名簿!$F141="転出","（転出）",""))</f>
        <v/>
      </c>
      <c r="D141" s="149"/>
      <c r="E141" s="61" t="str">
        <f aca="false">IF(OR($C141="",名簿!$F141="転出"),"",IF($C$2="学級ごと",$A141,IF($C$2="前の単元と同じ",単元11!$E141&amp;"",$D141&amp;"")))</f>
        <v/>
      </c>
      <c r="F141" s="150"/>
      <c r="G141" s="150"/>
      <c r="H141" s="150"/>
      <c r="I141" s="151"/>
      <c r="J141" s="41" t="str">
        <f aca="false">IF($E141="","",$E141&amp;"|"&amp;COUNTIF($E$5:$E141,$E141))</f>
        <v/>
      </c>
      <c r="K141" s="40" t="str">
        <f aca="false">IF($I141="","",LEN($I141))</f>
        <v/>
      </c>
      <c r="L141" s="13"/>
      <c r="M141" s="13"/>
      <c r="N141" s="13"/>
      <c r="O141" s="13"/>
      <c r="P141" s="152"/>
      <c r="Q141" s="149"/>
      <c r="R141" s="152"/>
      <c r="S141" s="152"/>
      <c r="T141" s="62" t="str">
        <f aca="false">IF(OR($C141="",R141=""),"",IF(R141/IF($R$2="",100,$R$2)&gt;=設定!$I$28,設定!$G$8,IF(R141/IF($R$2="",100,$R$2)&lt;設定!$I$29,設定!$G$10,設定!$G$9)))</f>
        <v/>
      </c>
      <c r="U141" s="62" t="str">
        <f aca="false">IF(OR($C141="",S141=""),"",IF(S141/IF($S$2="",100,$S$2)&gt;=設定!$I$28,設定!$G$8,IF(S141/IF($S$2="",100,$S$2)&lt;設定!$I$29,設定!$G$10,設定!$G$9)))</f>
        <v/>
      </c>
    </row>
    <row r="142" customFormat="false" ht="21" hidden="false" customHeight="true" outlineLevel="0" collapsed="false">
      <c r="A142" s="91" t="str">
        <f aca="false">IF(名簿!$D142="","",名簿!$B142&amp;"")</f>
        <v/>
      </c>
      <c r="B142" s="91" t="str">
        <f aca="false">IF(名簿!$D142="","",名簿!$C142)</f>
        <v/>
      </c>
      <c r="C142" s="59" t="str">
        <f aca="false">IF(名簿!$D142="","",名簿!$D142&amp;IF(名簿!$F142="転出","（転出）",""))</f>
        <v/>
      </c>
      <c r="D142" s="149"/>
      <c r="E142" s="61" t="str">
        <f aca="false">IF(OR($C142="",名簿!$F142="転出"),"",IF($C$2="学級ごと",$A142,IF($C$2="前の単元と同じ",単元11!$E142&amp;"",$D142&amp;"")))</f>
        <v/>
      </c>
      <c r="F142" s="150"/>
      <c r="G142" s="150"/>
      <c r="H142" s="150"/>
      <c r="I142" s="151"/>
      <c r="J142" s="41" t="str">
        <f aca="false">IF($E142="","",$E142&amp;"|"&amp;COUNTIF($E$5:$E142,$E142))</f>
        <v/>
      </c>
      <c r="K142" s="40" t="str">
        <f aca="false">IF($I142="","",LEN($I142))</f>
        <v/>
      </c>
      <c r="L142" s="13"/>
      <c r="M142" s="13"/>
      <c r="N142" s="13"/>
      <c r="O142" s="13"/>
      <c r="P142" s="152"/>
      <c r="Q142" s="149"/>
      <c r="R142" s="152"/>
      <c r="S142" s="152"/>
      <c r="T142" s="62" t="str">
        <f aca="false">IF(OR($C142="",R142=""),"",IF(R142/IF($R$2="",100,$R$2)&gt;=設定!$I$28,設定!$G$8,IF(R142/IF($R$2="",100,$R$2)&lt;設定!$I$29,設定!$G$10,設定!$G$9)))</f>
        <v/>
      </c>
      <c r="U142" s="62" t="str">
        <f aca="false">IF(OR($C142="",S142=""),"",IF(S142/IF($S$2="",100,$S$2)&gt;=設定!$I$28,設定!$G$8,IF(S142/IF($S$2="",100,$S$2)&lt;設定!$I$29,設定!$G$10,設定!$G$9)))</f>
        <v/>
      </c>
    </row>
    <row r="143" customFormat="false" ht="21" hidden="false" customHeight="true" outlineLevel="0" collapsed="false">
      <c r="A143" s="91" t="str">
        <f aca="false">IF(名簿!$D143="","",名簿!$B143&amp;"")</f>
        <v/>
      </c>
      <c r="B143" s="91" t="str">
        <f aca="false">IF(名簿!$D143="","",名簿!$C143)</f>
        <v/>
      </c>
      <c r="C143" s="59" t="str">
        <f aca="false">IF(名簿!$D143="","",名簿!$D143&amp;IF(名簿!$F143="転出","（転出）",""))</f>
        <v/>
      </c>
      <c r="D143" s="149"/>
      <c r="E143" s="61" t="str">
        <f aca="false">IF(OR($C143="",名簿!$F143="転出"),"",IF($C$2="学級ごと",$A143,IF($C$2="前の単元と同じ",単元11!$E143&amp;"",$D143&amp;"")))</f>
        <v/>
      </c>
      <c r="F143" s="150"/>
      <c r="G143" s="150"/>
      <c r="H143" s="150"/>
      <c r="I143" s="151"/>
      <c r="J143" s="41" t="str">
        <f aca="false">IF($E143="","",$E143&amp;"|"&amp;COUNTIF($E$5:$E143,$E143))</f>
        <v/>
      </c>
      <c r="K143" s="40" t="str">
        <f aca="false">IF($I143="","",LEN($I143))</f>
        <v/>
      </c>
      <c r="L143" s="13"/>
      <c r="M143" s="13"/>
      <c r="N143" s="13"/>
      <c r="O143" s="13"/>
      <c r="P143" s="152"/>
      <c r="Q143" s="149"/>
      <c r="R143" s="152"/>
      <c r="S143" s="152"/>
      <c r="T143" s="62" t="str">
        <f aca="false">IF(OR($C143="",R143=""),"",IF(R143/IF($R$2="",100,$R$2)&gt;=設定!$I$28,設定!$G$8,IF(R143/IF($R$2="",100,$R$2)&lt;設定!$I$29,設定!$G$10,設定!$G$9)))</f>
        <v/>
      </c>
      <c r="U143" s="62" t="str">
        <f aca="false">IF(OR($C143="",S143=""),"",IF(S143/IF($S$2="",100,$S$2)&gt;=設定!$I$28,設定!$G$8,IF(S143/IF($S$2="",100,$S$2)&lt;設定!$I$29,設定!$G$10,設定!$G$9)))</f>
        <v/>
      </c>
    </row>
    <row r="144" customFormat="false" ht="21" hidden="false" customHeight="true" outlineLevel="0" collapsed="false">
      <c r="A144" s="91" t="str">
        <f aca="false">IF(名簿!$D144="","",名簿!$B144&amp;"")</f>
        <v/>
      </c>
      <c r="B144" s="91" t="str">
        <f aca="false">IF(名簿!$D144="","",名簿!$C144)</f>
        <v/>
      </c>
      <c r="C144" s="59" t="str">
        <f aca="false">IF(名簿!$D144="","",名簿!$D144&amp;IF(名簿!$F144="転出","（転出）",""))</f>
        <v/>
      </c>
      <c r="D144" s="149"/>
      <c r="E144" s="61" t="str">
        <f aca="false">IF(OR($C144="",名簿!$F144="転出"),"",IF($C$2="学級ごと",$A144,IF($C$2="前の単元と同じ",単元11!$E144&amp;"",$D144&amp;"")))</f>
        <v/>
      </c>
      <c r="F144" s="150"/>
      <c r="G144" s="150"/>
      <c r="H144" s="150"/>
      <c r="I144" s="151"/>
      <c r="J144" s="41" t="str">
        <f aca="false">IF($E144="","",$E144&amp;"|"&amp;COUNTIF($E$5:$E144,$E144))</f>
        <v/>
      </c>
      <c r="K144" s="40" t="str">
        <f aca="false">IF($I144="","",LEN($I144))</f>
        <v/>
      </c>
      <c r="L144" s="13"/>
      <c r="M144" s="13"/>
      <c r="N144" s="13"/>
      <c r="O144" s="13"/>
      <c r="P144" s="152"/>
      <c r="Q144" s="149"/>
      <c r="R144" s="152"/>
      <c r="S144" s="152"/>
      <c r="T144" s="62" t="str">
        <f aca="false">IF(OR($C144="",R144=""),"",IF(R144/IF($R$2="",100,$R$2)&gt;=設定!$I$28,設定!$G$8,IF(R144/IF($R$2="",100,$R$2)&lt;設定!$I$29,設定!$G$10,設定!$G$9)))</f>
        <v/>
      </c>
      <c r="U144" s="62" t="str">
        <f aca="false">IF(OR($C144="",S144=""),"",IF(S144/IF($S$2="",100,$S$2)&gt;=設定!$I$28,設定!$G$8,IF(S144/IF($S$2="",100,$S$2)&lt;設定!$I$29,設定!$G$10,設定!$G$9)))</f>
        <v/>
      </c>
    </row>
    <row r="145" customFormat="false" ht="21" hidden="false" customHeight="true" outlineLevel="0" collapsed="false">
      <c r="A145" s="91" t="str">
        <f aca="false">IF(名簿!$D145="","",名簿!$B145&amp;"")</f>
        <v/>
      </c>
      <c r="B145" s="91" t="str">
        <f aca="false">IF(名簿!$D145="","",名簿!$C145)</f>
        <v/>
      </c>
      <c r="C145" s="59" t="str">
        <f aca="false">IF(名簿!$D145="","",名簿!$D145&amp;IF(名簿!$F145="転出","（転出）",""))</f>
        <v/>
      </c>
      <c r="D145" s="149"/>
      <c r="E145" s="61" t="str">
        <f aca="false">IF(OR($C145="",名簿!$F145="転出"),"",IF($C$2="学級ごと",$A145,IF($C$2="前の単元と同じ",単元11!$E145&amp;"",$D145&amp;"")))</f>
        <v/>
      </c>
      <c r="F145" s="150"/>
      <c r="G145" s="150"/>
      <c r="H145" s="150"/>
      <c r="I145" s="151"/>
      <c r="J145" s="41" t="str">
        <f aca="false">IF($E145="","",$E145&amp;"|"&amp;COUNTIF($E$5:$E145,$E145))</f>
        <v/>
      </c>
      <c r="K145" s="40" t="str">
        <f aca="false">IF($I145="","",LEN($I145))</f>
        <v/>
      </c>
      <c r="L145" s="13"/>
      <c r="M145" s="13"/>
      <c r="N145" s="13"/>
      <c r="O145" s="13"/>
      <c r="P145" s="152"/>
      <c r="Q145" s="149"/>
      <c r="R145" s="152"/>
      <c r="S145" s="152"/>
      <c r="T145" s="62" t="str">
        <f aca="false">IF(OR($C145="",R145=""),"",IF(R145/IF($R$2="",100,$R$2)&gt;=設定!$I$28,設定!$G$8,IF(R145/IF($R$2="",100,$R$2)&lt;設定!$I$29,設定!$G$10,設定!$G$9)))</f>
        <v/>
      </c>
      <c r="U145" s="62" t="str">
        <f aca="false">IF(OR($C145="",S145=""),"",IF(S145/IF($S$2="",100,$S$2)&gt;=設定!$I$28,設定!$G$8,IF(S145/IF($S$2="",100,$S$2)&lt;設定!$I$29,設定!$G$10,設定!$G$9)))</f>
        <v/>
      </c>
    </row>
    <row r="146" customFormat="false" ht="21" hidden="false" customHeight="true" outlineLevel="0" collapsed="false">
      <c r="A146" s="91" t="str">
        <f aca="false">IF(名簿!$D146="","",名簿!$B146&amp;"")</f>
        <v/>
      </c>
      <c r="B146" s="91" t="str">
        <f aca="false">IF(名簿!$D146="","",名簿!$C146)</f>
        <v/>
      </c>
      <c r="C146" s="59" t="str">
        <f aca="false">IF(名簿!$D146="","",名簿!$D146&amp;IF(名簿!$F146="転出","（転出）",""))</f>
        <v/>
      </c>
      <c r="D146" s="149"/>
      <c r="E146" s="61" t="str">
        <f aca="false">IF(OR($C146="",名簿!$F146="転出"),"",IF($C$2="学級ごと",$A146,IF($C$2="前の単元と同じ",単元11!$E146&amp;"",$D146&amp;"")))</f>
        <v/>
      </c>
      <c r="F146" s="150"/>
      <c r="G146" s="150"/>
      <c r="H146" s="150"/>
      <c r="I146" s="151"/>
      <c r="J146" s="41" t="str">
        <f aca="false">IF($E146="","",$E146&amp;"|"&amp;COUNTIF($E$5:$E146,$E146))</f>
        <v/>
      </c>
      <c r="K146" s="40" t="str">
        <f aca="false">IF($I146="","",LEN($I146))</f>
        <v/>
      </c>
      <c r="L146" s="13"/>
      <c r="M146" s="13"/>
      <c r="N146" s="13"/>
      <c r="O146" s="13"/>
      <c r="P146" s="152"/>
      <c r="Q146" s="149"/>
      <c r="R146" s="152"/>
      <c r="S146" s="152"/>
      <c r="T146" s="62" t="str">
        <f aca="false">IF(OR($C146="",R146=""),"",IF(R146/IF($R$2="",100,$R$2)&gt;=設定!$I$28,設定!$G$8,IF(R146/IF($R$2="",100,$R$2)&lt;設定!$I$29,設定!$G$10,設定!$G$9)))</f>
        <v/>
      </c>
      <c r="U146" s="62" t="str">
        <f aca="false">IF(OR($C146="",S146=""),"",IF(S146/IF($S$2="",100,$S$2)&gt;=設定!$I$28,設定!$G$8,IF(S146/IF($S$2="",100,$S$2)&lt;設定!$I$29,設定!$G$10,設定!$G$9)))</f>
        <v/>
      </c>
    </row>
    <row r="147" customFormat="false" ht="21" hidden="false" customHeight="true" outlineLevel="0" collapsed="false">
      <c r="A147" s="91" t="str">
        <f aca="false">IF(名簿!$D147="","",名簿!$B147&amp;"")</f>
        <v/>
      </c>
      <c r="B147" s="91" t="str">
        <f aca="false">IF(名簿!$D147="","",名簿!$C147)</f>
        <v/>
      </c>
      <c r="C147" s="59" t="str">
        <f aca="false">IF(名簿!$D147="","",名簿!$D147&amp;IF(名簿!$F147="転出","（転出）",""))</f>
        <v/>
      </c>
      <c r="D147" s="149"/>
      <c r="E147" s="61" t="str">
        <f aca="false">IF(OR($C147="",名簿!$F147="転出"),"",IF($C$2="学級ごと",$A147,IF($C$2="前の単元と同じ",単元11!$E147&amp;"",$D147&amp;"")))</f>
        <v/>
      </c>
      <c r="F147" s="150"/>
      <c r="G147" s="150"/>
      <c r="H147" s="150"/>
      <c r="I147" s="151"/>
      <c r="J147" s="41" t="str">
        <f aca="false">IF($E147="","",$E147&amp;"|"&amp;COUNTIF($E$5:$E147,$E147))</f>
        <v/>
      </c>
      <c r="K147" s="40" t="str">
        <f aca="false">IF($I147="","",LEN($I147))</f>
        <v/>
      </c>
      <c r="L147" s="13"/>
      <c r="M147" s="13"/>
      <c r="N147" s="13"/>
      <c r="O147" s="13"/>
      <c r="P147" s="152"/>
      <c r="Q147" s="149"/>
      <c r="R147" s="152"/>
      <c r="S147" s="152"/>
      <c r="T147" s="62" t="str">
        <f aca="false">IF(OR($C147="",R147=""),"",IF(R147/IF($R$2="",100,$R$2)&gt;=設定!$I$28,設定!$G$8,IF(R147/IF($R$2="",100,$R$2)&lt;設定!$I$29,設定!$G$10,設定!$G$9)))</f>
        <v/>
      </c>
      <c r="U147" s="62" t="str">
        <f aca="false">IF(OR($C147="",S147=""),"",IF(S147/IF($S$2="",100,$S$2)&gt;=設定!$I$28,設定!$G$8,IF(S147/IF($S$2="",100,$S$2)&lt;設定!$I$29,設定!$G$10,設定!$G$9)))</f>
        <v/>
      </c>
    </row>
    <row r="148" customFormat="false" ht="21" hidden="false" customHeight="true" outlineLevel="0" collapsed="false">
      <c r="A148" s="91" t="str">
        <f aca="false">IF(名簿!$D148="","",名簿!$B148&amp;"")</f>
        <v/>
      </c>
      <c r="B148" s="91" t="str">
        <f aca="false">IF(名簿!$D148="","",名簿!$C148)</f>
        <v/>
      </c>
      <c r="C148" s="59" t="str">
        <f aca="false">IF(名簿!$D148="","",名簿!$D148&amp;IF(名簿!$F148="転出","（転出）",""))</f>
        <v/>
      </c>
      <c r="D148" s="149"/>
      <c r="E148" s="61" t="str">
        <f aca="false">IF(OR($C148="",名簿!$F148="転出"),"",IF($C$2="学級ごと",$A148,IF($C$2="前の単元と同じ",単元11!$E148&amp;"",$D148&amp;"")))</f>
        <v/>
      </c>
      <c r="F148" s="150"/>
      <c r="G148" s="150"/>
      <c r="H148" s="150"/>
      <c r="I148" s="151"/>
      <c r="J148" s="41" t="str">
        <f aca="false">IF($E148="","",$E148&amp;"|"&amp;COUNTIF($E$5:$E148,$E148))</f>
        <v/>
      </c>
      <c r="K148" s="40" t="str">
        <f aca="false">IF($I148="","",LEN($I148))</f>
        <v/>
      </c>
      <c r="L148" s="13"/>
      <c r="M148" s="13"/>
      <c r="N148" s="13"/>
      <c r="O148" s="13"/>
      <c r="P148" s="152"/>
      <c r="Q148" s="149"/>
      <c r="R148" s="152"/>
      <c r="S148" s="152"/>
      <c r="T148" s="62" t="str">
        <f aca="false">IF(OR($C148="",R148=""),"",IF(R148/IF($R$2="",100,$R$2)&gt;=設定!$I$28,設定!$G$8,IF(R148/IF($R$2="",100,$R$2)&lt;設定!$I$29,設定!$G$10,設定!$G$9)))</f>
        <v/>
      </c>
      <c r="U148" s="62" t="str">
        <f aca="false">IF(OR($C148="",S148=""),"",IF(S148/IF($S$2="",100,$S$2)&gt;=設定!$I$28,設定!$G$8,IF(S148/IF($S$2="",100,$S$2)&lt;設定!$I$29,設定!$G$10,設定!$G$9)))</f>
        <v/>
      </c>
    </row>
    <row r="149" customFormat="false" ht="21" hidden="false" customHeight="true" outlineLevel="0" collapsed="false">
      <c r="A149" s="91" t="str">
        <f aca="false">IF(名簿!$D149="","",名簿!$B149&amp;"")</f>
        <v/>
      </c>
      <c r="B149" s="91" t="str">
        <f aca="false">IF(名簿!$D149="","",名簿!$C149)</f>
        <v/>
      </c>
      <c r="C149" s="59" t="str">
        <f aca="false">IF(名簿!$D149="","",名簿!$D149&amp;IF(名簿!$F149="転出","（転出）",""))</f>
        <v/>
      </c>
      <c r="D149" s="149"/>
      <c r="E149" s="61" t="str">
        <f aca="false">IF(OR($C149="",名簿!$F149="転出"),"",IF($C$2="学級ごと",$A149,IF($C$2="前の単元と同じ",単元11!$E149&amp;"",$D149&amp;"")))</f>
        <v/>
      </c>
      <c r="F149" s="150"/>
      <c r="G149" s="150"/>
      <c r="H149" s="150"/>
      <c r="I149" s="151"/>
      <c r="J149" s="41" t="str">
        <f aca="false">IF($E149="","",$E149&amp;"|"&amp;COUNTIF($E$5:$E149,$E149))</f>
        <v/>
      </c>
      <c r="K149" s="40" t="str">
        <f aca="false">IF($I149="","",LEN($I149))</f>
        <v/>
      </c>
      <c r="L149" s="13"/>
      <c r="M149" s="13"/>
      <c r="N149" s="13"/>
      <c r="O149" s="13"/>
      <c r="P149" s="152"/>
      <c r="Q149" s="149"/>
      <c r="R149" s="152"/>
      <c r="S149" s="152"/>
      <c r="T149" s="62" t="str">
        <f aca="false">IF(OR($C149="",R149=""),"",IF(R149/IF($R$2="",100,$R$2)&gt;=設定!$I$28,設定!$G$8,IF(R149/IF($R$2="",100,$R$2)&lt;設定!$I$29,設定!$G$10,設定!$G$9)))</f>
        <v/>
      </c>
      <c r="U149" s="62" t="str">
        <f aca="false">IF(OR($C149="",S149=""),"",IF(S149/IF($S$2="",100,$S$2)&gt;=設定!$I$28,設定!$G$8,IF(S149/IF($S$2="",100,$S$2)&lt;設定!$I$29,設定!$G$10,設定!$G$9)))</f>
        <v/>
      </c>
    </row>
    <row r="150" customFormat="false" ht="21" hidden="false" customHeight="true" outlineLevel="0" collapsed="false">
      <c r="A150" s="91" t="str">
        <f aca="false">IF(名簿!$D150="","",名簿!$B150&amp;"")</f>
        <v/>
      </c>
      <c r="B150" s="91" t="str">
        <f aca="false">IF(名簿!$D150="","",名簿!$C150)</f>
        <v/>
      </c>
      <c r="C150" s="59" t="str">
        <f aca="false">IF(名簿!$D150="","",名簿!$D150&amp;IF(名簿!$F150="転出","（転出）",""))</f>
        <v/>
      </c>
      <c r="D150" s="149"/>
      <c r="E150" s="61" t="str">
        <f aca="false">IF(OR($C150="",名簿!$F150="転出"),"",IF($C$2="学級ごと",$A150,IF($C$2="前の単元と同じ",単元11!$E150&amp;"",$D150&amp;"")))</f>
        <v/>
      </c>
      <c r="F150" s="150"/>
      <c r="G150" s="150"/>
      <c r="H150" s="150"/>
      <c r="I150" s="151"/>
      <c r="J150" s="41" t="str">
        <f aca="false">IF($E150="","",$E150&amp;"|"&amp;COUNTIF($E$5:$E150,$E150))</f>
        <v/>
      </c>
      <c r="K150" s="40" t="str">
        <f aca="false">IF($I150="","",LEN($I150))</f>
        <v/>
      </c>
      <c r="L150" s="13"/>
      <c r="M150" s="13"/>
      <c r="N150" s="13"/>
      <c r="O150" s="13"/>
      <c r="P150" s="152"/>
      <c r="Q150" s="149"/>
      <c r="R150" s="152"/>
      <c r="S150" s="152"/>
      <c r="T150" s="62" t="str">
        <f aca="false">IF(OR($C150="",R150=""),"",IF(R150/IF($R$2="",100,$R$2)&gt;=設定!$I$28,設定!$G$8,IF(R150/IF($R$2="",100,$R$2)&lt;設定!$I$29,設定!$G$10,設定!$G$9)))</f>
        <v/>
      </c>
      <c r="U150" s="62" t="str">
        <f aca="false">IF(OR($C150="",S150=""),"",IF(S150/IF($S$2="",100,$S$2)&gt;=設定!$I$28,設定!$G$8,IF(S150/IF($S$2="",100,$S$2)&lt;設定!$I$29,設定!$G$10,設定!$G$9)))</f>
        <v/>
      </c>
    </row>
    <row r="151" customFormat="false" ht="21" hidden="false" customHeight="true" outlineLevel="0" collapsed="false">
      <c r="A151" s="91" t="str">
        <f aca="false">IF(名簿!$D151="","",名簿!$B151&amp;"")</f>
        <v/>
      </c>
      <c r="B151" s="91" t="str">
        <f aca="false">IF(名簿!$D151="","",名簿!$C151)</f>
        <v/>
      </c>
      <c r="C151" s="59" t="str">
        <f aca="false">IF(名簿!$D151="","",名簿!$D151&amp;IF(名簿!$F151="転出","（転出）",""))</f>
        <v/>
      </c>
      <c r="D151" s="149"/>
      <c r="E151" s="61" t="str">
        <f aca="false">IF(OR($C151="",名簿!$F151="転出"),"",IF($C$2="学級ごと",$A151,IF($C$2="前の単元と同じ",単元11!$E151&amp;"",$D151&amp;"")))</f>
        <v/>
      </c>
      <c r="F151" s="150"/>
      <c r="G151" s="150"/>
      <c r="H151" s="150"/>
      <c r="I151" s="151"/>
      <c r="J151" s="41" t="str">
        <f aca="false">IF($E151="","",$E151&amp;"|"&amp;COUNTIF($E$5:$E151,$E151))</f>
        <v/>
      </c>
      <c r="K151" s="40" t="str">
        <f aca="false">IF($I151="","",LEN($I151))</f>
        <v/>
      </c>
      <c r="L151" s="13"/>
      <c r="M151" s="13"/>
      <c r="N151" s="13"/>
      <c r="O151" s="13"/>
      <c r="P151" s="152"/>
      <c r="Q151" s="149"/>
      <c r="R151" s="152"/>
      <c r="S151" s="152"/>
      <c r="T151" s="62" t="str">
        <f aca="false">IF(OR($C151="",R151=""),"",IF(R151/IF($R$2="",100,$R$2)&gt;=設定!$I$28,設定!$G$8,IF(R151/IF($R$2="",100,$R$2)&lt;設定!$I$29,設定!$G$10,設定!$G$9)))</f>
        <v/>
      </c>
      <c r="U151" s="62" t="str">
        <f aca="false">IF(OR($C151="",S151=""),"",IF(S151/IF($S$2="",100,$S$2)&gt;=設定!$I$28,設定!$G$8,IF(S151/IF($S$2="",100,$S$2)&lt;設定!$I$29,設定!$G$10,設定!$G$9)))</f>
        <v/>
      </c>
    </row>
    <row r="152" customFormat="false" ht="21" hidden="false" customHeight="true" outlineLevel="0" collapsed="false">
      <c r="A152" s="91" t="str">
        <f aca="false">IF(名簿!$D152="","",名簿!$B152&amp;"")</f>
        <v/>
      </c>
      <c r="B152" s="91" t="str">
        <f aca="false">IF(名簿!$D152="","",名簿!$C152)</f>
        <v/>
      </c>
      <c r="C152" s="59" t="str">
        <f aca="false">IF(名簿!$D152="","",名簿!$D152&amp;IF(名簿!$F152="転出","（転出）",""))</f>
        <v/>
      </c>
      <c r="D152" s="149"/>
      <c r="E152" s="61" t="str">
        <f aca="false">IF(OR($C152="",名簿!$F152="転出"),"",IF($C$2="学級ごと",$A152,IF($C$2="前の単元と同じ",単元11!$E152&amp;"",$D152&amp;"")))</f>
        <v/>
      </c>
      <c r="F152" s="150"/>
      <c r="G152" s="150"/>
      <c r="H152" s="150"/>
      <c r="I152" s="151"/>
      <c r="J152" s="41" t="str">
        <f aca="false">IF($E152="","",$E152&amp;"|"&amp;COUNTIF($E$5:$E152,$E152))</f>
        <v/>
      </c>
      <c r="K152" s="40" t="str">
        <f aca="false">IF($I152="","",LEN($I152))</f>
        <v/>
      </c>
      <c r="L152" s="13"/>
      <c r="M152" s="13"/>
      <c r="N152" s="13"/>
      <c r="O152" s="13"/>
      <c r="P152" s="152"/>
      <c r="Q152" s="149"/>
      <c r="R152" s="152"/>
      <c r="S152" s="152"/>
      <c r="T152" s="62" t="str">
        <f aca="false">IF(OR($C152="",R152=""),"",IF(R152/IF($R$2="",100,$R$2)&gt;=設定!$I$28,設定!$G$8,IF(R152/IF($R$2="",100,$R$2)&lt;設定!$I$29,設定!$G$10,設定!$G$9)))</f>
        <v/>
      </c>
      <c r="U152" s="62" t="str">
        <f aca="false">IF(OR($C152="",S152=""),"",IF(S152/IF($S$2="",100,$S$2)&gt;=設定!$I$28,設定!$G$8,IF(S152/IF($S$2="",100,$S$2)&lt;設定!$I$29,設定!$G$10,設定!$G$9)))</f>
        <v/>
      </c>
    </row>
    <row r="153" customFormat="false" ht="21" hidden="false" customHeight="true" outlineLevel="0" collapsed="false">
      <c r="A153" s="91" t="str">
        <f aca="false">IF(名簿!$D153="","",名簿!$B153&amp;"")</f>
        <v/>
      </c>
      <c r="B153" s="91" t="str">
        <f aca="false">IF(名簿!$D153="","",名簿!$C153)</f>
        <v/>
      </c>
      <c r="C153" s="59" t="str">
        <f aca="false">IF(名簿!$D153="","",名簿!$D153&amp;IF(名簿!$F153="転出","（転出）",""))</f>
        <v/>
      </c>
      <c r="D153" s="149"/>
      <c r="E153" s="61" t="str">
        <f aca="false">IF(OR($C153="",名簿!$F153="転出"),"",IF($C$2="学級ごと",$A153,IF($C$2="前の単元と同じ",単元11!$E153&amp;"",$D153&amp;"")))</f>
        <v/>
      </c>
      <c r="F153" s="150"/>
      <c r="G153" s="150"/>
      <c r="H153" s="150"/>
      <c r="I153" s="151"/>
      <c r="J153" s="41" t="str">
        <f aca="false">IF($E153="","",$E153&amp;"|"&amp;COUNTIF($E$5:$E153,$E153))</f>
        <v/>
      </c>
      <c r="K153" s="40" t="str">
        <f aca="false">IF($I153="","",LEN($I153))</f>
        <v/>
      </c>
      <c r="L153" s="13"/>
      <c r="M153" s="13"/>
      <c r="N153" s="13"/>
      <c r="O153" s="13"/>
      <c r="P153" s="152"/>
      <c r="Q153" s="149"/>
      <c r="R153" s="152"/>
      <c r="S153" s="152"/>
      <c r="T153" s="62" t="str">
        <f aca="false">IF(OR($C153="",R153=""),"",IF(R153/IF($R$2="",100,$R$2)&gt;=設定!$I$28,設定!$G$8,IF(R153/IF($R$2="",100,$R$2)&lt;設定!$I$29,設定!$G$10,設定!$G$9)))</f>
        <v/>
      </c>
      <c r="U153" s="62" t="str">
        <f aca="false">IF(OR($C153="",S153=""),"",IF(S153/IF($S$2="",100,$S$2)&gt;=設定!$I$28,設定!$G$8,IF(S153/IF($S$2="",100,$S$2)&lt;設定!$I$29,設定!$G$10,設定!$G$9)))</f>
        <v/>
      </c>
    </row>
    <row r="154" customFormat="false" ht="21" hidden="false" customHeight="true" outlineLevel="0" collapsed="false">
      <c r="A154" s="91" t="str">
        <f aca="false">IF(名簿!$D154="","",名簿!$B154&amp;"")</f>
        <v/>
      </c>
      <c r="B154" s="91" t="str">
        <f aca="false">IF(名簿!$D154="","",名簿!$C154)</f>
        <v/>
      </c>
      <c r="C154" s="59" t="str">
        <f aca="false">IF(名簿!$D154="","",名簿!$D154&amp;IF(名簿!$F154="転出","（転出）",""))</f>
        <v/>
      </c>
      <c r="D154" s="149"/>
      <c r="E154" s="61" t="str">
        <f aca="false">IF(OR($C154="",名簿!$F154="転出"),"",IF($C$2="学級ごと",$A154,IF($C$2="前の単元と同じ",単元11!$E154&amp;"",$D154&amp;"")))</f>
        <v/>
      </c>
      <c r="F154" s="150"/>
      <c r="G154" s="150"/>
      <c r="H154" s="150"/>
      <c r="I154" s="151"/>
      <c r="J154" s="41" t="str">
        <f aca="false">IF($E154="","",$E154&amp;"|"&amp;COUNTIF($E$5:$E154,$E154))</f>
        <v/>
      </c>
      <c r="K154" s="40" t="str">
        <f aca="false">IF($I154="","",LEN($I154))</f>
        <v/>
      </c>
      <c r="L154" s="13"/>
      <c r="M154" s="13"/>
      <c r="N154" s="13"/>
      <c r="O154" s="13"/>
      <c r="P154" s="152"/>
      <c r="Q154" s="149"/>
      <c r="R154" s="152"/>
      <c r="S154" s="152"/>
      <c r="T154" s="62" t="str">
        <f aca="false">IF(OR($C154="",R154=""),"",IF(R154/IF($R$2="",100,$R$2)&gt;=設定!$I$28,設定!$G$8,IF(R154/IF($R$2="",100,$R$2)&lt;設定!$I$29,設定!$G$10,設定!$G$9)))</f>
        <v/>
      </c>
      <c r="U154" s="62" t="str">
        <f aca="false">IF(OR($C154="",S154=""),"",IF(S154/IF($S$2="",100,$S$2)&gt;=設定!$I$28,設定!$G$8,IF(S154/IF($S$2="",100,$S$2)&lt;設定!$I$29,設定!$G$10,設定!$G$9)))</f>
        <v/>
      </c>
    </row>
    <row r="155" customFormat="false" ht="21" hidden="false" customHeight="true" outlineLevel="0" collapsed="false">
      <c r="A155" s="91" t="str">
        <f aca="false">IF(名簿!$D155="","",名簿!$B155&amp;"")</f>
        <v/>
      </c>
      <c r="B155" s="91" t="str">
        <f aca="false">IF(名簿!$D155="","",名簿!$C155)</f>
        <v/>
      </c>
      <c r="C155" s="59" t="str">
        <f aca="false">IF(名簿!$D155="","",名簿!$D155&amp;IF(名簿!$F155="転出","（転出）",""))</f>
        <v/>
      </c>
      <c r="D155" s="149"/>
      <c r="E155" s="61" t="str">
        <f aca="false">IF(OR($C155="",名簿!$F155="転出"),"",IF($C$2="学級ごと",$A155,IF($C$2="前の単元と同じ",単元11!$E155&amp;"",$D155&amp;"")))</f>
        <v/>
      </c>
      <c r="F155" s="150"/>
      <c r="G155" s="150"/>
      <c r="H155" s="150"/>
      <c r="I155" s="151"/>
      <c r="J155" s="41" t="str">
        <f aca="false">IF($E155="","",$E155&amp;"|"&amp;COUNTIF($E$5:$E155,$E155))</f>
        <v/>
      </c>
      <c r="K155" s="40" t="str">
        <f aca="false">IF($I155="","",LEN($I155))</f>
        <v/>
      </c>
      <c r="L155" s="13"/>
      <c r="M155" s="13"/>
      <c r="N155" s="13"/>
      <c r="O155" s="13"/>
      <c r="P155" s="152"/>
      <c r="Q155" s="149"/>
      <c r="R155" s="152"/>
      <c r="S155" s="152"/>
      <c r="T155" s="62" t="str">
        <f aca="false">IF(OR($C155="",R155=""),"",IF(R155/IF($R$2="",100,$R$2)&gt;=設定!$I$28,設定!$G$8,IF(R155/IF($R$2="",100,$R$2)&lt;設定!$I$29,設定!$G$10,設定!$G$9)))</f>
        <v/>
      </c>
      <c r="U155" s="62" t="str">
        <f aca="false">IF(OR($C155="",S155=""),"",IF(S155/IF($S$2="",100,$S$2)&gt;=設定!$I$28,設定!$G$8,IF(S155/IF($S$2="",100,$S$2)&lt;設定!$I$29,設定!$G$10,設定!$G$9)))</f>
        <v/>
      </c>
    </row>
    <row r="156" customFormat="false" ht="21" hidden="false" customHeight="true" outlineLevel="0" collapsed="false">
      <c r="A156" s="91" t="str">
        <f aca="false">IF(名簿!$D156="","",名簿!$B156&amp;"")</f>
        <v/>
      </c>
      <c r="B156" s="91" t="str">
        <f aca="false">IF(名簿!$D156="","",名簿!$C156)</f>
        <v/>
      </c>
      <c r="C156" s="59" t="str">
        <f aca="false">IF(名簿!$D156="","",名簿!$D156&amp;IF(名簿!$F156="転出","（転出）",""))</f>
        <v/>
      </c>
      <c r="D156" s="149"/>
      <c r="E156" s="61" t="str">
        <f aca="false">IF(OR($C156="",名簿!$F156="転出"),"",IF($C$2="学級ごと",$A156,IF($C$2="前の単元と同じ",単元11!$E156&amp;"",$D156&amp;"")))</f>
        <v/>
      </c>
      <c r="F156" s="150"/>
      <c r="G156" s="150"/>
      <c r="H156" s="150"/>
      <c r="I156" s="151"/>
      <c r="J156" s="41" t="str">
        <f aca="false">IF($E156="","",$E156&amp;"|"&amp;COUNTIF($E$5:$E156,$E156))</f>
        <v/>
      </c>
      <c r="K156" s="40" t="str">
        <f aca="false">IF($I156="","",LEN($I156))</f>
        <v/>
      </c>
      <c r="L156" s="13"/>
      <c r="M156" s="13"/>
      <c r="N156" s="13"/>
      <c r="O156" s="13"/>
      <c r="P156" s="152"/>
      <c r="Q156" s="149"/>
      <c r="R156" s="152"/>
      <c r="S156" s="152"/>
      <c r="T156" s="62" t="str">
        <f aca="false">IF(OR($C156="",R156=""),"",IF(R156/IF($R$2="",100,$R$2)&gt;=設定!$I$28,設定!$G$8,IF(R156/IF($R$2="",100,$R$2)&lt;設定!$I$29,設定!$G$10,設定!$G$9)))</f>
        <v/>
      </c>
      <c r="U156" s="62" t="str">
        <f aca="false">IF(OR($C156="",S156=""),"",IF(S156/IF($S$2="",100,$S$2)&gt;=設定!$I$28,設定!$G$8,IF(S156/IF($S$2="",100,$S$2)&lt;設定!$I$29,設定!$G$10,設定!$G$9)))</f>
        <v/>
      </c>
    </row>
    <row r="157" customFormat="false" ht="21" hidden="false" customHeight="true" outlineLevel="0" collapsed="false">
      <c r="A157" s="91" t="str">
        <f aca="false">IF(名簿!$D157="","",名簿!$B157&amp;"")</f>
        <v/>
      </c>
      <c r="B157" s="91" t="str">
        <f aca="false">IF(名簿!$D157="","",名簿!$C157)</f>
        <v/>
      </c>
      <c r="C157" s="59" t="str">
        <f aca="false">IF(名簿!$D157="","",名簿!$D157&amp;IF(名簿!$F157="転出","（転出）",""))</f>
        <v/>
      </c>
      <c r="D157" s="149"/>
      <c r="E157" s="61" t="str">
        <f aca="false">IF(OR($C157="",名簿!$F157="転出"),"",IF($C$2="学級ごと",$A157,IF($C$2="前の単元と同じ",単元11!$E157&amp;"",$D157&amp;"")))</f>
        <v/>
      </c>
      <c r="F157" s="150"/>
      <c r="G157" s="150"/>
      <c r="H157" s="150"/>
      <c r="I157" s="151"/>
      <c r="J157" s="41" t="str">
        <f aca="false">IF($E157="","",$E157&amp;"|"&amp;COUNTIF($E$5:$E157,$E157))</f>
        <v/>
      </c>
      <c r="K157" s="40" t="str">
        <f aca="false">IF($I157="","",LEN($I157))</f>
        <v/>
      </c>
      <c r="L157" s="13"/>
      <c r="M157" s="13"/>
      <c r="N157" s="13"/>
      <c r="O157" s="13"/>
      <c r="P157" s="152"/>
      <c r="Q157" s="149"/>
      <c r="R157" s="152"/>
      <c r="S157" s="152"/>
      <c r="T157" s="62" t="str">
        <f aca="false">IF(OR($C157="",R157=""),"",IF(R157/IF($R$2="",100,$R$2)&gt;=設定!$I$28,設定!$G$8,IF(R157/IF($R$2="",100,$R$2)&lt;設定!$I$29,設定!$G$10,設定!$G$9)))</f>
        <v/>
      </c>
      <c r="U157" s="62" t="str">
        <f aca="false">IF(OR($C157="",S157=""),"",IF(S157/IF($S$2="",100,$S$2)&gt;=設定!$I$28,設定!$G$8,IF(S157/IF($S$2="",100,$S$2)&lt;設定!$I$29,設定!$G$10,設定!$G$9)))</f>
        <v/>
      </c>
    </row>
    <row r="158" customFormat="false" ht="21" hidden="false" customHeight="true" outlineLevel="0" collapsed="false">
      <c r="A158" s="91" t="str">
        <f aca="false">IF(名簿!$D158="","",名簿!$B158&amp;"")</f>
        <v/>
      </c>
      <c r="B158" s="91" t="str">
        <f aca="false">IF(名簿!$D158="","",名簿!$C158)</f>
        <v/>
      </c>
      <c r="C158" s="59" t="str">
        <f aca="false">IF(名簿!$D158="","",名簿!$D158&amp;IF(名簿!$F158="転出","（転出）",""))</f>
        <v/>
      </c>
      <c r="D158" s="149"/>
      <c r="E158" s="61" t="str">
        <f aca="false">IF(OR($C158="",名簿!$F158="転出"),"",IF($C$2="学級ごと",$A158,IF($C$2="前の単元と同じ",単元11!$E158&amp;"",$D158&amp;"")))</f>
        <v/>
      </c>
      <c r="F158" s="150"/>
      <c r="G158" s="150"/>
      <c r="H158" s="150"/>
      <c r="I158" s="151"/>
      <c r="J158" s="41" t="str">
        <f aca="false">IF($E158="","",$E158&amp;"|"&amp;COUNTIF($E$5:$E158,$E158))</f>
        <v/>
      </c>
      <c r="K158" s="40" t="str">
        <f aca="false">IF($I158="","",LEN($I158))</f>
        <v/>
      </c>
      <c r="L158" s="13"/>
      <c r="M158" s="13"/>
      <c r="N158" s="13"/>
      <c r="O158" s="13"/>
      <c r="P158" s="152"/>
      <c r="Q158" s="149"/>
      <c r="R158" s="152"/>
      <c r="S158" s="152"/>
      <c r="T158" s="62" t="str">
        <f aca="false">IF(OR($C158="",R158=""),"",IF(R158/IF($R$2="",100,$R$2)&gt;=設定!$I$28,設定!$G$8,IF(R158/IF($R$2="",100,$R$2)&lt;設定!$I$29,設定!$G$10,設定!$G$9)))</f>
        <v/>
      </c>
      <c r="U158" s="62" t="str">
        <f aca="false">IF(OR($C158="",S158=""),"",IF(S158/IF($S$2="",100,$S$2)&gt;=設定!$I$28,設定!$G$8,IF(S158/IF($S$2="",100,$S$2)&lt;設定!$I$29,設定!$G$10,設定!$G$9)))</f>
        <v/>
      </c>
    </row>
    <row r="159" customFormat="false" ht="21" hidden="false" customHeight="true" outlineLevel="0" collapsed="false">
      <c r="A159" s="91" t="str">
        <f aca="false">IF(名簿!$D159="","",名簿!$B159&amp;"")</f>
        <v/>
      </c>
      <c r="B159" s="91" t="str">
        <f aca="false">IF(名簿!$D159="","",名簿!$C159)</f>
        <v/>
      </c>
      <c r="C159" s="59" t="str">
        <f aca="false">IF(名簿!$D159="","",名簿!$D159&amp;IF(名簿!$F159="転出","（転出）",""))</f>
        <v/>
      </c>
      <c r="D159" s="149"/>
      <c r="E159" s="61" t="str">
        <f aca="false">IF(OR($C159="",名簿!$F159="転出"),"",IF($C$2="学級ごと",$A159,IF($C$2="前の単元と同じ",単元11!$E159&amp;"",$D159&amp;"")))</f>
        <v/>
      </c>
      <c r="F159" s="150"/>
      <c r="G159" s="150"/>
      <c r="H159" s="150"/>
      <c r="I159" s="151"/>
      <c r="J159" s="41" t="str">
        <f aca="false">IF($E159="","",$E159&amp;"|"&amp;COUNTIF($E$5:$E159,$E159))</f>
        <v/>
      </c>
      <c r="K159" s="40" t="str">
        <f aca="false">IF($I159="","",LEN($I159))</f>
        <v/>
      </c>
      <c r="L159" s="13"/>
      <c r="M159" s="13"/>
      <c r="N159" s="13"/>
      <c r="O159" s="13"/>
      <c r="P159" s="152"/>
      <c r="Q159" s="149"/>
      <c r="R159" s="152"/>
      <c r="S159" s="152"/>
      <c r="T159" s="62" t="str">
        <f aca="false">IF(OR($C159="",R159=""),"",IF(R159/IF($R$2="",100,$R$2)&gt;=設定!$I$28,設定!$G$8,IF(R159/IF($R$2="",100,$R$2)&lt;設定!$I$29,設定!$G$10,設定!$G$9)))</f>
        <v/>
      </c>
      <c r="U159" s="62" t="str">
        <f aca="false">IF(OR($C159="",S159=""),"",IF(S159/IF($S$2="",100,$S$2)&gt;=設定!$I$28,設定!$G$8,IF(S159/IF($S$2="",100,$S$2)&lt;設定!$I$29,設定!$G$10,設定!$G$9)))</f>
        <v/>
      </c>
    </row>
    <row r="160" customFormat="false" ht="21" hidden="false" customHeight="true" outlineLevel="0" collapsed="false">
      <c r="A160" s="91" t="str">
        <f aca="false">IF(名簿!$D160="","",名簿!$B160&amp;"")</f>
        <v/>
      </c>
      <c r="B160" s="91" t="str">
        <f aca="false">IF(名簿!$D160="","",名簿!$C160)</f>
        <v/>
      </c>
      <c r="C160" s="59" t="str">
        <f aca="false">IF(名簿!$D160="","",名簿!$D160&amp;IF(名簿!$F160="転出","（転出）",""))</f>
        <v/>
      </c>
      <c r="D160" s="149"/>
      <c r="E160" s="61" t="str">
        <f aca="false">IF(OR($C160="",名簿!$F160="転出"),"",IF($C$2="学級ごと",$A160,IF($C$2="前の単元と同じ",単元11!$E160&amp;"",$D160&amp;"")))</f>
        <v/>
      </c>
      <c r="F160" s="150"/>
      <c r="G160" s="150"/>
      <c r="H160" s="150"/>
      <c r="I160" s="151"/>
      <c r="J160" s="41" t="str">
        <f aca="false">IF($E160="","",$E160&amp;"|"&amp;COUNTIF($E$5:$E160,$E160))</f>
        <v/>
      </c>
      <c r="K160" s="40" t="str">
        <f aca="false">IF($I160="","",LEN($I160))</f>
        <v/>
      </c>
      <c r="L160" s="13"/>
      <c r="M160" s="13"/>
      <c r="N160" s="13"/>
      <c r="O160" s="13"/>
      <c r="P160" s="152"/>
      <c r="Q160" s="149"/>
      <c r="R160" s="152"/>
      <c r="S160" s="152"/>
      <c r="T160" s="62" t="str">
        <f aca="false">IF(OR($C160="",R160=""),"",IF(R160/IF($R$2="",100,$R$2)&gt;=設定!$I$28,設定!$G$8,IF(R160/IF($R$2="",100,$R$2)&lt;設定!$I$29,設定!$G$10,設定!$G$9)))</f>
        <v/>
      </c>
      <c r="U160" s="62" t="str">
        <f aca="false">IF(OR($C160="",S160=""),"",IF(S160/IF($S$2="",100,$S$2)&gt;=設定!$I$28,設定!$G$8,IF(S160/IF($S$2="",100,$S$2)&lt;設定!$I$29,設定!$G$10,設定!$G$9)))</f>
        <v/>
      </c>
    </row>
    <row r="161" customFormat="false" ht="21" hidden="false" customHeight="true" outlineLevel="0" collapsed="false">
      <c r="A161" s="91" t="str">
        <f aca="false">IF(名簿!$D161="","",名簿!$B161&amp;"")</f>
        <v/>
      </c>
      <c r="B161" s="91" t="str">
        <f aca="false">IF(名簿!$D161="","",名簿!$C161)</f>
        <v/>
      </c>
      <c r="C161" s="59" t="str">
        <f aca="false">IF(名簿!$D161="","",名簿!$D161&amp;IF(名簿!$F161="転出","（転出）",""))</f>
        <v/>
      </c>
      <c r="D161" s="149"/>
      <c r="E161" s="61" t="str">
        <f aca="false">IF(OR($C161="",名簿!$F161="転出"),"",IF($C$2="学級ごと",$A161,IF($C$2="前の単元と同じ",単元11!$E161&amp;"",$D161&amp;"")))</f>
        <v/>
      </c>
      <c r="F161" s="150"/>
      <c r="G161" s="150"/>
      <c r="H161" s="150"/>
      <c r="I161" s="151"/>
      <c r="J161" s="41" t="str">
        <f aca="false">IF($E161="","",$E161&amp;"|"&amp;COUNTIF($E$5:$E161,$E161))</f>
        <v/>
      </c>
      <c r="K161" s="40" t="str">
        <f aca="false">IF($I161="","",LEN($I161))</f>
        <v/>
      </c>
      <c r="L161" s="13"/>
      <c r="M161" s="13"/>
      <c r="N161" s="13"/>
      <c r="O161" s="13"/>
      <c r="P161" s="152"/>
      <c r="Q161" s="149"/>
      <c r="R161" s="152"/>
      <c r="S161" s="152"/>
      <c r="T161" s="62" t="str">
        <f aca="false">IF(OR($C161="",R161=""),"",IF(R161/IF($R$2="",100,$R$2)&gt;=設定!$I$28,設定!$G$8,IF(R161/IF($R$2="",100,$R$2)&lt;設定!$I$29,設定!$G$10,設定!$G$9)))</f>
        <v/>
      </c>
      <c r="U161" s="62" t="str">
        <f aca="false">IF(OR($C161="",S161=""),"",IF(S161/IF($S$2="",100,$S$2)&gt;=設定!$I$28,設定!$G$8,IF(S161/IF($S$2="",100,$S$2)&lt;設定!$I$29,設定!$G$10,設定!$G$9)))</f>
        <v/>
      </c>
    </row>
    <row r="162" customFormat="false" ht="21" hidden="false" customHeight="true" outlineLevel="0" collapsed="false">
      <c r="A162" s="91" t="str">
        <f aca="false">IF(名簿!$D162="","",名簿!$B162&amp;"")</f>
        <v/>
      </c>
      <c r="B162" s="91" t="str">
        <f aca="false">IF(名簿!$D162="","",名簿!$C162)</f>
        <v/>
      </c>
      <c r="C162" s="59" t="str">
        <f aca="false">IF(名簿!$D162="","",名簿!$D162&amp;IF(名簿!$F162="転出","（転出）",""))</f>
        <v/>
      </c>
      <c r="D162" s="149"/>
      <c r="E162" s="61" t="str">
        <f aca="false">IF(OR($C162="",名簿!$F162="転出"),"",IF($C$2="学級ごと",$A162,IF($C$2="前の単元と同じ",単元11!$E162&amp;"",$D162&amp;"")))</f>
        <v/>
      </c>
      <c r="F162" s="150"/>
      <c r="G162" s="150"/>
      <c r="H162" s="150"/>
      <c r="I162" s="151"/>
      <c r="J162" s="41" t="str">
        <f aca="false">IF($E162="","",$E162&amp;"|"&amp;COUNTIF($E$5:$E162,$E162))</f>
        <v/>
      </c>
      <c r="K162" s="40" t="str">
        <f aca="false">IF($I162="","",LEN($I162))</f>
        <v/>
      </c>
      <c r="L162" s="13"/>
      <c r="M162" s="13"/>
      <c r="N162" s="13"/>
      <c r="O162" s="13"/>
      <c r="P162" s="152"/>
      <c r="Q162" s="149"/>
      <c r="R162" s="152"/>
      <c r="S162" s="152"/>
      <c r="T162" s="62" t="str">
        <f aca="false">IF(OR($C162="",R162=""),"",IF(R162/IF($R$2="",100,$R$2)&gt;=設定!$I$28,設定!$G$8,IF(R162/IF($R$2="",100,$R$2)&lt;設定!$I$29,設定!$G$10,設定!$G$9)))</f>
        <v/>
      </c>
      <c r="U162" s="62" t="str">
        <f aca="false">IF(OR($C162="",S162=""),"",IF(S162/IF($S$2="",100,$S$2)&gt;=設定!$I$28,設定!$G$8,IF(S162/IF($S$2="",100,$S$2)&lt;設定!$I$29,設定!$G$10,設定!$G$9)))</f>
        <v/>
      </c>
    </row>
    <row r="163" customFormat="false" ht="21" hidden="false" customHeight="true" outlineLevel="0" collapsed="false">
      <c r="A163" s="91" t="str">
        <f aca="false">IF(名簿!$D163="","",名簿!$B163&amp;"")</f>
        <v/>
      </c>
      <c r="B163" s="91" t="str">
        <f aca="false">IF(名簿!$D163="","",名簿!$C163)</f>
        <v/>
      </c>
      <c r="C163" s="59" t="str">
        <f aca="false">IF(名簿!$D163="","",名簿!$D163&amp;IF(名簿!$F163="転出","（転出）",""))</f>
        <v/>
      </c>
      <c r="D163" s="149"/>
      <c r="E163" s="61" t="str">
        <f aca="false">IF(OR($C163="",名簿!$F163="転出"),"",IF($C$2="学級ごと",$A163,IF($C$2="前の単元と同じ",単元11!$E163&amp;"",$D163&amp;"")))</f>
        <v/>
      </c>
      <c r="F163" s="150"/>
      <c r="G163" s="150"/>
      <c r="H163" s="150"/>
      <c r="I163" s="151"/>
      <c r="J163" s="41" t="str">
        <f aca="false">IF($E163="","",$E163&amp;"|"&amp;COUNTIF($E$5:$E163,$E163))</f>
        <v/>
      </c>
      <c r="K163" s="40" t="str">
        <f aca="false">IF($I163="","",LEN($I163))</f>
        <v/>
      </c>
      <c r="L163" s="13"/>
      <c r="M163" s="13"/>
      <c r="N163" s="13"/>
      <c r="O163" s="13"/>
      <c r="P163" s="152"/>
      <c r="Q163" s="149"/>
      <c r="R163" s="152"/>
      <c r="S163" s="152"/>
      <c r="T163" s="62" t="str">
        <f aca="false">IF(OR($C163="",R163=""),"",IF(R163/IF($R$2="",100,$R$2)&gt;=設定!$I$28,設定!$G$8,IF(R163/IF($R$2="",100,$R$2)&lt;設定!$I$29,設定!$G$10,設定!$G$9)))</f>
        <v/>
      </c>
      <c r="U163" s="62" t="str">
        <f aca="false">IF(OR($C163="",S163=""),"",IF(S163/IF($S$2="",100,$S$2)&gt;=設定!$I$28,設定!$G$8,IF(S163/IF($S$2="",100,$S$2)&lt;設定!$I$29,設定!$G$10,設定!$G$9)))</f>
        <v/>
      </c>
    </row>
    <row r="164" customFormat="false" ht="21" hidden="false" customHeight="true" outlineLevel="0" collapsed="false">
      <c r="A164" s="91" t="str">
        <f aca="false">IF(名簿!$D164="","",名簿!$B164&amp;"")</f>
        <v/>
      </c>
      <c r="B164" s="91" t="str">
        <f aca="false">IF(名簿!$D164="","",名簿!$C164)</f>
        <v/>
      </c>
      <c r="C164" s="59" t="str">
        <f aca="false">IF(名簿!$D164="","",名簿!$D164&amp;IF(名簿!$F164="転出","（転出）",""))</f>
        <v/>
      </c>
      <c r="D164" s="149"/>
      <c r="E164" s="61" t="str">
        <f aca="false">IF(OR($C164="",名簿!$F164="転出"),"",IF($C$2="学級ごと",$A164,IF($C$2="前の単元と同じ",単元11!$E164&amp;"",$D164&amp;"")))</f>
        <v/>
      </c>
      <c r="F164" s="150"/>
      <c r="G164" s="150"/>
      <c r="H164" s="150"/>
      <c r="I164" s="151"/>
      <c r="J164" s="41" t="str">
        <f aca="false">IF($E164="","",$E164&amp;"|"&amp;COUNTIF($E$5:$E164,$E164))</f>
        <v/>
      </c>
      <c r="K164" s="40" t="str">
        <f aca="false">IF($I164="","",LEN($I164))</f>
        <v/>
      </c>
      <c r="L164" s="13"/>
      <c r="M164" s="13"/>
      <c r="N164" s="13"/>
      <c r="O164" s="13"/>
      <c r="P164" s="152"/>
      <c r="Q164" s="149"/>
      <c r="R164" s="152"/>
      <c r="S164" s="152"/>
      <c r="T164" s="62" t="str">
        <f aca="false">IF(OR($C164="",R164=""),"",IF(R164/IF($R$2="",100,$R$2)&gt;=設定!$I$28,設定!$G$8,IF(R164/IF($R$2="",100,$R$2)&lt;設定!$I$29,設定!$G$10,設定!$G$9)))</f>
        <v/>
      </c>
      <c r="U164" s="62" t="str">
        <f aca="false">IF(OR($C164="",S164=""),"",IF(S164/IF($S$2="",100,$S$2)&gt;=設定!$I$28,設定!$G$8,IF(S164/IF($S$2="",100,$S$2)&lt;設定!$I$29,設定!$G$10,設定!$G$9)))</f>
        <v/>
      </c>
    </row>
  </sheetData>
  <sheetProtection sheet="true" formatColumns="false" formatRows="false" autoFilter="false"/>
  <autoFilter ref="A4:I164"/>
  <mergeCells count="5">
    <mergeCell ref="A1:I1"/>
    <mergeCell ref="R1:U1"/>
    <mergeCell ref="A2:B2"/>
    <mergeCell ref="D2:I2"/>
    <mergeCell ref="T2:U2"/>
  </mergeCells>
  <conditionalFormatting sqref="A5:C164">
    <cfRule type="expression" priority="2" aboveAverage="0" equalAverage="0" bottom="0" percent="0" rank="0" text="" dxfId="37">
      <formula>RIGHT($C5,4)="（転出）"</formula>
    </cfRule>
    <cfRule type="expression" priority="3" aboveAverage="0" equalAverage="0" bottom="0" percent="0" rank="0" text="" dxfId="8">
      <formula>$C5&lt;&gt;""</formula>
    </cfRule>
  </conditionalFormatting>
  <conditionalFormatting sqref="D5:D164">
    <cfRule type="expression" priority="4" aboveAverage="0" equalAverage="0" bottom="0" percent="0" rank="0" text="" dxfId="37">
      <formula>RIGHT($C5,4)="（転出）"</formula>
    </cfRule>
    <cfRule type="expression" priority="5" aboveAverage="0" equalAverage="0" bottom="0" percent="0" rank="0" text="" dxfId="38">
      <formula>AND($C5&lt;&gt;"",$C$2&lt;&gt;"習熟度別")</formula>
    </cfRule>
    <cfRule type="expression" priority="6" aboveAverage="0" equalAverage="0" bottom="0" percent="0" rank="0" text="" dxfId="39">
      <formula>AND($C5&lt;&gt;"",$E5="")</formula>
    </cfRule>
    <cfRule type="expression" priority="7" aboveAverage="0" equalAverage="0" bottom="0" percent="0" rank="0" text="" dxfId="39">
      <formula>AND($C5&lt;&gt;"",$D5&lt;&gt;"",COUNTIF(コース一覧,$D5)=0)</formula>
    </cfRule>
    <cfRule type="expression" priority="8" aboveAverage="0" equalAverage="0" bottom="0" percent="0" rank="0" text="" dxfId="40">
      <formula>AND($C5&lt;&gt;"",$C$2="習熟度別",$Q5&lt;&gt;"",$E5&lt;&gt;"",$Q5&lt;&gt;$E5)</formula>
    </cfRule>
    <cfRule type="expression" priority="9" aboveAverage="0" equalAverage="0" bottom="0" percent="0" rank="0" text="" dxfId="41">
      <formula>$C5&lt;&gt;""</formula>
    </cfRule>
  </conditionalFormatting>
  <conditionalFormatting sqref="E5:E164">
    <cfRule type="expression" priority="10" aboveAverage="0" equalAverage="0" bottom="0" percent="0" rank="0" text="" dxfId="37">
      <formula>RIGHT($C5,4)="（転出）"</formula>
    </cfRule>
    <cfRule type="expression" priority="11" aboveAverage="0" equalAverage="0" bottom="0" percent="0" rank="0" text="" dxfId="42">
      <formula>AND($E5&lt;&gt;"",$E5=$L$2)</formula>
    </cfRule>
    <cfRule type="expression" priority="12" aboveAverage="0" equalAverage="0" bottom="0" percent="0" rank="0" text="" dxfId="43">
      <formula>AND($E5&lt;&gt;"",$E5=$L$3)</formula>
    </cfRule>
    <cfRule type="expression" priority="13" aboveAverage="0" equalAverage="0" bottom="0" percent="0" rank="0" text="" dxfId="44">
      <formula>AND($E5&lt;&gt;"",$E5=$L$4)</formula>
    </cfRule>
    <cfRule type="expression" priority="14" aboveAverage="0" equalAverage="0" bottom="0" percent="0" rank="0" text="" dxfId="45">
      <formula>AND($E5&lt;&gt;"",$E5=$L$5)</formula>
    </cfRule>
    <cfRule type="expression" priority="15" aboveAverage="0" equalAverage="0" bottom="0" percent="0" rank="0" text="" dxfId="46">
      <formula>AND($E5&lt;&gt;"",$E5=$L$6)</formula>
    </cfRule>
    <cfRule type="expression" priority="16" aboveAverage="0" equalAverage="0" bottom="0" percent="0" rank="0" text="" dxfId="8">
      <formula>$C5&lt;&gt;""</formula>
    </cfRule>
  </conditionalFormatting>
  <conditionalFormatting sqref="F5:H164">
    <cfRule type="expression" priority="17" aboveAverage="0" equalAverage="0" bottom="0" percent="0" rank="0" text="" dxfId="37">
      <formula>RIGHT($C5,4)="（転出）"</formula>
    </cfRule>
    <cfRule type="expression" priority="18" aboveAverage="0" equalAverage="0" bottom="0" percent="0" rank="0" text="" dxfId="12">
      <formula>AND(F5&lt;&gt;"",F5=設定!$G$10)</formula>
    </cfRule>
    <cfRule type="expression" priority="19" aboveAverage="0" equalAverage="0" bottom="0" percent="0" rank="0" text="" dxfId="47">
      <formula>AND(F5&lt;&gt;"",F5=設定!$G$8)</formula>
    </cfRule>
    <cfRule type="expression" priority="20" aboveAverage="0" equalAverage="0" bottom="0" percent="0" rank="0" text="" dxfId="41">
      <formula>AND($C5&lt;&gt;"",$E5&lt;&gt;"")</formula>
    </cfRule>
    <cfRule type="expression" priority="21" aboveAverage="0" equalAverage="0" bottom="0" percent="0" rank="0" text="" dxfId="8">
      <formula>$C5&lt;&gt;""</formula>
    </cfRule>
  </conditionalFormatting>
  <conditionalFormatting sqref="I5:I164">
    <cfRule type="expression" priority="22" aboveAverage="0" equalAverage="0" bottom="0" percent="0" rank="0" text="" dxfId="37">
      <formula>RIGHT($C5,4)="（転出）"</formula>
    </cfRule>
    <cfRule type="expression" priority="23" aboveAverage="0" equalAverage="0" bottom="0" percent="0" rank="0" text="" dxfId="48">
      <formula>AND($C5&lt;&gt;"",$I5&lt;&gt;"",ISNUMBER(設定!$I$22),LEN($I5)&gt;設定!$I$22)</formula>
    </cfRule>
    <cfRule type="expression" priority="24" aboveAverage="0" equalAverage="0" bottom="0" percent="0" rank="0" text="" dxfId="41">
      <formula>AND($C5&lt;&gt;"",$E5&lt;&gt;"")</formula>
    </cfRule>
    <cfRule type="expression" priority="25" aboveAverage="0" equalAverage="0" bottom="0" percent="0" rank="0" text="" dxfId="8">
      <formula>$C5&lt;&gt;""</formula>
    </cfRule>
  </conditionalFormatting>
  <conditionalFormatting sqref="K5:K164">
    <cfRule type="expression" priority="26" aboveAverage="0" equalAverage="0" bottom="0" percent="0" rank="0" text="" dxfId="49">
      <formula>AND($K5&lt;&gt;"",ISNUMBER(設定!$I$22),$K5&gt;設定!$I$22)</formula>
    </cfRule>
    <cfRule type="expression" priority="27" aboveAverage="0" equalAverage="0" bottom="0" percent="0" rank="0" text="" dxfId="50">
      <formula>$C5&lt;&gt;""</formula>
    </cfRule>
  </conditionalFormatting>
  <conditionalFormatting sqref="P5:P164">
    <cfRule type="expression" priority="28" aboveAverage="0" equalAverage="0" bottom="0" percent="0" rank="0" text="" dxfId="41">
      <formula>$C5&lt;&gt;""</formula>
    </cfRule>
  </conditionalFormatting>
  <conditionalFormatting sqref="R5:R164">
    <cfRule type="expression" priority="29" aboveAverage="0" equalAverage="0" bottom="0" percent="0" rank="0" text="" dxfId="49">
      <formula>AND($C5&lt;&gt;"",$R5&lt;&gt;"",$R$2&lt;&gt;"",$R5&gt;$R$2)</formula>
    </cfRule>
    <cfRule type="expression" priority="30" aboveAverage="0" equalAverage="0" bottom="0" percent="0" rank="0" text="" dxfId="41">
      <formula>$C5&lt;&gt;""</formula>
    </cfRule>
  </conditionalFormatting>
  <conditionalFormatting sqref="S5:S164">
    <cfRule type="expression" priority="31" aboveAverage="0" equalAverage="0" bottom="0" percent="0" rank="0" text="" dxfId="49">
      <formula>AND($C5&lt;&gt;"",$S5&lt;&gt;"",$S$2&lt;&gt;"",$S5&gt;$S$2)</formula>
    </cfRule>
    <cfRule type="expression" priority="32" aboveAverage="0" equalAverage="0" bottom="0" percent="0" rank="0" text="" dxfId="41">
      <formula>$C5&lt;&gt;""</formula>
    </cfRule>
  </conditionalFormatting>
  <conditionalFormatting sqref="T5:U164">
    <cfRule type="expression" priority="33" aboveAverage="0" equalAverage="0" bottom="0" percent="0" rank="0" text="" dxfId="12">
      <formula>AND(T5&lt;&gt;"",T5=設定!$G$10)</formula>
    </cfRule>
    <cfRule type="expression" priority="34" aboveAverage="0" equalAverage="0" bottom="0" percent="0" rank="0" text="" dxfId="51">
      <formula>AND(T5&lt;&gt;"",T5=設定!$G$8)</formula>
    </cfRule>
    <cfRule type="expression" priority="35" aboveAverage="0" equalAverage="0" bottom="0" percent="0" rank="0" text="" dxfId="19">
      <formula>$C5&lt;&gt;""</formula>
    </cfRule>
  </conditionalFormatting>
  <conditionalFormatting sqref="Q5:Q164">
    <cfRule type="expression" priority="36" aboveAverage="0" equalAverage="0" bottom="0" percent="0" rank="0" text="" dxfId="40">
      <formula>AND($C5&lt;&gt;"",$Q5&lt;&gt;"",$E5&lt;&gt;"",$Q5&lt;&gt;$E5)</formula>
    </cfRule>
    <cfRule type="expression" priority="37" aboveAverage="0" equalAverage="0" bottom="0" percent="0" rank="0" text="" dxfId="41">
      <formula>$C5&lt;&gt;""</formula>
    </cfRule>
  </conditionalFormatting>
  <conditionalFormatting sqref="L2:N2">
    <cfRule type="expression" priority="38" aboveAverage="0" equalAverage="0" bottom="0" percent="0" rank="0" text="" dxfId="14">
      <formula>$L2=""</formula>
    </cfRule>
  </conditionalFormatting>
  <conditionalFormatting sqref="L3:N3">
    <cfRule type="expression" priority="39" aboveAverage="0" equalAverage="0" bottom="0" percent="0" rank="0" text="" dxfId="14">
      <formula>$L3=""</formula>
    </cfRule>
  </conditionalFormatting>
  <conditionalFormatting sqref="L4:N4">
    <cfRule type="expression" priority="40" aboveAverage="0" equalAverage="0" bottom="0" percent="0" rank="0" text="" dxfId="14">
      <formula>$L4=""</formula>
    </cfRule>
  </conditionalFormatting>
  <conditionalFormatting sqref="L5:N5">
    <cfRule type="expression" priority="41" aboveAverage="0" equalAverage="0" bottom="0" percent="0" rank="0" text="" dxfId="14">
      <formula>$L5=""</formula>
    </cfRule>
  </conditionalFormatting>
  <conditionalFormatting sqref="L6:N6">
    <cfRule type="expression" priority="42" aboveAverage="0" equalAverage="0" bottom="0" percent="0" rank="0" text="" dxfId="14">
      <formula>$L6=""</formula>
    </cfRule>
  </conditionalFormatting>
  <conditionalFormatting sqref="N7">
    <cfRule type="expression" priority="43" aboveAverage="0" equalAverage="0" bottom="0" percent="0" rank="0" text="" dxfId="52">
      <formula>$N$7=0</formula>
    </cfRule>
  </conditionalFormatting>
  <dataValidations count="6">
    <dataValidation allowBlank="true" error="点数（数字）を入力してください。" errorStyle="stop" operator="between" showDropDown="false" showErrorMessage="true" showInputMessage="false" sqref="R2:S2 P5:P164 R5:S164" type="decimal">
      <formula1>0</formula1>
      <formula2>1000</formula2>
    </dataValidation>
    <dataValidation allowBlank="false" error="一覧から選んでください。" errorStyle="stop" errorTitle="入力エラー" operator="between" showDropDown="false" showErrorMessage="true" showInputMessage="false" sqref="C2" type="list">
      <formula1>"習熟度別,前の単元と同じ,学級ごと"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D5:D164" type="list">
      <formula1>コース一覧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Q5:Q164" type="list">
      <formula1>コース一覧</formula1>
      <formula2>0</formula2>
    </dataValidation>
    <dataValidation allowBlank="true" error="設定シートの評価記号（A/B/C）から選んでください。" errorStyle="stop" errorTitle="入力エラー" operator="between" showDropDown="false" showErrorMessage="true" showInputMessage="false" sqref="F5:H164" type="list">
      <formula1>評価記号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M2:M6" type="list">
      <formula1>担当者一覧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U16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5"/>
    <col collapsed="false" customWidth="true" hidden="false" outlineLevel="0" max="3" min="3" style="0" width="17"/>
    <col collapsed="false" customWidth="true" hidden="false" outlineLevel="0" max="4" min="4" style="0" width="11"/>
    <col collapsed="false" customWidth="true" hidden="false" outlineLevel="0" max="5" min="5" style="0" width="12"/>
    <col collapsed="false" customWidth="true" hidden="false" outlineLevel="0" max="8" min="6" style="0" width="6"/>
    <col collapsed="false" customWidth="true" hidden="false" outlineLevel="0" max="9" min="9" style="0" width="55"/>
    <col collapsed="false" customWidth="true" hidden="true" outlineLevel="0" max="10" min="10" style="0" width="3"/>
    <col collapsed="false" customWidth="true" hidden="false" outlineLevel="0" max="11" min="11" style="0" width="5"/>
    <col collapsed="false" customWidth="true" hidden="false" outlineLevel="0" max="12" min="12" style="0" width="14"/>
    <col collapsed="false" customWidth="true" hidden="false" outlineLevel="0" max="13" min="13" style="0" width="13"/>
    <col collapsed="false" customWidth="true" hidden="false" outlineLevel="0" max="14" min="14" style="0" width="7"/>
    <col collapsed="false" customWidth="true" hidden="false" outlineLevel="0" max="15" min="15" style="0" width="2"/>
    <col collapsed="false" customWidth="true" hidden="false" outlineLevel="0" max="16" min="16" style="0" width="9"/>
    <col collapsed="false" customWidth="true" hidden="false" outlineLevel="0" max="17" min="17" style="0" width="12"/>
    <col collapsed="false" customWidth="true" hidden="false" outlineLevel="0" max="19" min="18" style="0" width="7"/>
    <col collapsed="false" customWidth="true" hidden="false" outlineLevel="0" max="21" min="20" style="0" width="6"/>
  </cols>
  <sheetData>
    <row r="1" customFormat="false" ht="33.75" hidden="false" customHeight="true" outlineLevel="0" collapsed="false">
      <c r="A1" s="14" t="str">
        <f aca="false">"単元13　"&amp;IF(設定!$D$29="","（設定シートで単元名を入力）",設定!$D$29)&amp;IF(設定!$C$29="","","　／　"&amp;設定!$C$29&amp;IF(ISNUMBER(設定!$C$29),"学期",""))</f>
        <v>単元13　（設定シートで単元名を入力）</v>
      </c>
      <c r="B1" s="14"/>
      <c r="C1" s="14"/>
      <c r="D1" s="14"/>
      <c r="E1" s="14"/>
      <c r="F1" s="14"/>
      <c r="G1" s="14"/>
      <c r="H1" s="14"/>
      <c r="I1" s="14"/>
      <c r="J1" s="13"/>
      <c r="K1" s="13"/>
      <c r="L1" s="16" t="s">
        <v>153</v>
      </c>
      <c r="M1" s="16" t="s">
        <v>68</v>
      </c>
      <c r="N1" s="16" t="s">
        <v>128</v>
      </c>
      <c r="O1" s="13"/>
      <c r="P1" s="13"/>
      <c r="Q1" s="13"/>
      <c r="R1" s="131" t="s">
        <v>154</v>
      </c>
      <c r="S1" s="131"/>
      <c r="T1" s="131"/>
      <c r="U1" s="131"/>
    </row>
    <row r="2" customFormat="false" ht="25.5" hidden="false" customHeight="true" outlineLevel="0" collapsed="false">
      <c r="A2" s="16" t="s">
        <v>131</v>
      </c>
      <c r="B2" s="16"/>
      <c r="C2" s="138" t="s">
        <v>164</v>
      </c>
      <c r="D2" s="139" t="str">
        <f aca="false">IF($C$2="習熟度別","← D列「コース」で一人ずつ選びます",IF($C$2="前の単元と同じ","← 前の単元のコースをそのまま使います","← 在籍学級のまま分かれます"))</f>
        <v>← D列「コース」で一人ずつ選びます</v>
      </c>
      <c r="E2" s="139"/>
      <c r="F2" s="139"/>
      <c r="G2" s="139"/>
      <c r="H2" s="139"/>
      <c r="I2" s="139"/>
      <c r="J2" s="13"/>
      <c r="K2" s="13"/>
      <c r="L2" s="119" t="str">
        <f aca="false">IF($C$2="前の単元と同じ",単元12!$L2&amp;"",IF($C$2="学級ごと",IF(設定!$B$8="","",設定!$B$8&amp;""),IF(設定!$D$8="","",設定!$D$8&amp;"")))</f>
        <v>深める</v>
      </c>
      <c r="M2" s="39"/>
      <c r="N2" s="140" t="n">
        <f aca="false">IF($L2="","",COUNTIF($E$5:$E$164,$L2))</f>
        <v>0</v>
      </c>
      <c r="O2" s="13"/>
      <c r="P2" s="13"/>
      <c r="Q2" s="13"/>
      <c r="R2" s="141" t="n">
        <v>100</v>
      </c>
      <c r="S2" s="141" t="n">
        <v>100</v>
      </c>
      <c r="T2" s="142" t="s">
        <v>165</v>
      </c>
      <c r="U2" s="142"/>
    </row>
    <row r="3" customFormat="false" ht="17.15" hidden="false" customHeight="false" outlineLevel="0" collapsed="false">
      <c r="A3" s="4" t="s">
        <v>166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23" t="str">
        <f aca="false">IF($C$2="前の単元と同じ",単元12!$L3&amp;"",IF($C$2="学級ごと",IF(設定!$B$9="","",設定!$B$9&amp;""),IF(設定!$D$9="","",設定!$D$9&amp;"")))</f>
        <v>広げるA</v>
      </c>
      <c r="M3" s="39"/>
      <c r="N3" s="140" t="n">
        <f aca="false">IF($L3="","",COUNTIF($E$5:$E$164,$L3))</f>
        <v>0</v>
      </c>
      <c r="O3" s="13"/>
      <c r="P3" s="143" t="s">
        <v>167</v>
      </c>
      <c r="Q3" s="13"/>
      <c r="R3" s="144" t="s">
        <v>168</v>
      </c>
      <c r="S3" s="13"/>
      <c r="T3" s="13"/>
      <c r="U3" s="13"/>
    </row>
    <row r="4" customFormat="false" ht="30" hidden="false" customHeight="true" outlineLevel="0" collapsed="false">
      <c r="A4" s="16" t="s">
        <v>121</v>
      </c>
      <c r="B4" s="16" t="s">
        <v>122</v>
      </c>
      <c r="C4" s="16" t="s">
        <v>123</v>
      </c>
      <c r="D4" s="145" t="s">
        <v>153</v>
      </c>
      <c r="E4" s="16" t="s">
        <v>169</v>
      </c>
      <c r="F4" s="146" t="str">
        <f aca="false">設定!$I$8</f>
        <v>知</v>
      </c>
      <c r="G4" s="146" t="str">
        <f aca="false">設定!$I$9</f>
        <v>思</v>
      </c>
      <c r="H4" s="146" t="str">
        <f aca="false">設定!$I$10</f>
        <v>態</v>
      </c>
      <c r="I4" s="146" t="s">
        <v>107</v>
      </c>
      <c r="J4" s="16"/>
      <c r="K4" s="110" t="s">
        <v>170</v>
      </c>
      <c r="L4" s="124" t="str">
        <f aca="false">IF($C$2="前の単元と同じ",単元12!$L4&amp;"",IF($C$2="学級ごと",IF(設定!$B$10="","",設定!$B$10&amp;""),IF(設定!$D$10="","",設定!$D$10&amp;"")))</f>
        <v>広げるB</v>
      </c>
      <c r="M4" s="39"/>
      <c r="N4" s="140" t="n">
        <f aca="false">IF($L4="","",COUNTIF($E$5:$E$164,$L4))</f>
        <v>0</v>
      </c>
      <c r="O4" s="13"/>
      <c r="P4" s="147" t="s">
        <v>171</v>
      </c>
      <c r="Q4" s="147" t="s">
        <v>172</v>
      </c>
      <c r="R4" s="131" t="str">
        <f aca="false">設定!$I$8&amp;"得点"</f>
        <v>知得点</v>
      </c>
      <c r="S4" s="131" t="str">
        <f aca="false">設定!$I$9&amp;"得点"</f>
        <v>思得点</v>
      </c>
      <c r="T4" s="148" t="str">
        <f aca="false">設定!$I$8&amp;"目安"</f>
        <v>知目安</v>
      </c>
      <c r="U4" s="148" t="str">
        <f aca="false">設定!$I$9&amp;"目安"</f>
        <v>思目安</v>
      </c>
    </row>
    <row r="5" customFormat="false" ht="21" hidden="false" customHeight="true" outlineLevel="0" collapsed="false">
      <c r="A5" s="91" t="str">
        <f aca="false">IF(名簿!$D5="","",名簿!$B5&amp;"")</f>
        <v/>
      </c>
      <c r="B5" s="91" t="str">
        <f aca="false">IF(名簿!$D5="","",名簿!$C5)</f>
        <v/>
      </c>
      <c r="C5" s="59" t="str">
        <f aca="false">IF(名簿!$D5="","",名簿!$D5&amp;IF(名簿!$F5="転出","（転出）",""))</f>
        <v/>
      </c>
      <c r="D5" s="149"/>
      <c r="E5" s="61" t="str">
        <f aca="false">IF(OR($C5="",名簿!$F5="転出"),"",IF($C$2="学級ごと",$A5,IF($C$2="前の単元と同じ",単元12!$E5&amp;"",$D5&amp;"")))</f>
        <v/>
      </c>
      <c r="F5" s="150"/>
      <c r="G5" s="150"/>
      <c r="H5" s="150"/>
      <c r="I5" s="151"/>
      <c r="J5" s="41" t="str">
        <f aca="false">IF($E5="","",$E5&amp;"|"&amp;COUNTIF($E$5:$E5,$E5))</f>
        <v/>
      </c>
      <c r="K5" s="40" t="str">
        <f aca="false">IF($I5="","",LEN($I5))</f>
        <v/>
      </c>
      <c r="L5" s="125" t="str">
        <f aca="false">IF($C$2="前の単元と同じ",単元12!$L5&amp;"",IF($C$2="学級ごと",IF(設定!$B$11="","",設定!$B$11&amp;""),IF(設定!$D$11="","",設定!$D$11&amp;"")))</f>
        <v>かためる</v>
      </c>
      <c r="M5" s="39"/>
      <c r="N5" s="140" t="n">
        <f aca="false">IF($L5="","",COUNTIF($E$5:$E$164,$L5))</f>
        <v>0</v>
      </c>
      <c r="O5" s="13"/>
      <c r="P5" s="152"/>
      <c r="Q5" s="149"/>
      <c r="R5" s="152"/>
      <c r="S5" s="152"/>
      <c r="T5" s="62" t="str">
        <f aca="false">IF(OR($C5="",R5=""),"",IF(R5/IF($R$2="",100,$R$2)&gt;=設定!$I$28,設定!$G$8,IF(R5/IF($R$2="",100,$R$2)&lt;設定!$I$29,設定!$G$10,設定!$G$9)))</f>
        <v/>
      </c>
      <c r="U5" s="62" t="str">
        <f aca="false">IF(OR($C5="",S5=""),"",IF(S5/IF($S$2="",100,$S$2)&gt;=設定!$I$28,設定!$G$8,IF(S5/IF($S$2="",100,$S$2)&lt;設定!$I$29,設定!$G$10,設定!$G$9)))</f>
        <v/>
      </c>
    </row>
    <row r="6" customFormat="false" ht="21" hidden="false" customHeight="true" outlineLevel="0" collapsed="false">
      <c r="A6" s="91" t="str">
        <f aca="false">IF(名簿!$D6="","",名簿!$B6&amp;"")</f>
        <v/>
      </c>
      <c r="B6" s="91" t="str">
        <f aca="false">IF(名簿!$D6="","",名簿!$C6)</f>
        <v/>
      </c>
      <c r="C6" s="59" t="str">
        <f aca="false">IF(名簿!$D6="","",名簿!$D6&amp;IF(名簿!$F6="転出","（転出）",""))</f>
        <v/>
      </c>
      <c r="D6" s="149"/>
      <c r="E6" s="61" t="str">
        <f aca="false">IF(OR($C6="",名簿!$F6="転出"),"",IF($C$2="学級ごと",$A6,IF($C$2="前の単元と同じ",単元12!$E6&amp;"",$D6&amp;"")))</f>
        <v/>
      </c>
      <c r="F6" s="150"/>
      <c r="G6" s="150"/>
      <c r="H6" s="150"/>
      <c r="I6" s="151"/>
      <c r="J6" s="41" t="str">
        <f aca="false">IF($E6="","",$E6&amp;"|"&amp;COUNTIF($E$5:$E6,$E6))</f>
        <v/>
      </c>
      <c r="K6" s="40" t="str">
        <f aca="false">IF($I6="","",LEN($I6))</f>
        <v/>
      </c>
      <c r="L6" s="126" t="str">
        <f aca="false">IF($C$2="前の単元と同じ",単元12!$L6&amp;"",IF($C$2="学級ごと",IF(設定!$B$12="","",設定!$B$12&amp;""),IF(設定!$D$12="","",設定!$D$12&amp;"")))</f>
        <v/>
      </c>
      <c r="M6" s="39"/>
      <c r="N6" s="153" t="str">
        <f aca="false">IF($L6="","",COUNTIF($E$5:$E$164,$L6))</f>
        <v/>
      </c>
      <c r="O6" s="13"/>
      <c r="P6" s="152"/>
      <c r="Q6" s="149"/>
      <c r="R6" s="152"/>
      <c r="S6" s="152"/>
      <c r="T6" s="62" t="str">
        <f aca="false">IF(OR($C6="",R6=""),"",IF(R6/IF($R$2="",100,$R$2)&gt;=設定!$I$28,設定!$G$8,IF(R6/IF($R$2="",100,$R$2)&lt;設定!$I$29,設定!$G$10,設定!$G$9)))</f>
        <v/>
      </c>
      <c r="U6" s="62" t="str">
        <f aca="false">IF(OR($C6="",S6=""),"",IF(S6/IF($S$2="",100,$S$2)&gt;=設定!$I$28,設定!$G$8,IF(S6/IF($S$2="",100,$S$2)&lt;設定!$I$29,設定!$G$10,設定!$G$9)))</f>
        <v/>
      </c>
    </row>
    <row r="7" customFormat="false" ht="21" hidden="false" customHeight="true" outlineLevel="0" collapsed="false">
      <c r="A7" s="91" t="str">
        <f aca="false">IF(名簿!$D7="","",名簿!$B7&amp;"")</f>
        <v/>
      </c>
      <c r="B7" s="91" t="str">
        <f aca="false">IF(名簿!$D7="","",名簿!$C7)</f>
        <v/>
      </c>
      <c r="C7" s="59" t="str">
        <f aca="false">IF(名簿!$D7="","",名簿!$D7&amp;IF(名簿!$F7="転出","（転出）",""))</f>
        <v/>
      </c>
      <c r="D7" s="149"/>
      <c r="E7" s="61" t="str">
        <f aca="false">IF(OR($C7="",名簿!$F7="転出"),"",IF($C$2="学級ごと",$A7,IF($C$2="前の単元と同じ",単元12!$E7&amp;"",$D7&amp;"")))</f>
        <v/>
      </c>
      <c r="F7" s="150"/>
      <c r="G7" s="150"/>
      <c r="H7" s="150"/>
      <c r="I7" s="151"/>
      <c r="J7" s="41" t="str">
        <f aca="false">IF($E7="","",$E7&amp;"|"&amp;COUNTIF($E$5:$E7,$E7))</f>
        <v/>
      </c>
      <c r="K7" s="40" t="str">
        <f aca="false">IF($I7="","",LEN($I7))</f>
        <v/>
      </c>
      <c r="L7" s="154" t="s">
        <v>133</v>
      </c>
      <c r="M7" s="155" t="s">
        <v>173</v>
      </c>
      <c r="N7" s="156" t="n">
        <f aca="false">SUMPRODUCT(($C$5:$C$164&lt;&gt;"")*(名簿!$F$5:$F$164&lt;&gt;"転出")*($E$5:$E$164=""))</f>
        <v>0</v>
      </c>
      <c r="O7" s="13"/>
      <c r="P7" s="152"/>
      <c r="Q7" s="149"/>
      <c r="R7" s="152"/>
      <c r="S7" s="152"/>
      <c r="T7" s="62" t="str">
        <f aca="false">IF(OR($C7="",R7=""),"",IF(R7/IF($R$2="",100,$R$2)&gt;=設定!$I$28,設定!$G$8,IF(R7/IF($R$2="",100,$R$2)&lt;設定!$I$29,設定!$G$10,設定!$G$9)))</f>
        <v/>
      </c>
      <c r="U7" s="62" t="str">
        <f aca="false">IF(OR($C7="",S7=""),"",IF(S7/IF($S$2="",100,$S$2)&gt;=設定!$I$28,設定!$G$8,IF(S7/IF($S$2="",100,$S$2)&lt;設定!$I$29,設定!$G$10,設定!$G$9)))</f>
        <v/>
      </c>
    </row>
    <row r="8" customFormat="false" ht="21" hidden="false" customHeight="true" outlineLevel="0" collapsed="false">
      <c r="A8" s="91" t="str">
        <f aca="false">IF(名簿!$D8="","",名簿!$B8&amp;"")</f>
        <v/>
      </c>
      <c r="B8" s="91" t="str">
        <f aca="false">IF(名簿!$D8="","",名簿!$C8)</f>
        <v/>
      </c>
      <c r="C8" s="59" t="str">
        <f aca="false">IF(名簿!$D8="","",名簿!$D8&amp;IF(名簿!$F8="転出","（転出）",""))</f>
        <v/>
      </c>
      <c r="D8" s="149"/>
      <c r="E8" s="61" t="str">
        <f aca="false">IF(OR($C8="",名簿!$F8="転出"),"",IF($C$2="学級ごと",$A8,IF($C$2="前の単元と同じ",単元12!$E8&amp;"",$D8&amp;"")))</f>
        <v/>
      </c>
      <c r="F8" s="150"/>
      <c r="G8" s="150"/>
      <c r="H8" s="150"/>
      <c r="I8" s="151"/>
      <c r="J8" s="41" t="str">
        <f aca="false">IF($E8="","",$E8&amp;"|"&amp;COUNTIF($E$5:$E8,$E8))</f>
        <v/>
      </c>
      <c r="K8" s="40" t="str">
        <f aca="false">IF($I8="","",LEN($I8))</f>
        <v/>
      </c>
      <c r="L8" s="157" t="s">
        <v>174</v>
      </c>
      <c r="M8" s="158" t="s">
        <v>175</v>
      </c>
      <c r="N8" s="159" t="n">
        <f aca="false">SUMPRODUCT(($E$5:$E$164&lt;&gt;"")*(($F$5:$F$164="")+($G$5:$G$164="")+($H$5:$H$164="")&gt;0))</f>
        <v>0</v>
      </c>
      <c r="O8" s="13"/>
      <c r="P8" s="152"/>
      <c r="Q8" s="149"/>
      <c r="R8" s="152"/>
      <c r="S8" s="152"/>
      <c r="T8" s="62" t="str">
        <f aca="false">IF(OR($C8="",R8=""),"",IF(R8/IF($R$2="",100,$R$2)&gt;=設定!$I$28,設定!$G$8,IF(R8/IF($R$2="",100,$R$2)&lt;設定!$I$29,設定!$G$10,設定!$G$9)))</f>
        <v/>
      </c>
      <c r="U8" s="62" t="str">
        <f aca="false">IF(OR($C8="",S8=""),"",IF(S8/IF($S$2="",100,$S$2)&gt;=設定!$I$28,設定!$G$8,IF(S8/IF($S$2="",100,$S$2)&lt;設定!$I$29,設定!$G$10,設定!$G$9)))</f>
        <v/>
      </c>
    </row>
    <row r="9" customFormat="false" ht="21" hidden="false" customHeight="true" outlineLevel="0" collapsed="false">
      <c r="A9" s="91" t="str">
        <f aca="false">IF(名簿!$D9="","",名簿!$B9&amp;"")</f>
        <v/>
      </c>
      <c r="B9" s="91" t="str">
        <f aca="false">IF(名簿!$D9="","",名簿!$C9)</f>
        <v/>
      </c>
      <c r="C9" s="59" t="str">
        <f aca="false">IF(名簿!$D9="","",名簿!$D9&amp;IF(名簿!$F9="転出","（転出）",""))</f>
        <v/>
      </c>
      <c r="D9" s="149"/>
      <c r="E9" s="61" t="str">
        <f aca="false">IF(OR($C9="",名簿!$F9="転出"),"",IF($C$2="学級ごと",$A9,IF($C$2="前の単元と同じ",単元12!$E9&amp;"",$D9&amp;"")))</f>
        <v/>
      </c>
      <c r="F9" s="150"/>
      <c r="G9" s="150"/>
      <c r="H9" s="150"/>
      <c r="I9" s="151"/>
      <c r="J9" s="41" t="str">
        <f aca="false">IF($E9="","",$E9&amp;"|"&amp;COUNTIF($E$5:$E9,$E9))</f>
        <v/>
      </c>
      <c r="K9" s="40" t="str">
        <f aca="false">IF($I9="","",LEN($I9))</f>
        <v/>
      </c>
      <c r="L9" s="13"/>
      <c r="M9" s="13"/>
      <c r="N9" s="13"/>
      <c r="O9" s="13"/>
      <c r="P9" s="152"/>
      <c r="Q9" s="149"/>
      <c r="R9" s="152"/>
      <c r="S9" s="152"/>
      <c r="T9" s="62" t="str">
        <f aca="false">IF(OR($C9="",R9=""),"",IF(R9/IF($R$2="",100,$R$2)&gt;=設定!$I$28,設定!$G$8,IF(R9/IF($R$2="",100,$R$2)&lt;設定!$I$29,設定!$G$10,設定!$G$9)))</f>
        <v/>
      </c>
      <c r="U9" s="62" t="str">
        <f aca="false">IF(OR($C9="",S9=""),"",IF(S9/IF($S$2="",100,$S$2)&gt;=設定!$I$28,設定!$G$8,IF(S9/IF($S$2="",100,$S$2)&lt;設定!$I$29,設定!$G$10,設定!$G$9)))</f>
        <v/>
      </c>
    </row>
    <row r="10" customFormat="false" ht="21" hidden="false" customHeight="true" outlineLevel="0" collapsed="false">
      <c r="A10" s="91" t="str">
        <f aca="false">IF(名簿!$D10="","",名簿!$B10&amp;"")</f>
        <v/>
      </c>
      <c r="B10" s="91" t="str">
        <f aca="false">IF(名簿!$D10="","",名簿!$C10)</f>
        <v/>
      </c>
      <c r="C10" s="59" t="str">
        <f aca="false">IF(名簿!$D10="","",名簿!$D10&amp;IF(名簿!$F10="転出","（転出）",""))</f>
        <v/>
      </c>
      <c r="D10" s="149"/>
      <c r="E10" s="61" t="str">
        <f aca="false">IF(OR($C10="",名簿!$F10="転出"),"",IF($C$2="学級ごと",$A10,IF($C$2="前の単元と同じ",単元12!$E10&amp;"",$D10&amp;"")))</f>
        <v/>
      </c>
      <c r="F10" s="150"/>
      <c r="G10" s="150"/>
      <c r="H10" s="150"/>
      <c r="I10" s="151"/>
      <c r="J10" s="41" t="str">
        <f aca="false">IF($E10="","",$E10&amp;"|"&amp;COUNTIF($E$5:$E10,$E10))</f>
        <v/>
      </c>
      <c r="K10" s="40" t="str">
        <f aca="false">IF($I10="","",LEN($I10))</f>
        <v/>
      </c>
      <c r="L10" s="13"/>
      <c r="M10" s="13"/>
      <c r="N10" s="13"/>
      <c r="O10" s="13"/>
      <c r="P10" s="152"/>
      <c r="Q10" s="149"/>
      <c r="R10" s="152"/>
      <c r="S10" s="152"/>
      <c r="T10" s="62" t="str">
        <f aca="false">IF(OR($C10="",R10=""),"",IF(R10/IF($R$2="",100,$R$2)&gt;=設定!$I$28,設定!$G$8,IF(R10/IF($R$2="",100,$R$2)&lt;設定!$I$29,設定!$G$10,設定!$G$9)))</f>
        <v/>
      </c>
      <c r="U10" s="62" t="str">
        <f aca="false">IF(OR($C10="",S10=""),"",IF(S10/IF($S$2="",100,$S$2)&gt;=設定!$I$28,設定!$G$8,IF(S10/IF($S$2="",100,$S$2)&lt;設定!$I$29,設定!$G$10,設定!$G$9)))</f>
        <v/>
      </c>
    </row>
    <row r="11" customFormat="false" ht="21" hidden="false" customHeight="true" outlineLevel="0" collapsed="false">
      <c r="A11" s="91" t="str">
        <f aca="false">IF(名簿!$D11="","",名簿!$B11&amp;"")</f>
        <v/>
      </c>
      <c r="B11" s="91" t="str">
        <f aca="false">IF(名簿!$D11="","",名簿!$C11)</f>
        <v/>
      </c>
      <c r="C11" s="59" t="str">
        <f aca="false">IF(名簿!$D11="","",名簿!$D11&amp;IF(名簿!$F11="転出","（転出）",""))</f>
        <v/>
      </c>
      <c r="D11" s="149"/>
      <c r="E11" s="61" t="str">
        <f aca="false">IF(OR($C11="",名簿!$F11="転出"),"",IF($C$2="学級ごと",$A11,IF($C$2="前の単元と同じ",単元12!$E11&amp;"",$D11&amp;"")))</f>
        <v/>
      </c>
      <c r="F11" s="150"/>
      <c r="G11" s="150"/>
      <c r="H11" s="150"/>
      <c r="I11" s="151"/>
      <c r="J11" s="41" t="str">
        <f aca="false">IF($E11="","",$E11&amp;"|"&amp;COUNTIF($E$5:$E11,$E11))</f>
        <v/>
      </c>
      <c r="K11" s="40" t="str">
        <f aca="false">IF($I11="","",LEN($I11))</f>
        <v/>
      </c>
      <c r="L11" s="13"/>
      <c r="M11" s="13"/>
      <c r="N11" s="13"/>
      <c r="O11" s="13"/>
      <c r="P11" s="152"/>
      <c r="Q11" s="149"/>
      <c r="R11" s="152"/>
      <c r="S11" s="152"/>
      <c r="T11" s="62" t="str">
        <f aca="false">IF(OR($C11="",R11=""),"",IF(R11/IF($R$2="",100,$R$2)&gt;=設定!$I$28,設定!$G$8,IF(R11/IF($R$2="",100,$R$2)&lt;設定!$I$29,設定!$G$10,設定!$G$9)))</f>
        <v/>
      </c>
      <c r="U11" s="62" t="str">
        <f aca="false">IF(OR($C11="",S11=""),"",IF(S11/IF($S$2="",100,$S$2)&gt;=設定!$I$28,設定!$G$8,IF(S11/IF($S$2="",100,$S$2)&lt;設定!$I$29,設定!$G$10,設定!$G$9)))</f>
        <v/>
      </c>
    </row>
    <row r="12" customFormat="false" ht="21" hidden="false" customHeight="true" outlineLevel="0" collapsed="false">
      <c r="A12" s="91" t="str">
        <f aca="false">IF(名簿!$D12="","",名簿!$B12&amp;"")</f>
        <v/>
      </c>
      <c r="B12" s="91" t="str">
        <f aca="false">IF(名簿!$D12="","",名簿!$C12)</f>
        <v/>
      </c>
      <c r="C12" s="59" t="str">
        <f aca="false">IF(名簿!$D12="","",名簿!$D12&amp;IF(名簿!$F12="転出","（転出）",""))</f>
        <v/>
      </c>
      <c r="D12" s="149"/>
      <c r="E12" s="61" t="str">
        <f aca="false">IF(OR($C12="",名簿!$F12="転出"),"",IF($C$2="学級ごと",$A12,IF($C$2="前の単元と同じ",単元12!$E12&amp;"",$D12&amp;"")))</f>
        <v/>
      </c>
      <c r="F12" s="150"/>
      <c r="G12" s="150"/>
      <c r="H12" s="150"/>
      <c r="I12" s="151"/>
      <c r="J12" s="41" t="str">
        <f aca="false">IF($E12="","",$E12&amp;"|"&amp;COUNTIF($E$5:$E12,$E12))</f>
        <v/>
      </c>
      <c r="K12" s="40" t="str">
        <f aca="false">IF($I12="","",LEN($I12))</f>
        <v/>
      </c>
      <c r="L12" s="13"/>
      <c r="M12" s="13"/>
      <c r="N12" s="13"/>
      <c r="O12" s="13"/>
      <c r="P12" s="152"/>
      <c r="Q12" s="149"/>
      <c r="R12" s="152"/>
      <c r="S12" s="152"/>
      <c r="T12" s="62" t="str">
        <f aca="false">IF(OR($C12="",R12=""),"",IF(R12/IF($R$2="",100,$R$2)&gt;=設定!$I$28,設定!$G$8,IF(R12/IF($R$2="",100,$R$2)&lt;設定!$I$29,設定!$G$10,設定!$G$9)))</f>
        <v/>
      </c>
      <c r="U12" s="62" t="str">
        <f aca="false">IF(OR($C12="",S12=""),"",IF(S12/IF($S$2="",100,$S$2)&gt;=設定!$I$28,設定!$G$8,IF(S12/IF($S$2="",100,$S$2)&lt;設定!$I$29,設定!$G$10,設定!$G$9)))</f>
        <v/>
      </c>
    </row>
    <row r="13" customFormat="false" ht="21" hidden="false" customHeight="true" outlineLevel="0" collapsed="false">
      <c r="A13" s="91" t="str">
        <f aca="false">IF(名簿!$D13="","",名簿!$B13&amp;"")</f>
        <v/>
      </c>
      <c r="B13" s="91" t="str">
        <f aca="false">IF(名簿!$D13="","",名簿!$C13)</f>
        <v/>
      </c>
      <c r="C13" s="59" t="str">
        <f aca="false">IF(名簿!$D13="","",名簿!$D13&amp;IF(名簿!$F13="転出","（転出）",""))</f>
        <v/>
      </c>
      <c r="D13" s="149"/>
      <c r="E13" s="61" t="str">
        <f aca="false">IF(OR($C13="",名簿!$F13="転出"),"",IF($C$2="学級ごと",$A13,IF($C$2="前の単元と同じ",単元12!$E13&amp;"",$D13&amp;"")))</f>
        <v/>
      </c>
      <c r="F13" s="150"/>
      <c r="G13" s="150"/>
      <c r="H13" s="150"/>
      <c r="I13" s="151"/>
      <c r="J13" s="41" t="str">
        <f aca="false">IF($E13="","",$E13&amp;"|"&amp;COUNTIF($E$5:$E13,$E13))</f>
        <v/>
      </c>
      <c r="K13" s="40" t="str">
        <f aca="false">IF($I13="","",LEN($I13))</f>
        <v/>
      </c>
      <c r="L13" s="13"/>
      <c r="M13" s="13"/>
      <c r="N13" s="13"/>
      <c r="O13" s="13"/>
      <c r="P13" s="152"/>
      <c r="Q13" s="149"/>
      <c r="R13" s="152"/>
      <c r="S13" s="152"/>
      <c r="T13" s="62" t="str">
        <f aca="false">IF(OR($C13="",R13=""),"",IF(R13/IF($R$2="",100,$R$2)&gt;=設定!$I$28,設定!$G$8,IF(R13/IF($R$2="",100,$R$2)&lt;設定!$I$29,設定!$G$10,設定!$G$9)))</f>
        <v/>
      </c>
      <c r="U13" s="62" t="str">
        <f aca="false">IF(OR($C13="",S13=""),"",IF(S13/IF($S$2="",100,$S$2)&gt;=設定!$I$28,設定!$G$8,IF(S13/IF($S$2="",100,$S$2)&lt;設定!$I$29,設定!$G$10,設定!$G$9)))</f>
        <v/>
      </c>
    </row>
    <row r="14" customFormat="false" ht="21" hidden="false" customHeight="true" outlineLevel="0" collapsed="false">
      <c r="A14" s="91" t="str">
        <f aca="false">IF(名簿!$D14="","",名簿!$B14&amp;"")</f>
        <v/>
      </c>
      <c r="B14" s="91" t="str">
        <f aca="false">IF(名簿!$D14="","",名簿!$C14)</f>
        <v/>
      </c>
      <c r="C14" s="59" t="str">
        <f aca="false">IF(名簿!$D14="","",名簿!$D14&amp;IF(名簿!$F14="転出","（転出）",""))</f>
        <v/>
      </c>
      <c r="D14" s="149"/>
      <c r="E14" s="61" t="str">
        <f aca="false">IF(OR($C14="",名簿!$F14="転出"),"",IF($C$2="学級ごと",$A14,IF($C$2="前の単元と同じ",単元12!$E14&amp;"",$D14&amp;"")))</f>
        <v/>
      </c>
      <c r="F14" s="150"/>
      <c r="G14" s="150"/>
      <c r="H14" s="150"/>
      <c r="I14" s="151"/>
      <c r="J14" s="41" t="str">
        <f aca="false">IF($E14="","",$E14&amp;"|"&amp;COUNTIF($E$5:$E14,$E14))</f>
        <v/>
      </c>
      <c r="K14" s="40" t="str">
        <f aca="false">IF($I14="","",LEN($I14))</f>
        <v/>
      </c>
      <c r="L14" s="13"/>
      <c r="M14" s="13"/>
      <c r="N14" s="13"/>
      <c r="O14" s="13"/>
      <c r="P14" s="152"/>
      <c r="Q14" s="149"/>
      <c r="R14" s="152"/>
      <c r="S14" s="152"/>
      <c r="T14" s="62" t="str">
        <f aca="false">IF(OR($C14="",R14=""),"",IF(R14/IF($R$2="",100,$R$2)&gt;=設定!$I$28,設定!$G$8,IF(R14/IF($R$2="",100,$R$2)&lt;設定!$I$29,設定!$G$10,設定!$G$9)))</f>
        <v/>
      </c>
      <c r="U14" s="62" t="str">
        <f aca="false">IF(OR($C14="",S14=""),"",IF(S14/IF($S$2="",100,$S$2)&gt;=設定!$I$28,設定!$G$8,IF(S14/IF($S$2="",100,$S$2)&lt;設定!$I$29,設定!$G$10,設定!$G$9)))</f>
        <v/>
      </c>
    </row>
    <row r="15" customFormat="false" ht="21" hidden="false" customHeight="true" outlineLevel="0" collapsed="false">
      <c r="A15" s="91" t="str">
        <f aca="false">IF(名簿!$D15="","",名簿!$B15&amp;"")</f>
        <v/>
      </c>
      <c r="B15" s="91" t="str">
        <f aca="false">IF(名簿!$D15="","",名簿!$C15)</f>
        <v/>
      </c>
      <c r="C15" s="59" t="str">
        <f aca="false">IF(名簿!$D15="","",名簿!$D15&amp;IF(名簿!$F15="転出","（転出）",""))</f>
        <v/>
      </c>
      <c r="D15" s="149"/>
      <c r="E15" s="61" t="str">
        <f aca="false">IF(OR($C15="",名簿!$F15="転出"),"",IF($C$2="学級ごと",$A15,IF($C$2="前の単元と同じ",単元12!$E15&amp;"",$D15&amp;"")))</f>
        <v/>
      </c>
      <c r="F15" s="150"/>
      <c r="G15" s="150"/>
      <c r="H15" s="150"/>
      <c r="I15" s="151"/>
      <c r="J15" s="41" t="str">
        <f aca="false">IF($E15="","",$E15&amp;"|"&amp;COUNTIF($E$5:$E15,$E15))</f>
        <v/>
      </c>
      <c r="K15" s="40" t="str">
        <f aca="false">IF($I15="","",LEN($I15))</f>
        <v/>
      </c>
      <c r="L15" s="13"/>
      <c r="M15" s="13"/>
      <c r="N15" s="13"/>
      <c r="O15" s="13"/>
      <c r="P15" s="152"/>
      <c r="Q15" s="149"/>
      <c r="R15" s="152"/>
      <c r="S15" s="152"/>
      <c r="T15" s="62" t="str">
        <f aca="false">IF(OR($C15="",R15=""),"",IF(R15/IF($R$2="",100,$R$2)&gt;=設定!$I$28,設定!$G$8,IF(R15/IF($R$2="",100,$R$2)&lt;設定!$I$29,設定!$G$10,設定!$G$9)))</f>
        <v/>
      </c>
      <c r="U15" s="62" t="str">
        <f aca="false">IF(OR($C15="",S15=""),"",IF(S15/IF($S$2="",100,$S$2)&gt;=設定!$I$28,設定!$G$8,IF(S15/IF($S$2="",100,$S$2)&lt;設定!$I$29,設定!$G$10,設定!$G$9)))</f>
        <v/>
      </c>
    </row>
    <row r="16" customFormat="false" ht="21" hidden="false" customHeight="true" outlineLevel="0" collapsed="false">
      <c r="A16" s="91" t="str">
        <f aca="false">IF(名簿!$D16="","",名簿!$B16&amp;"")</f>
        <v/>
      </c>
      <c r="B16" s="91" t="str">
        <f aca="false">IF(名簿!$D16="","",名簿!$C16)</f>
        <v/>
      </c>
      <c r="C16" s="59" t="str">
        <f aca="false">IF(名簿!$D16="","",名簿!$D16&amp;IF(名簿!$F16="転出","（転出）",""))</f>
        <v/>
      </c>
      <c r="D16" s="149"/>
      <c r="E16" s="61" t="str">
        <f aca="false">IF(OR($C16="",名簿!$F16="転出"),"",IF($C$2="学級ごと",$A16,IF($C$2="前の単元と同じ",単元12!$E16&amp;"",$D16&amp;"")))</f>
        <v/>
      </c>
      <c r="F16" s="150"/>
      <c r="G16" s="150"/>
      <c r="H16" s="150"/>
      <c r="I16" s="151"/>
      <c r="J16" s="41" t="str">
        <f aca="false">IF($E16="","",$E16&amp;"|"&amp;COUNTIF($E$5:$E16,$E16))</f>
        <v/>
      </c>
      <c r="K16" s="40" t="str">
        <f aca="false">IF($I16="","",LEN($I16))</f>
        <v/>
      </c>
      <c r="L16" s="13"/>
      <c r="M16" s="13"/>
      <c r="N16" s="13"/>
      <c r="O16" s="13"/>
      <c r="P16" s="152"/>
      <c r="Q16" s="149"/>
      <c r="R16" s="152"/>
      <c r="S16" s="152"/>
      <c r="T16" s="62" t="str">
        <f aca="false">IF(OR($C16="",R16=""),"",IF(R16/IF($R$2="",100,$R$2)&gt;=設定!$I$28,設定!$G$8,IF(R16/IF($R$2="",100,$R$2)&lt;設定!$I$29,設定!$G$10,設定!$G$9)))</f>
        <v/>
      </c>
      <c r="U16" s="62" t="str">
        <f aca="false">IF(OR($C16="",S16=""),"",IF(S16/IF($S$2="",100,$S$2)&gt;=設定!$I$28,設定!$G$8,IF(S16/IF($S$2="",100,$S$2)&lt;設定!$I$29,設定!$G$10,設定!$G$9)))</f>
        <v/>
      </c>
    </row>
    <row r="17" customFormat="false" ht="21" hidden="false" customHeight="true" outlineLevel="0" collapsed="false">
      <c r="A17" s="91" t="str">
        <f aca="false">IF(名簿!$D17="","",名簿!$B17&amp;"")</f>
        <v/>
      </c>
      <c r="B17" s="91" t="str">
        <f aca="false">IF(名簿!$D17="","",名簿!$C17)</f>
        <v/>
      </c>
      <c r="C17" s="59" t="str">
        <f aca="false">IF(名簿!$D17="","",名簿!$D17&amp;IF(名簿!$F17="転出","（転出）",""))</f>
        <v/>
      </c>
      <c r="D17" s="149"/>
      <c r="E17" s="61" t="str">
        <f aca="false">IF(OR($C17="",名簿!$F17="転出"),"",IF($C$2="学級ごと",$A17,IF($C$2="前の単元と同じ",単元12!$E17&amp;"",$D17&amp;"")))</f>
        <v/>
      </c>
      <c r="F17" s="150"/>
      <c r="G17" s="150"/>
      <c r="H17" s="150"/>
      <c r="I17" s="151"/>
      <c r="J17" s="41" t="str">
        <f aca="false">IF($E17="","",$E17&amp;"|"&amp;COUNTIF($E$5:$E17,$E17))</f>
        <v/>
      </c>
      <c r="K17" s="40" t="str">
        <f aca="false">IF($I17="","",LEN($I17))</f>
        <v/>
      </c>
      <c r="L17" s="13"/>
      <c r="M17" s="13"/>
      <c r="N17" s="13"/>
      <c r="O17" s="13"/>
      <c r="P17" s="152"/>
      <c r="Q17" s="149"/>
      <c r="R17" s="152"/>
      <c r="S17" s="152"/>
      <c r="T17" s="62" t="str">
        <f aca="false">IF(OR($C17="",R17=""),"",IF(R17/IF($R$2="",100,$R$2)&gt;=設定!$I$28,設定!$G$8,IF(R17/IF($R$2="",100,$R$2)&lt;設定!$I$29,設定!$G$10,設定!$G$9)))</f>
        <v/>
      </c>
      <c r="U17" s="62" t="str">
        <f aca="false">IF(OR($C17="",S17=""),"",IF(S17/IF($S$2="",100,$S$2)&gt;=設定!$I$28,設定!$G$8,IF(S17/IF($S$2="",100,$S$2)&lt;設定!$I$29,設定!$G$10,設定!$G$9)))</f>
        <v/>
      </c>
    </row>
    <row r="18" customFormat="false" ht="21" hidden="false" customHeight="true" outlineLevel="0" collapsed="false">
      <c r="A18" s="91" t="str">
        <f aca="false">IF(名簿!$D18="","",名簿!$B18&amp;"")</f>
        <v/>
      </c>
      <c r="B18" s="91" t="str">
        <f aca="false">IF(名簿!$D18="","",名簿!$C18)</f>
        <v/>
      </c>
      <c r="C18" s="59" t="str">
        <f aca="false">IF(名簿!$D18="","",名簿!$D18&amp;IF(名簿!$F18="転出","（転出）",""))</f>
        <v/>
      </c>
      <c r="D18" s="149"/>
      <c r="E18" s="61" t="str">
        <f aca="false">IF(OR($C18="",名簿!$F18="転出"),"",IF($C$2="学級ごと",$A18,IF($C$2="前の単元と同じ",単元12!$E18&amp;"",$D18&amp;"")))</f>
        <v/>
      </c>
      <c r="F18" s="150"/>
      <c r="G18" s="150"/>
      <c r="H18" s="150"/>
      <c r="I18" s="151"/>
      <c r="J18" s="41" t="str">
        <f aca="false">IF($E18="","",$E18&amp;"|"&amp;COUNTIF($E$5:$E18,$E18))</f>
        <v/>
      </c>
      <c r="K18" s="40" t="str">
        <f aca="false">IF($I18="","",LEN($I18))</f>
        <v/>
      </c>
      <c r="L18" s="13"/>
      <c r="M18" s="13"/>
      <c r="N18" s="13"/>
      <c r="O18" s="13"/>
      <c r="P18" s="152"/>
      <c r="Q18" s="149"/>
      <c r="R18" s="152"/>
      <c r="S18" s="152"/>
      <c r="T18" s="62" t="str">
        <f aca="false">IF(OR($C18="",R18=""),"",IF(R18/IF($R$2="",100,$R$2)&gt;=設定!$I$28,設定!$G$8,IF(R18/IF($R$2="",100,$R$2)&lt;設定!$I$29,設定!$G$10,設定!$G$9)))</f>
        <v/>
      </c>
      <c r="U18" s="62" t="str">
        <f aca="false">IF(OR($C18="",S18=""),"",IF(S18/IF($S$2="",100,$S$2)&gt;=設定!$I$28,設定!$G$8,IF(S18/IF($S$2="",100,$S$2)&lt;設定!$I$29,設定!$G$10,設定!$G$9)))</f>
        <v/>
      </c>
    </row>
    <row r="19" customFormat="false" ht="21" hidden="false" customHeight="true" outlineLevel="0" collapsed="false">
      <c r="A19" s="91" t="str">
        <f aca="false">IF(名簿!$D19="","",名簿!$B19&amp;"")</f>
        <v/>
      </c>
      <c r="B19" s="91" t="str">
        <f aca="false">IF(名簿!$D19="","",名簿!$C19)</f>
        <v/>
      </c>
      <c r="C19" s="59" t="str">
        <f aca="false">IF(名簿!$D19="","",名簿!$D19&amp;IF(名簿!$F19="転出","（転出）",""))</f>
        <v/>
      </c>
      <c r="D19" s="149"/>
      <c r="E19" s="61" t="str">
        <f aca="false">IF(OR($C19="",名簿!$F19="転出"),"",IF($C$2="学級ごと",$A19,IF($C$2="前の単元と同じ",単元12!$E19&amp;"",$D19&amp;"")))</f>
        <v/>
      </c>
      <c r="F19" s="150"/>
      <c r="G19" s="150"/>
      <c r="H19" s="150"/>
      <c r="I19" s="151"/>
      <c r="J19" s="41" t="str">
        <f aca="false">IF($E19="","",$E19&amp;"|"&amp;COUNTIF($E$5:$E19,$E19))</f>
        <v/>
      </c>
      <c r="K19" s="40" t="str">
        <f aca="false">IF($I19="","",LEN($I19))</f>
        <v/>
      </c>
      <c r="L19" s="13"/>
      <c r="M19" s="13"/>
      <c r="N19" s="13"/>
      <c r="O19" s="13"/>
      <c r="P19" s="152"/>
      <c r="Q19" s="149"/>
      <c r="R19" s="152"/>
      <c r="S19" s="152"/>
      <c r="T19" s="62" t="str">
        <f aca="false">IF(OR($C19="",R19=""),"",IF(R19/IF($R$2="",100,$R$2)&gt;=設定!$I$28,設定!$G$8,IF(R19/IF($R$2="",100,$R$2)&lt;設定!$I$29,設定!$G$10,設定!$G$9)))</f>
        <v/>
      </c>
      <c r="U19" s="62" t="str">
        <f aca="false">IF(OR($C19="",S19=""),"",IF(S19/IF($S$2="",100,$S$2)&gt;=設定!$I$28,設定!$G$8,IF(S19/IF($S$2="",100,$S$2)&lt;設定!$I$29,設定!$G$10,設定!$G$9)))</f>
        <v/>
      </c>
    </row>
    <row r="20" customFormat="false" ht="21" hidden="false" customHeight="true" outlineLevel="0" collapsed="false">
      <c r="A20" s="91" t="str">
        <f aca="false">IF(名簿!$D20="","",名簿!$B20&amp;"")</f>
        <v/>
      </c>
      <c r="B20" s="91" t="str">
        <f aca="false">IF(名簿!$D20="","",名簿!$C20)</f>
        <v/>
      </c>
      <c r="C20" s="59" t="str">
        <f aca="false">IF(名簿!$D20="","",名簿!$D20&amp;IF(名簿!$F20="転出","（転出）",""))</f>
        <v/>
      </c>
      <c r="D20" s="149"/>
      <c r="E20" s="61" t="str">
        <f aca="false">IF(OR($C20="",名簿!$F20="転出"),"",IF($C$2="学級ごと",$A20,IF($C$2="前の単元と同じ",単元12!$E20&amp;"",$D20&amp;"")))</f>
        <v/>
      </c>
      <c r="F20" s="150"/>
      <c r="G20" s="150"/>
      <c r="H20" s="150"/>
      <c r="I20" s="151"/>
      <c r="J20" s="41" t="str">
        <f aca="false">IF($E20="","",$E20&amp;"|"&amp;COUNTIF($E$5:$E20,$E20))</f>
        <v/>
      </c>
      <c r="K20" s="40" t="str">
        <f aca="false">IF($I20="","",LEN($I20))</f>
        <v/>
      </c>
      <c r="L20" s="13"/>
      <c r="M20" s="13"/>
      <c r="N20" s="13"/>
      <c r="O20" s="13"/>
      <c r="P20" s="152"/>
      <c r="Q20" s="149"/>
      <c r="R20" s="152"/>
      <c r="S20" s="152"/>
      <c r="T20" s="62" t="str">
        <f aca="false">IF(OR($C20="",R20=""),"",IF(R20/IF($R$2="",100,$R$2)&gt;=設定!$I$28,設定!$G$8,IF(R20/IF($R$2="",100,$R$2)&lt;設定!$I$29,設定!$G$10,設定!$G$9)))</f>
        <v/>
      </c>
      <c r="U20" s="62" t="str">
        <f aca="false">IF(OR($C20="",S20=""),"",IF(S20/IF($S$2="",100,$S$2)&gt;=設定!$I$28,設定!$G$8,IF(S20/IF($S$2="",100,$S$2)&lt;設定!$I$29,設定!$G$10,設定!$G$9)))</f>
        <v/>
      </c>
    </row>
    <row r="21" customFormat="false" ht="21" hidden="false" customHeight="true" outlineLevel="0" collapsed="false">
      <c r="A21" s="91" t="str">
        <f aca="false">IF(名簿!$D21="","",名簿!$B21&amp;"")</f>
        <v/>
      </c>
      <c r="B21" s="91" t="str">
        <f aca="false">IF(名簿!$D21="","",名簿!$C21)</f>
        <v/>
      </c>
      <c r="C21" s="59" t="str">
        <f aca="false">IF(名簿!$D21="","",名簿!$D21&amp;IF(名簿!$F21="転出","（転出）",""))</f>
        <v/>
      </c>
      <c r="D21" s="149"/>
      <c r="E21" s="61" t="str">
        <f aca="false">IF(OR($C21="",名簿!$F21="転出"),"",IF($C$2="学級ごと",$A21,IF($C$2="前の単元と同じ",単元12!$E21&amp;"",$D21&amp;"")))</f>
        <v/>
      </c>
      <c r="F21" s="150"/>
      <c r="G21" s="150"/>
      <c r="H21" s="150"/>
      <c r="I21" s="151"/>
      <c r="J21" s="41" t="str">
        <f aca="false">IF($E21="","",$E21&amp;"|"&amp;COUNTIF($E$5:$E21,$E21))</f>
        <v/>
      </c>
      <c r="K21" s="40" t="str">
        <f aca="false">IF($I21="","",LEN($I21))</f>
        <v/>
      </c>
      <c r="L21" s="13"/>
      <c r="M21" s="13"/>
      <c r="N21" s="13"/>
      <c r="O21" s="13"/>
      <c r="P21" s="152"/>
      <c r="Q21" s="149"/>
      <c r="R21" s="152"/>
      <c r="S21" s="152"/>
      <c r="T21" s="62" t="str">
        <f aca="false">IF(OR($C21="",R21=""),"",IF(R21/IF($R$2="",100,$R$2)&gt;=設定!$I$28,設定!$G$8,IF(R21/IF($R$2="",100,$R$2)&lt;設定!$I$29,設定!$G$10,設定!$G$9)))</f>
        <v/>
      </c>
      <c r="U21" s="62" t="str">
        <f aca="false">IF(OR($C21="",S21=""),"",IF(S21/IF($S$2="",100,$S$2)&gt;=設定!$I$28,設定!$G$8,IF(S21/IF($S$2="",100,$S$2)&lt;設定!$I$29,設定!$G$10,設定!$G$9)))</f>
        <v/>
      </c>
    </row>
    <row r="22" customFormat="false" ht="21" hidden="false" customHeight="true" outlineLevel="0" collapsed="false">
      <c r="A22" s="91" t="str">
        <f aca="false">IF(名簿!$D22="","",名簿!$B22&amp;"")</f>
        <v/>
      </c>
      <c r="B22" s="91" t="str">
        <f aca="false">IF(名簿!$D22="","",名簿!$C22)</f>
        <v/>
      </c>
      <c r="C22" s="59" t="str">
        <f aca="false">IF(名簿!$D22="","",名簿!$D22&amp;IF(名簿!$F22="転出","（転出）",""))</f>
        <v/>
      </c>
      <c r="D22" s="149"/>
      <c r="E22" s="61" t="str">
        <f aca="false">IF(OR($C22="",名簿!$F22="転出"),"",IF($C$2="学級ごと",$A22,IF($C$2="前の単元と同じ",単元12!$E22&amp;"",$D22&amp;"")))</f>
        <v/>
      </c>
      <c r="F22" s="150"/>
      <c r="G22" s="150"/>
      <c r="H22" s="150"/>
      <c r="I22" s="151"/>
      <c r="J22" s="41" t="str">
        <f aca="false">IF($E22="","",$E22&amp;"|"&amp;COUNTIF($E$5:$E22,$E22))</f>
        <v/>
      </c>
      <c r="K22" s="40" t="str">
        <f aca="false">IF($I22="","",LEN($I22))</f>
        <v/>
      </c>
      <c r="L22" s="13"/>
      <c r="M22" s="13"/>
      <c r="N22" s="13"/>
      <c r="O22" s="13"/>
      <c r="P22" s="152"/>
      <c r="Q22" s="149"/>
      <c r="R22" s="152"/>
      <c r="S22" s="152"/>
      <c r="T22" s="62" t="str">
        <f aca="false">IF(OR($C22="",R22=""),"",IF(R22/IF($R$2="",100,$R$2)&gt;=設定!$I$28,設定!$G$8,IF(R22/IF($R$2="",100,$R$2)&lt;設定!$I$29,設定!$G$10,設定!$G$9)))</f>
        <v/>
      </c>
      <c r="U22" s="62" t="str">
        <f aca="false">IF(OR($C22="",S22=""),"",IF(S22/IF($S$2="",100,$S$2)&gt;=設定!$I$28,設定!$G$8,IF(S22/IF($S$2="",100,$S$2)&lt;設定!$I$29,設定!$G$10,設定!$G$9)))</f>
        <v/>
      </c>
    </row>
    <row r="23" customFormat="false" ht="21" hidden="false" customHeight="true" outlineLevel="0" collapsed="false">
      <c r="A23" s="91" t="str">
        <f aca="false">IF(名簿!$D23="","",名簿!$B23&amp;"")</f>
        <v/>
      </c>
      <c r="B23" s="91" t="str">
        <f aca="false">IF(名簿!$D23="","",名簿!$C23)</f>
        <v/>
      </c>
      <c r="C23" s="59" t="str">
        <f aca="false">IF(名簿!$D23="","",名簿!$D23&amp;IF(名簿!$F23="転出","（転出）",""))</f>
        <v/>
      </c>
      <c r="D23" s="149"/>
      <c r="E23" s="61" t="str">
        <f aca="false">IF(OR($C23="",名簿!$F23="転出"),"",IF($C$2="学級ごと",$A23,IF($C$2="前の単元と同じ",単元12!$E23&amp;"",$D23&amp;"")))</f>
        <v/>
      </c>
      <c r="F23" s="150"/>
      <c r="G23" s="150"/>
      <c r="H23" s="150"/>
      <c r="I23" s="151"/>
      <c r="J23" s="41" t="str">
        <f aca="false">IF($E23="","",$E23&amp;"|"&amp;COUNTIF($E$5:$E23,$E23))</f>
        <v/>
      </c>
      <c r="K23" s="40" t="str">
        <f aca="false">IF($I23="","",LEN($I23))</f>
        <v/>
      </c>
      <c r="L23" s="13"/>
      <c r="M23" s="13"/>
      <c r="N23" s="13"/>
      <c r="O23" s="13"/>
      <c r="P23" s="152"/>
      <c r="Q23" s="149"/>
      <c r="R23" s="152"/>
      <c r="S23" s="152"/>
      <c r="T23" s="62" t="str">
        <f aca="false">IF(OR($C23="",R23=""),"",IF(R23/IF($R$2="",100,$R$2)&gt;=設定!$I$28,設定!$G$8,IF(R23/IF($R$2="",100,$R$2)&lt;設定!$I$29,設定!$G$10,設定!$G$9)))</f>
        <v/>
      </c>
      <c r="U23" s="62" t="str">
        <f aca="false">IF(OR($C23="",S23=""),"",IF(S23/IF($S$2="",100,$S$2)&gt;=設定!$I$28,設定!$G$8,IF(S23/IF($S$2="",100,$S$2)&lt;設定!$I$29,設定!$G$10,設定!$G$9)))</f>
        <v/>
      </c>
    </row>
    <row r="24" customFormat="false" ht="21" hidden="false" customHeight="true" outlineLevel="0" collapsed="false">
      <c r="A24" s="91" t="str">
        <f aca="false">IF(名簿!$D24="","",名簿!$B24&amp;"")</f>
        <v/>
      </c>
      <c r="B24" s="91" t="str">
        <f aca="false">IF(名簿!$D24="","",名簿!$C24)</f>
        <v/>
      </c>
      <c r="C24" s="59" t="str">
        <f aca="false">IF(名簿!$D24="","",名簿!$D24&amp;IF(名簿!$F24="転出","（転出）",""))</f>
        <v/>
      </c>
      <c r="D24" s="149"/>
      <c r="E24" s="61" t="str">
        <f aca="false">IF(OR($C24="",名簿!$F24="転出"),"",IF($C$2="学級ごと",$A24,IF($C$2="前の単元と同じ",単元12!$E24&amp;"",$D24&amp;"")))</f>
        <v/>
      </c>
      <c r="F24" s="150"/>
      <c r="G24" s="150"/>
      <c r="H24" s="150"/>
      <c r="I24" s="151"/>
      <c r="J24" s="41" t="str">
        <f aca="false">IF($E24="","",$E24&amp;"|"&amp;COUNTIF($E$5:$E24,$E24))</f>
        <v/>
      </c>
      <c r="K24" s="40" t="str">
        <f aca="false">IF($I24="","",LEN($I24))</f>
        <v/>
      </c>
      <c r="L24" s="13"/>
      <c r="M24" s="13"/>
      <c r="N24" s="13"/>
      <c r="O24" s="13"/>
      <c r="P24" s="152"/>
      <c r="Q24" s="149"/>
      <c r="R24" s="152"/>
      <c r="S24" s="152"/>
      <c r="T24" s="62" t="str">
        <f aca="false">IF(OR($C24="",R24=""),"",IF(R24/IF($R$2="",100,$R$2)&gt;=設定!$I$28,設定!$G$8,IF(R24/IF($R$2="",100,$R$2)&lt;設定!$I$29,設定!$G$10,設定!$G$9)))</f>
        <v/>
      </c>
      <c r="U24" s="62" t="str">
        <f aca="false">IF(OR($C24="",S24=""),"",IF(S24/IF($S$2="",100,$S$2)&gt;=設定!$I$28,設定!$G$8,IF(S24/IF($S$2="",100,$S$2)&lt;設定!$I$29,設定!$G$10,設定!$G$9)))</f>
        <v/>
      </c>
    </row>
    <row r="25" customFormat="false" ht="21" hidden="false" customHeight="true" outlineLevel="0" collapsed="false">
      <c r="A25" s="91" t="str">
        <f aca="false">IF(名簿!$D25="","",名簿!$B25&amp;"")</f>
        <v/>
      </c>
      <c r="B25" s="91" t="str">
        <f aca="false">IF(名簿!$D25="","",名簿!$C25)</f>
        <v/>
      </c>
      <c r="C25" s="59" t="str">
        <f aca="false">IF(名簿!$D25="","",名簿!$D25&amp;IF(名簿!$F25="転出","（転出）",""))</f>
        <v/>
      </c>
      <c r="D25" s="149"/>
      <c r="E25" s="61" t="str">
        <f aca="false">IF(OR($C25="",名簿!$F25="転出"),"",IF($C$2="学級ごと",$A25,IF($C$2="前の単元と同じ",単元12!$E25&amp;"",$D25&amp;"")))</f>
        <v/>
      </c>
      <c r="F25" s="150"/>
      <c r="G25" s="150"/>
      <c r="H25" s="150"/>
      <c r="I25" s="151"/>
      <c r="J25" s="41" t="str">
        <f aca="false">IF($E25="","",$E25&amp;"|"&amp;COUNTIF($E$5:$E25,$E25))</f>
        <v/>
      </c>
      <c r="K25" s="40" t="str">
        <f aca="false">IF($I25="","",LEN($I25))</f>
        <v/>
      </c>
      <c r="L25" s="13"/>
      <c r="M25" s="13"/>
      <c r="N25" s="13"/>
      <c r="O25" s="13"/>
      <c r="P25" s="152"/>
      <c r="Q25" s="149"/>
      <c r="R25" s="152"/>
      <c r="S25" s="152"/>
      <c r="T25" s="62" t="str">
        <f aca="false">IF(OR($C25="",R25=""),"",IF(R25/IF($R$2="",100,$R$2)&gt;=設定!$I$28,設定!$G$8,IF(R25/IF($R$2="",100,$R$2)&lt;設定!$I$29,設定!$G$10,設定!$G$9)))</f>
        <v/>
      </c>
      <c r="U25" s="62" t="str">
        <f aca="false">IF(OR($C25="",S25=""),"",IF(S25/IF($S$2="",100,$S$2)&gt;=設定!$I$28,設定!$G$8,IF(S25/IF($S$2="",100,$S$2)&lt;設定!$I$29,設定!$G$10,設定!$G$9)))</f>
        <v/>
      </c>
    </row>
    <row r="26" customFormat="false" ht="21" hidden="false" customHeight="true" outlineLevel="0" collapsed="false">
      <c r="A26" s="91" t="str">
        <f aca="false">IF(名簿!$D26="","",名簿!$B26&amp;"")</f>
        <v/>
      </c>
      <c r="B26" s="91" t="str">
        <f aca="false">IF(名簿!$D26="","",名簿!$C26)</f>
        <v/>
      </c>
      <c r="C26" s="59" t="str">
        <f aca="false">IF(名簿!$D26="","",名簿!$D26&amp;IF(名簿!$F26="転出","（転出）",""))</f>
        <v/>
      </c>
      <c r="D26" s="149"/>
      <c r="E26" s="61" t="str">
        <f aca="false">IF(OR($C26="",名簿!$F26="転出"),"",IF($C$2="学級ごと",$A26,IF($C$2="前の単元と同じ",単元12!$E26&amp;"",$D26&amp;"")))</f>
        <v/>
      </c>
      <c r="F26" s="150"/>
      <c r="G26" s="150"/>
      <c r="H26" s="150"/>
      <c r="I26" s="151"/>
      <c r="J26" s="41" t="str">
        <f aca="false">IF($E26="","",$E26&amp;"|"&amp;COUNTIF($E$5:$E26,$E26))</f>
        <v/>
      </c>
      <c r="K26" s="40" t="str">
        <f aca="false">IF($I26="","",LEN($I26))</f>
        <v/>
      </c>
      <c r="L26" s="13"/>
      <c r="M26" s="13"/>
      <c r="N26" s="13"/>
      <c r="O26" s="13"/>
      <c r="P26" s="152"/>
      <c r="Q26" s="149"/>
      <c r="R26" s="152"/>
      <c r="S26" s="152"/>
      <c r="T26" s="62" t="str">
        <f aca="false">IF(OR($C26="",R26=""),"",IF(R26/IF($R$2="",100,$R$2)&gt;=設定!$I$28,設定!$G$8,IF(R26/IF($R$2="",100,$R$2)&lt;設定!$I$29,設定!$G$10,設定!$G$9)))</f>
        <v/>
      </c>
      <c r="U26" s="62" t="str">
        <f aca="false">IF(OR($C26="",S26=""),"",IF(S26/IF($S$2="",100,$S$2)&gt;=設定!$I$28,設定!$G$8,IF(S26/IF($S$2="",100,$S$2)&lt;設定!$I$29,設定!$G$10,設定!$G$9)))</f>
        <v/>
      </c>
    </row>
    <row r="27" customFormat="false" ht="21" hidden="false" customHeight="true" outlineLevel="0" collapsed="false">
      <c r="A27" s="91" t="str">
        <f aca="false">IF(名簿!$D27="","",名簿!$B27&amp;"")</f>
        <v/>
      </c>
      <c r="B27" s="91" t="str">
        <f aca="false">IF(名簿!$D27="","",名簿!$C27)</f>
        <v/>
      </c>
      <c r="C27" s="59" t="str">
        <f aca="false">IF(名簿!$D27="","",名簿!$D27&amp;IF(名簿!$F27="転出","（転出）",""))</f>
        <v/>
      </c>
      <c r="D27" s="149"/>
      <c r="E27" s="61" t="str">
        <f aca="false">IF(OR($C27="",名簿!$F27="転出"),"",IF($C$2="学級ごと",$A27,IF($C$2="前の単元と同じ",単元12!$E27&amp;"",$D27&amp;"")))</f>
        <v/>
      </c>
      <c r="F27" s="150"/>
      <c r="G27" s="150"/>
      <c r="H27" s="150"/>
      <c r="I27" s="151"/>
      <c r="J27" s="41" t="str">
        <f aca="false">IF($E27="","",$E27&amp;"|"&amp;COUNTIF($E$5:$E27,$E27))</f>
        <v/>
      </c>
      <c r="K27" s="40" t="str">
        <f aca="false">IF($I27="","",LEN($I27))</f>
        <v/>
      </c>
      <c r="L27" s="13"/>
      <c r="M27" s="13"/>
      <c r="N27" s="13"/>
      <c r="O27" s="13"/>
      <c r="P27" s="152"/>
      <c r="Q27" s="149"/>
      <c r="R27" s="152"/>
      <c r="S27" s="152"/>
      <c r="T27" s="62" t="str">
        <f aca="false">IF(OR($C27="",R27=""),"",IF(R27/IF($R$2="",100,$R$2)&gt;=設定!$I$28,設定!$G$8,IF(R27/IF($R$2="",100,$R$2)&lt;設定!$I$29,設定!$G$10,設定!$G$9)))</f>
        <v/>
      </c>
      <c r="U27" s="62" t="str">
        <f aca="false">IF(OR($C27="",S27=""),"",IF(S27/IF($S$2="",100,$S$2)&gt;=設定!$I$28,設定!$G$8,IF(S27/IF($S$2="",100,$S$2)&lt;設定!$I$29,設定!$G$10,設定!$G$9)))</f>
        <v/>
      </c>
    </row>
    <row r="28" customFormat="false" ht="21" hidden="false" customHeight="true" outlineLevel="0" collapsed="false">
      <c r="A28" s="91" t="str">
        <f aca="false">IF(名簿!$D28="","",名簿!$B28&amp;"")</f>
        <v/>
      </c>
      <c r="B28" s="91" t="str">
        <f aca="false">IF(名簿!$D28="","",名簿!$C28)</f>
        <v/>
      </c>
      <c r="C28" s="59" t="str">
        <f aca="false">IF(名簿!$D28="","",名簿!$D28&amp;IF(名簿!$F28="転出","（転出）",""))</f>
        <v/>
      </c>
      <c r="D28" s="149"/>
      <c r="E28" s="61" t="str">
        <f aca="false">IF(OR($C28="",名簿!$F28="転出"),"",IF($C$2="学級ごと",$A28,IF($C$2="前の単元と同じ",単元12!$E28&amp;"",$D28&amp;"")))</f>
        <v/>
      </c>
      <c r="F28" s="150"/>
      <c r="G28" s="150"/>
      <c r="H28" s="150"/>
      <c r="I28" s="151"/>
      <c r="J28" s="41" t="str">
        <f aca="false">IF($E28="","",$E28&amp;"|"&amp;COUNTIF($E$5:$E28,$E28))</f>
        <v/>
      </c>
      <c r="K28" s="40" t="str">
        <f aca="false">IF($I28="","",LEN($I28))</f>
        <v/>
      </c>
      <c r="L28" s="13"/>
      <c r="M28" s="13"/>
      <c r="N28" s="13"/>
      <c r="O28" s="13"/>
      <c r="P28" s="152"/>
      <c r="Q28" s="149"/>
      <c r="R28" s="152"/>
      <c r="S28" s="152"/>
      <c r="T28" s="62" t="str">
        <f aca="false">IF(OR($C28="",R28=""),"",IF(R28/IF($R$2="",100,$R$2)&gt;=設定!$I$28,設定!$G$8,IF(R28/IF($R$2="",100,$R$2)&lt;設定!$I$29,設定!$G$10,設定!$G$9)))</f>
        <v/>
      </c>
      <c r="U28" s="62" t="str">
        <f aca="false">IF(OR($C28="",S28=""),"",IF(S28/IF($S$2="",100,$S$2)&gt;=設定!$I$28,設定!$G$8,IF(S28/IF($S$2="",100,$S$2)&lt;設定!$I$29,設定!$G$10,設定!$G$9)))</f>
        <v/>
      </c>
    </row>
    <row r="29" customFormat="false" ht="21" hidden="false" customHeight="true" outlineLevel="0" collapsed="false">
      <c r="A29" s="91" t="str">
        <f aca="false">IF(名簿!$D29="","",名簿!$B29&amp;"")</f>
        <v/>
      </c>
      <c r="B29" s="91" t="str">
        <f aca="false">IF(名簿!$D29="","",名簿!$C29)</f>
        <v/>
      </c>
      <c r="C29" s="59" t="str">
        <f aca="false">IF(名簿!$D29="","",名簿!$D29&amp;IF(名簿!$F29="転出","（転出）",""))</f>
        <v/>
      </c>
      <c r="D29" s="149"/>
      <c r="E29" s="61" t="str">
        <f aca="false">IF(OR($C29="",名簿!$F29="転出"),"",IF($C$2="学級ごと",$A29,IF($C$2="前の単元と同じ",単元12!$E29&amp;"",$D29&amp;"")))</f>
        <v/>
      </c>
      <c r="F29" s="150"/>
      <c r="G29" s="150"/>
      <c r="H29" s="150"/>
      <c r="I29" s="151"/>
      <c r="J29" s="41" t="str">
        <f aca="false">IF($E29="","",$E29&amp;"|"&amp;COUNTIF($E$5:$E29,$E29))</f>
        <v/>
      </c>
      <c r="K29" s="40" t="str">
        <f aca="false">IF($I29="","",LEN($I29))</f>
        <v/>
      </c>
      <c r="L29" s="13"/>
      <c r="M29" s="13"/>
      <c r="N29" s="13"/>
      <c r="O29" s="13"/>
      <c r="P29" s="152"/>
      <c r="Q29" s="149"/>
      <c r="R29" s="152"/>
      <c r="S29" s="152"/>
      <c r="T29" s="62" t="str">
        <f aca="false">IF(OR($C29="",R29=""),"",IF(R29/IF($R$2="",100,$R$2)&gt;=設定!$I$28,設定!$G$8,IF(R29/IF($R$2="",100,$R$2)&lt;設定!$I$29,設定!$G$10,設定!$G$9)))</f>
        <v/>
      </c>
      <c r="U29" s="62" t="str">
        <f aca="false">IF(OR($C29="",S29=""),"",IF(S29/IF($S$2="",100,$S$2)&gt;=設定!$I$28,設定!$G$8,IF(S29/IF($S$2="",100,$S$2)&lt;設定!$I$29,設定!$G$10,設定!$G$9)))</f>
        <v/>
      </c>
    </row>
    <row r="30" customFormat="false" ht="21" hidden="false" customHeight="true" outlineLevel="0" collapsed="false">
      <c r="A30" s="91" t="str">
        <f aca="false">IF(名簿!$D30="","",名簿!$B30&amp;"")</f>
        <v/>
      </c>
      <c r="B30" s="91" t="str">
        <f aca="false">IF(名簿!$D30="","",名簿!$C30)</f>
        <v/>
      </c>
      <c r="C30" s="59" t="str">
        <f aca="false">IF(名簿!$D30="","",名簿!$D30&amp;IF(名簿!$F30="転出","（転出）",""))</f>
        <v/>
      </c>
      <c r="D30" s="149"/>
      <c r="E30" s="61" t="str">
        <f aca="false">IF(OR($C30="",名簿!$F30="転出"),"",IF($C$2="学級ごと",$A30,IF($C$2="前の単元と同じ",単元12!$E30&amp;"",$D30&amp;"")))</f>
        <v/>
      </c>
      <c r="F30" s="150"/>
      <c r="G30" s="150"/>
      <c r="H30" s="150"/>
      <c r="I30" s="151"/>
      <c r="J30" s="41" t="str">
        <f aca="false">IF($E30="","",$E30&amp;"|"&amp;COUNTIF($E$5:$E30,$E30))</f>
        <v/>
      </c>
      <c r="K30" s="40" t="str">
        <f aca="false">IF($I30="","",LEN($I30))</f>
        <v/>
      </c>
      <c r="L30" s="13"/>
      <c r="M30" s="13"/>
      <c r="N30" s="13"/>
      <c r="O30" s="13"/>
      <c r="P30" s="152"/>
      <c r="Q30" s="149"/>
      <c r="R30" s="152"/>
      <c r="S30" s="152"/>
      <c r="T30" s="62" t="str">
        <f aca="false">IF(OR($C30="",R30=""),"",IF(R30/IF($R$2="",100,$R$2)&gt;=設定!$I$28,設定!$G$8,IF(R30/IF($R$2="",100,$R$2)&lt;設定!$I$29,設定!$G$10,設定!$G$9)))</f>
        <v/>
      </c>
      <c r="U30" s="62" t="str">
        <f aca="false">IF(OR($C30="",S30=""),"",IF(S30/IF($S$2="",100,$S$2)&gt;=設定!$I$28,設定!$G$8,IF(S30/IF($S$2="",100,$S$2)&lt;設定!$I$29,設定!$G$10,設定!$G$9)))</f>
        <v/>
      </c>
    </row>
    <row r="31" customFormat="false" ht="21" hidden="false" customHeight="true" outlineLevel="0" collapsed="false">
      <c r="A31" s="91" t="str">
        <f aca="false">IF(名簿!$D31="","",名簿!$B31&amp;"")</f>
        <v/>
      </c>
      <c r="B31" s="91" t="str">
        <f aca="false">IF(名簿!$D31="","",名簿!$C31)</f>
        <v/>
      </c>
      <c r="C31" s="59" t="str">
        <f aca="false">IF(名簿!$D31="","",名簿!$D31&amp;IF(名簿!$F31="転出","（転出）",""))</f>
        <v/>
      </c>
      <c r="D31" s="149"/>
      <c r="E31" s="61" t="str">
        <f aca="false">IF(OR($C31="",名簿!$F31="転出"),"",IF($C$2="学級ごと",$A31,IF($C$2="前の単元と同じ",単元12!$E31&amp;"",$D31&amp;"")))</f>
        <v/>
      </c>
      <c r="F31" s="150"/>
      <c r="G31" s="150"/>
      <c r="H31" s="150"/>
      <c r="I31" s="151"/>
      <c r="J31" s="41" t="str">
        <f aca="false">IF($E31="","",$E31&amp;"|"&amp;COUNTIF($E$5:$E31,$E31))</f>
        <v/>
      </c>
      <c r="K31" s="40" t="str">
        <f aca="false">IF($I31="","",LEN($I31))</f>
        <v/>
      </c>
      <c r="L31" s="13"/>
      <c r="M31" s="13"/>
      <c r="N31" s="13"/>
      <c r="O31" s="13"/>
      <c r="P31" s="152"/>
      <c r="Q31" s="149"/>
      <c r="R31" s="152"/>
      <c r="S31" s="152"/>
      <c r="T31" s="62" t="str">
        <f aca="false">IF(OR($C31="",R31=""),"",IF(R31/IF($R$2="",100,$R$2)&gt;=設定!$I$28,設定!$G$8,IF(R31/IF($R$2="",100,$R$2)&lt;設定!$I$29,設定!$G$10,設定!$G$9)))</f>
        <v/>
      </c>
      <c r="U31" s="62" t="str">
        <f aca="false">IF(OR($C31="",S31=""),"",IF(S31/IF($S$2="",100,$S$2)&gt;=設定!$I$28,設定!$G$8,IF(S31/IF($S$2="",100,$S$2)&lt;設定!$I$29,設定!$G$10,設定!$G$9)))</f>
        <v/>
      </c>
    </row>
    <row r="32" customFormat="false" ht="21" hidden="false" customHeight="true" outlineLevel="0" collapsed="false">
      <c r="A32" s="91" t="str">
        <f aca="false">IF(名簿!$D32="","",名簿!$B32&amp;"")</f>
        <v/>
      </c>
      <c r="B32" s="91" t="str">
        <f aca="false">IF(名簿!$D32="","",名簿!$C32)</f>
        <v/>
      </c>
      <c r="C32" s="59" t="str">
        <f aca="false">IF(名簿!$D32="","",名簿!$D32&amp;IF(名簿!$F32="転出","（転出）",""))</f>
        <v/>
      </c>
      <c r="D32" s="149"/>
      <c r="E32" s="61" t="str">
        <f aca="false">IF(OR($C32="",名簿!$F32="転出"),"",IF($C$2="学級ごと",$A32,IF($C$2="前の単元と同じ",単元12!$E32&amp;"",$D32&amp;"")))</f>
        <v/>
      </c>
      <c r="F32" s="150"/>
      <c r="G32" s="150"/>
      <c r="H32" s="150"/>
      <c r="I32" s="151"/>
      <c r="J32" s="41" t="str">
        <f aca="false">IF($E32="","",$E32&amp;"|"&amp;COUNTIF($E$5:$E32,$E32))</f>
        <v/>
      </c>
      <c r="K32" s="40" t="str">
        <f aca="false">IF($I32="","",LEN($I32))</f>
        <v/>
      </c>
      <c r="L32" s="13"/>
      <c r="M32" s="13"/>
      <c r="N32" s="13"/>
      <c r="O32" s="13"/>
      <c r="P32" s="152"/>
      <c r="Q32" s="149"/>
      <c r="R32" s="152"/>
      <c r="S32" s="152"/>
      <c r="T32" s="62" t="str">
        <f aca="false">IF(OR($C32="",R32=""),"",IF(R32/IF($R$2="",100,$R$2)&gt;=設定!$I$28,設定!$G$8,IF(R32/IF($R$2="",100,$R$2)&lt;設定!$I$29,設定!$G$10,設定!$G$9)))</f>
        <v/>
      </c>
      <c r="U32" s="62" t="str">
        <f aca="false">IF(OR($C32="",S32=""),"",IF(S32/IF($S$2="",100,$S$2)&gt;=設定!$I$28,設定!$G$8,IF(S32/IF($S$2="",100,$S$2)&lt;設定!$I$29,設定!$G$10,設定!$G$9)))</f>
        <v/>
      </c>
    </row>
    <row r="33" customFormat="false" ht="21" hidden="false" customHeight="true" outlineLevel="0" collapsed="false">
      <c r="A33" s="91" t="str">
        <f aca="false">IF(名簿!$D33="","",名簿!$B33&amp;"")</f>
        <v/>
      </c>
      <c r="B33" s="91" t="str">
        <f aca="false">IF(名簿!$D33="","",名簿!$C33)</f>
        <v/>
      </c>
      <c r="C33" s="59" t="str">
        <f aca="false">IF(名簿!$D33="","",名簿!$D33&amp;IF(名簿!$F33="転出","（転出）",""))</f>
        <v/>
      </c>
      <c r="D33" s="149"/>
      <c r="E33" s="61" t="str">
        <f aca="false">IF(OR($C33="",名簿!$F33="転出"),"",IF($C$2="学級ごと",$A33,IF($C$2="前の単元と同じ",単元12!$E33&amp;"",$D33&amp;"")))</f>
        <v/>
      </c>
      <c r="F33" s="150"/>
      <c r="G33" s="150"/>
      <c r="H33" s="150"/>
      <c r="I33" s="151"/>
      <c r="J33" s="41" t="str">
        <f aca="false">IF($E33="","",$E33&amp;"|"&amp;COUNTIF($E$5:$E33,$E33))</f>
        <v/>
      </c>
      <c r="K33" s="40" t="str">
        <f aca="false">IF($I33="","",LEN($I33))</f>
        <v/>
      </c>
      <c r="L33" s="13"/>
      <c r="M33" s="13"/>
      <c r="N33" s="13"/>
      <c r="O33" s="13"/>
      <c r="P33" s="152"/>
      <c r="Q33" s="149"/>
      <c r="R33" s="152"/>
      <c r="S33" s="152"/>
      <c r="T33" s="62" t="str">
        <f aca="false">IF(OR($C33="",R33=""),"",IF(R33/IF($R$2="",100,$R$2)&gt;=設定!$I$28,設定!$G$8,IF(R33/IF($R$2="",100,$R$2)&lt;設定!$I$29,設定!$G$10,設定!$G$9)))</f>
        <v/>
      </c>
      <c r="U33" s="62" t="str">
        <f aca="false">IF(OR($C33="",S33=""),"",IF(S33/IF($S$2="",100,$S$2)&gt;=設定!$I$28,設定!$G$8,IF(S33/IF($S$2="",100,$S$2)&lt;設定!$I$29,設定!$G$10,設定!$G$9)))</f>
        <v/>
      </c>
    </row>
    <row r="34" customFormat="false" ht="21" hidden="false" customHeight="true" outlineLevel="0" collapsed="false">
      <c r="A34" s="91" t="str">
        <f aca="false">IF(名簿!$D34="","",名簿!$B34&amp;"")</f>
        <v/>
      </c>
      <c r="B34" s="91" t="str">
        <f aca="false">IF(名簿!$D34="","",名簿!$C34)</f>
        <v/>
      </c>
      <c r="C34" s="59" t="str">
        <f aca="false">IF(名簿!$D34="","",名簿!$D34&amp;IF(名簿!$F34="転出","（転出）",""))</f>
        <v/>
      </c>
      <c r="D34" s="149"/>
      <c r="E34" s="61" t="str">
        <f aca="false">IF(OR($C34="",名簿!$F34="転出"),"",IF($C$2="学級ごと",$A34,IF($C$2="前の単元と同じ",単元12!$E34&amp;"",$D34&amp;"")))</f>
        <v/>
      </c>
      <c r="F34" s="150"/>
      <c r="G34" s="150"/>
      <c r="H34" s="150"/>
      <c r="I34" s="151"/>
      <c r="J34" s="41" t="str">
        <f aca="false">IF($E34="","",$E34&amp;"|"&amp;COUNTIF($E$5:$E34,$E34))</f>
        <v/>
      </c>
      <c r="K34" s="40" t="str">
        <f aca="false">IF($I34="","",LEN($I34))</f>
        <v/>
      </c>
      <c r="L34" s="13"/>
      <c r="M34" s="13"/>
      <c r="N34" s="13"/>
      <c r="O34" s="13"/>
      <c r="P34" s="152"/>
      <c r="Q34" s="149"/>
      <c r="R34" s="152"/>
      <c r="S34" s="152"/>
      <c r="T34" s="62" t="str">
        <f aca="false">IF(OR($C34="",R34=""),"",IF(R34/IF($R$2="",100,$R$2)&gt;=設定!$I$28,設定!$G$8,IF(R34/IF($R$2="",100,$R$2)&lt;設定!$I$29,設定!$G$10,設定!$G$9)))</f>
        <v/>
      </c>
      <c r="U34" s="62" t="str">
        <f aca="false">IF(OR($C34="",S34=""),"",IF(S34/IF($S$2="",100,$S$2)&gt;=設定!$I$28,設定!$G$8,IF(S34/IF($S$2="",100,$S$2)&lt;設定!$I$29,設定!$G$10,設定!$G$9)))</f>
        <v/>
      </c>
    </row>
    <row r="35" customFormat="false" ht="21" hidden="false" customHeight="true" outlineLevel="0" collapsed="false">
      <c r="A35" s="91" t="str">
        <f aca="false">IF(名簿!$D35="","",名簿!$B35&amp;"")</f>
        <v/>
      </c>
      <c r="B35" s="91" t="str">
        <f aca="false">IF(名簿!$D35="","",名簿!$C35)</f>
        <v/>
      </c>
      <c r="C35" s="59" t="str">
        <f aca="false">IF(名簿!$D35="","",名簿!$D35&amp;IF(名簿!$F35="転出","（転出）",""))</f>
        <v/>
      </c>
      <c r="D35" s="149"/>
      <c r="E35" s="61" t="str">
        <f aca="false">IF(OR($C35="",名簿!$F35="転出"),"",IF($C$2="学級ごと",$A35,IF($C$2="前の単元と同じ",単元12!$E35&amp;"",$D35&amp;"")))</f>
        <v/>
      </c>
      <c r="F35" s="150"/>
      <c r="G35" s="150"/>
      <c r="H35" s="150"/>
      <c r="I35" s="151"/>
      <c r="J35" s="41" t="str">
        <f aca="false">IF($E35="","",$E35&amp;"|"&amp;COUNTIF($E$5:$E35,$E35))</f>
        <v/>
      </c>
      <c r="K35" s="40" t="str">
        <f aca="false">IF($I35="","",LEN($I35))</f>
        <v/>
      </c>
      <c r="L35" s="13"/>
      <c r="M35" s="13"/>
      <c r="N35" s="13"/>
      <c r="O35" s="13"/>
      <c r="P35" s="152"/>
      <c r="Q35" s="149"/>
      <c r="R35" s="152"/>
      <c r="S35" s="152"/>
      <c r="T35" s="62" t="str">
        <f aca="false">IF(OR($C35="",R35=""),"",IF(R35/IF($R$2="",100,$R$2)&gt;=設定!$I$28,設定!$G$8,IF(R35/IF($R$2="",100,$R$2)&lt;設定!$I$29,設定!$G$10,設定!$G$9)))</f>
        <v/>
      </c>
      <c r="U35" s="62" t="str">
        <f aca="false">IF(OR($C35="",S35=""),"",IF(S35/IF($S$2="",100,$S$2)&gt;=設定!$I$28,設定!$G$8,IF(S35/IF($S$2="",100,$S$2)&lt;設定!$I$29,設定!$G$10,設定!$G$9)))</f>
        <v/>
      </c>
    </row>
    <row r="36" customFormat="false" ht="21" hidden="false" customHeight="true" outlineLevel="0" collapsed="false">
      <c r="A36" s="91" t="str">
        <f aca="false">IF(名簿!$D36="","",名簿!$B36&amp;"")</f>
        <v/>
      </c>
      <c r="B36" s="91" t="str">
        <f aca="false">IF(名簿!$D36="","",名簿!$C36)</f>
        <v/>
      </c>
      <c r="C36" s="59" t="str">
        <f aca="false">IF(名簿!$D36="","",名簿!$D36&amp;IF(名簿!$F36="転出","（転出）",""))</f>
        <v/>
      </c>
      <c r="D36" s="149"/>
      <c r="E36" s="61" t="str">
        <f aca="false">IF(OR($C36="",名簿!$F36="転出"),"",IF($C$2="学級ごと",$A36,IF($C$2="前の単元と同じ",単元12!$E36&amp;"",$D36&amp;"")))</f>
        <v/>
      </c>
      <c r="F36" s="150"/>
      <c r="G36" s="150"/>
      <c r="H36" s="150"/>
      <c r="I36" s="151"/>
      <c r="J36" s="41" t="str">
        <f aca="false">IF($E36="","",$E36&amp;"|"&amp;COUNTIF($E$5:$E36,$E36))</f>
        <v/>
      </c>
      <c r="K36" s="40" t="str">
        <f aca="false">IF($I36="","",LEN($I36))</f>
        <v/>
      </c>
      <c r="L36" s="13"/>
      <c r="M36" s="13"/>
      <c r="N36" s="13"/>
      <c r="O36" s="13"/>
      <c r="P36" s="152"/>
      <c r="Q36" s="149"/>
      <c r="R36" s="152"/>
      <c r="S36" s="152"/>
      <c r="T36" s="62" t="str">
        <f aca="false">IF(OR($C36="",R36=""),"",IF(R36/IF($R$2="",100,$R$2)&gt;=設定!$I$28,設定!$G$8,IF(R36/IF($R$2="",100,$R$2)&lt;設定!$I$29,設定!$G$10,設定!$G$9)))</f>
        <v/>
      </c>
      <c r="U36" s="62" t="str">
        <f aca="false">IF(OR($C36="",S36=""),"",IF(S36/IF($S$2="",100,$S$2)&gt;=設定!$I$28,設定!$G$8,IF(S36/IF($S$2="",100,$S$2)&lt;設定!$I$29,設定!$G$10,設定!$G$9)))</f>
        <v/>
      </c>
    </row>
    <row r="37" customFormat="false" ht="21" hidden="false" customHeight="true" outlineLevel="0" collapsed="false">
      <c r="A37" s="91" t="str">
        <f aca="false">IF(名簿!$D37="","",名簿!$B37&amp;"")</f>
        <v/>
      </c>
      <c r="B37" s="91" t="str">
        <f aca="false">IF(名簿!$D37="","",名簿!$C37)</f>
        <v/>
      </c>
      <c r="C37" s="59" t="str">
        <f aca="false">IF(名簿!$D37="","",名簿!$D37&amp;IF(名簿!$F37="転出","（転出）",""))</f>
        <v/>
      </c>
      <c r="D37" s="149"/>
      <c r="E37" s="61" t="str">
        <f aca="false">IF(OR($C37="",名簿!$F37="転出"),"",IF($C$2="学級ごと",$A37,IF($C$2="前の単元と同じ",単元12!$E37&amp;"",$D37&amp;"")))</f>
        <v/>
      </c>
      <c r="F37" s="150"/>
      <c r="G37" s="150"/>
      <c r="H37" s="150"/>
      <c r="I37" s="151"/>
      <c r="J37" s="41" t="str">
        <f aca="false">IF($E37="","",$E37&amp;"|"&amp;COUNTIF($E$5:$E37,$E37))</f>
        <v/>
      </c>
      <c r="K37" s="40" t="str">
        <f aca="false">IF($I37="","",LEN($I37))</f>
        <v/>
      </c>
      <c r="L37" s="13"/>
      <c r="M37" s="13"/>
      <c r="N37" s="13"/>
      <c r="O37" s="13"/>
      <c r="P37" s="152"/>
      <c r="Q37" s="149"/>
      <c r="R37" s="152"/>
      <c r="S37" s="152"/>
      <c r="T37" s="62" t="str">
        <f aca="false">IF(OR($C37="",R37=""),"",IF(R37/IF($R$2="",100,$R$2)&gt;=設定!$I$28,設定!$G$8,IF(R37/IF($R$2="",100,$R$2)&lt;設定!$I$29,設定!$G$10,設定!$G$9)))</f>
        <v/>
      </c>
      <c r="U37" s="62" t="str">
        <f aca="false">IF(OR($C37="",S37=""),"",IF(S37/IF($S$2="",100,$S$2)&gt;=設定!$I$28,設定!$G$8,IF(S37/IF($S$2="",100,$S$2)&lt;設定!$I$29,設定!$G$10,設定!$G$9)))</f>
        <v/>
      </c>
    </row>
    <row r="38" customFormat="false" ht="21" hidden="false" customHeight="true" outlineLevel="0" collapsed="false">
      <c r="A38" s="91" t="str">
        <f aca="false">IF(名簿!$D38="","",名簿!$B38&amp;"")</f>
        <v/>
      </c>
      <c r="B38" s="91" t="str">
        <f aca="false">IF(名簿!$D38="","",名簿!$C38)</f>
        <v/>
      </c>
      <c r="C38" s="59" t="str">
        <f aca="false">IF(名簿!$D38="","",名簿!$D38&amp;IF(名簿!$F38="転出","（転出）",""))</f>
        <v/>
      </c>
      <c r="D38" s="149"/>
      <c r="E38" s="61" t="str">
        <f aca="false">IF(OR($C38="",名簿!$F38="転出"),"",IF($C$2="学級ごと",$A38,IF($C$2="前の単元と同じ",単元12!$E38&amp;"",$D38&amp;"")))</f>
        <v/>
      </c>
      <c r="F38" s="150"/>
      <c r="G38" s="150"/>
      <c r="H38" s="150"/>
      <c r="I38" s="151"/>
      <c r="J38" s="41" t="str">
        <f aca="false">IF($E38="","",$E38&amp;"|"&amp;COUNTIF($E$5:$E38,$E38))</f>
        <v/>
      </c>
      <c r="K38" s="40" t="str">
        <f aca="false">IF($I38="","",LEN($I38))</f>
        <v/>
      </c>
      <c r="L38" s="13"/>
      <c r="M38" s="13"/>
      <c r="N38" s="13"/>
      <c r="O38" s="13"/>
      <c r="P38" s="152"/>
      <c r="Q38" s="149"/>
      <c r="R38" s="152"/>
      <c r="S38" s="152"/>
      <c r="T38" s="62" t="str">
        <f aca="false">IF(OR($C38="",R38=""),"",IF(R38/IF($R$2="",100,$R$2)&gt;=設定!$I$28,設定!$G$8,IF(R38/IF($R$2="",100,$R$2)&lt;設定!$I$29,設定!$G$10,設定!$G$9)))</f>
        <v/>
      </c>
      <c r="U38" s="62" t="str">
        <f aca="false">IF(OR($C38="",S38=""),"",IF(S38/IF($S$2="",100,$S$2)&gt;=設定!$I$28,設定!$G$8,IF(S38/IF($S$2="",100,$S$2)&lt;設定!$I$29,設定!$G$10,設定!$G$9)))</f>
        <v/>
      </c>
    </row>
    <row r="39" customFormat="false" ht="21" hidden="false" customHeight="true" outlineLevel="0" collapsed="false">
      <c r="A39" s="91" t="str">
        <f aca="false">IF(名簿!$D39="","",名簿!$B39&amp;"")</f>
        <v/>
      </c>
      <c r="B39" s="91" t="str">
        <f aca="false">IF(名簿!$D39="","",名簿!$C39)</f>
        <v/>
      </c>
      <c r="C39" s="59" t="str">
        <f aca="false">IF(名簿!$D39="","",名簿!$D39&amp;IF(名簿!$F39="転出","（転出）",""))</f>
        <v/>
      </c>
      <c r="D39" s="149"/>
      <c r="E39" s="61" t="str">
        <f aca="false">IF(OR($C39="",名簿!$F39="転出"),"",IF($C$2="学級ごと",$A39,IF($C$2="前の単元と同じ",単元12!$E39&amp;"",$D39&amp;"")))</f>
        <v/>
      </c>
      <c r="F39" s="150"/>
      <c r="G39" s="150"/>
      <c r="H39" s="150"/>
      <c r="I39" s="151"/>
      <c r="J39" s="41" t="str">
        <f aca="false">IF($E39="","",$E39&amp;"|"&amp;COUNTIF($E$5:$E39,$E39))</f>
        <v/>
      </c>
      <c r="K39" s="40" t="str">
        <f aca="false">IF($I39="","",LEN($I39))</f>
        <v/>
      </c>
      <c r="L39" s="13"/>
      <c r="M39" s="13"/>
      <c r="N39" s="13"/>
      <c r="O39" s="13"/>
      <c r="P39" s="152"/>
      <c r="Q39" s="149"/>
      <c r="R39" s="152"/>
      <c r="S39" s="152"/>
      <c r="T39" s="62" t="str">
        <f aca="false">IF(OR($C39="",R39=""),"",IF(R39/IF($R$2="",100,$R$2)&gt;=設定!$I$28,設定!$G$8,IF(R39/IF($R$2="",100,$R$2)&lt;設定!$I$29,設定!$G$10,設定!$G$9)))</f>
        <v/>
      </c>
      <c r="U39" s="62" t="str">
        <f aca="false">IF(OR($C39="",S39=""),"",IF(S39/IF($S$2="",100,$S$2)&gt;=設定!$I$28,設定!$G$8,IF(S39/IF($S$2="",100,$S$2)&lt;設定!$I$29,設定!$G$10,設定!$G$9)))</f>
        <v/>
      </c>
    </row>
    <row r="40" customFormat="false" ht="21" hidden="false" customHeight="true" outlineLevel="0" collapsed="false">
      <c r="A40" s="91" t="str">
        <f aca="false">IF(名簿!$D40="","",名簿!$B40&amp;"")</f>
        <v/>
      </c>
      <c r="B40" s="91" t="str">
        <f aca="false">IF(名簿!$D40="","",名簿!$C40)</f>
        <v/>
      </c>
      <c r="C40" s="59" t="str">
        <f aca="false">IF(名簿!$D40="","",名簿!$D40&amp;IF(名簿!$F40="転出","（転出）",""))</f>
        <v/>
      </c>
      <c r="D40" s="149"/>
      <c r="E40" s="61" t="str">
        <f aca="false">IF(OR($C40="",名簿!$F40="転出"),"",IF($C$2="学級ごと",$A40,IF($C$2="前の単元と同じ",単元12!$E40&amp;"",$D40&amp;"")))</f>
        <v/>
      </c>
      <c r="F40" s="150"/>
      <c r="G40" s="150"/>
      <c r="H40" s="150"/>
      <c r="I40" s="151"/>
      <c r="J40" s="41" t="str">
        <f aca="false">IF($E40="","",$E40&amp;"|"&amp;COUNTIF($E$5:$E40,$E40))</f>
        <v/>
      </c>
      <c r="K40" s="40" t="str">
        <f aca="false">IF($I40="","",LEN($I40))</f>
        <v/>
      </c>
      <c r="L40" s="13"/>
      <c r="M40" s="13"/>
      <c r="N40" s="13"/>
      <c r="O40" s="13"/>
      <c r="P40" s="152"/>
      <c r="Q40" s="149"/>
      <c r="R40" s="152"/>
      <c r="S40" s="152"/>
      <c r="T40" s="62" t="str">
        <f aca="false">IF(OR($C40="",R40=""),"",IF(R40/IF($R$2="",100,$R$2)&gt;=設定!$I$28,設定!$G$8,IF(R40/IF($R$2="",100,$R$2)&lt;設定!$I$29,設定!$G$10,設定!$G$9)))</f>
        <v/>
      </c>
      <c r="U40" s="62" t="str">
        <f aca="false">IF(OR($C40="",S40=""),"",IF(S40/IF($S$2="",100,$S$2)&gt;=設定!$I$28,設定!$G$8,IF(S40/IF($S$2="",100,$S$2)&lt;設定!$I$29,設定!$G$10,設定!$G$9)))</f>
        <v/>
      </c>
    </row>
    <row r="41" customFormat="false" ht="21" hidden="false" customHeight="true" outlineLevel="0" collapsed="false">
      <c r="A41" s="91" t="str">
        <f aca="false">IF(名簿!$D41="","",名簿!$B41&amp;"")</f>
        <v/>
      </c>
      <c r="B41" s="91" t="str">
        <f aca="false">IF(名簿!$D41="","",名簿!$C41)</f>
        <v/>
      </c>
      <c r="C41" s="59" t="str">
        <f aca="false">IF(名簿!$D41="","",名簿!$D41&amp;IF(名簿!$F41="転出","（転出）",""))</f>
        <v/>
      </c>
      <c r="D41" s="149"/>
      <c r="E41" s="61" t="str">
        <f aca="false">IF(OR($C41="",名簿!$F41="転出"),"",IF($C$2="学級ごと",$A41,IF($C$2="前の単元と同じ",単元12!$E41&amp;"",$D41&amp;"")))</f>
        <v/>
      </c>
      <c r="F41" s="150"/>
      <c r="G41" s="150"/>
      <c r="H41" s="150"/>
      <c r="I41" s="151"/>
      <c r="J41" s="41" t="str">
        <f aca="false">IF($E41="","",$E41&amp;"|"&amp;COUNTIF($E$5:$E41,$E41))</f>
        <v/>
      </c>
      <c r="K41" s="40" t="str">
        <f aca="false">IF($I41="","",LEN($I41))</f>
        <v/>
      </c>
      <c r="L41" s="13"/>
      <c r="M41" s="13"/>
      <c r="N41" s="13"/>
      <c r="O41" s="13"/>
      <c r="P41" s="152"/>
      <c r="Q41" s="149"/>
      <c r="R41" s="152"/>
      <c r="S41" s="152"/>
      <c r="T41" s="62" t="str">
        <f aca="false">IF(OR($C41="",R41=""),"",IF(R41/IF($R$2="",100,$R$2)&gt;=設定!$I$28,設定!$G$8,IF(R41/IF($R$2="",100,$R$2)&lt;設定!$I$29,設定!$G$10,設定!$G$9)))</f>
        <v/>
      </c>
      <c r="U41" s="62" t="str">
        <f aca="false">IF(OR($C41="",S41=""),"",IF(S41/IF($S$2="",100,$S$2)&gt;=設定!$I$28,設定!$G$8,IF(S41/IF($S$2="",100,$S$2)&lt;設定!$I$29,設定!$G$10,設定!$G$9)))</f>
        <v/>
      </c>
    </row>
    <row r="42" customFormat="false" ht="21" hidden="false" customHeight="true" outlineLevel="0" collapsed="false">
      <c r="A42" s="91" t="str">
        <f aca="false">IF(名簿!$D42="","",名簿!$B42&amp;"")</f>
        <v/>
      </c>
      <c r="B42" s="91" t="str">
        <f aca="false">IF(名簿!$D42="","",名簿!$C42)</f>
        <v/>
      </c>
      <c r="C42" s="59" t="str">
        <f aca="false">IF(名簿!$D42="","",名簿!$D42&amp;IF(名簿!$F42="転出","（転出）",""))</f>
        <v/>
      </c>
      <c r="D42" s="149"/>
      <c r="E42" s="61" t="str">
        <f aca="false">IF(OR($C42="",名簿!$F42="転出"),"",IF($C$2="学級ごと",$A42,IF($C$2="前の単元と同じ",単元12!$E42&amp;"",$D42&amp;"")))</f>
        <v/>
      </c>
      <c r="F42" s="150"/>
      <c r="G42" s="150"/>
      <c r="H42" s="150"/>
      <c r="I42" s="151"/>
      <c r="J42" s="41" t="str">
        <f aca="false">IF($E42="","",$E42&amp;"|"&amp;COUNTIF($E$5:$E42,$E42))</f>
        <v/>
      </c>
      <c r="K42" s="40" t="str">
        <f aca="false">IF($I42="","",LEN($I42))</f>
        <v/>
      </c>
      <c r="L42" s="13"/>
      <c r="M42" s="13"/>
      <c r="N42" s="13"/>
      <c r="O42" s="13"/>
      <c r="P42" s="152"/>
      <c r="Q42" s="149"/>
      <c r="R42" s="152"/>
      <c r="S42" s="152"/>
      <c r="T42" s="62" t="str">
        <f aca="false">IF(OR($C42="",R42=""),"",IF(R42/IF($R$2="",100,$R$2)&gt;=設定!$I$28,設定!$G$8,IF(R42/IF($R$2="",100,$R$2)&lt;設定!$I$29,設定!$G$10,設定!$G$9)))</f>
        <v/>
      </c>
      <c r="U42" s="62" t="str">
        <f aca="false">IF(OR($C42="",S42=""),"",IF(S42/IF($S$2="",100,$S$2)&gt;=設定!$I$28,設定!$G$8,IF(S42/IF($S$2="",100,$S$2)&lt;設定!$I$29,設定!$G$10,設定!$G$9)))</f>
        <v/>
      </c>
    </row>
    <row r="43" customFormat="false" ht="21" hidden="false" customHeight="true" outlineLevel="0" collapsed="false">
      <c r="A43" s="91" t="str">
        <f aca="false">IF(名簿!$D43="","",名簿!$B43&amp;"")</f>
        <v/>
      </c>
      <c r="B43" s="91" t="str">
        <f aca="false">IF(名簿!$D43="","",名簿!$C43)</f>
        <v/>
      </c>
      <c r="C43" s="59" t="str">
        <f aca="false">IF(名簿!$D43="","",名簿!$D43&amp;IF(名簿!$F43="転出","（転出）",""))</f>
        <v/>
      </c>
      <c r="D43" s="149"/>
      <c r="E43" s="61" t="str">
        <f aca="false">IF(OR($C43="",名簿!$F43="転出"),"",IF($C$2="学級ごと",$A43,IF($C$2="前の単元と同じ",単元12!$E43&amp;"",$D43&amp;"")))</f>
        <v/>
      </c>
      <c r="F43" s="150"/>
      <c r="G43" s="150"/>
      <c r="H43" s="150"/>
      <c r="I43" s="151"/>
      <c r="J43" s="41" t="str">
        <f aca="false">IF($E43="","",$E43&amp;"|"&amp;COUNTIF($E$5:$E43,$E43))</f>
        <v/>
      </c>
      <c r="K43" s="40" t="str">
        <f aca="false">IF($I43="","",LEN($I43))</f>
        <v/>
      </c>
      <c r="L43" s="13"/>
      <c r="M43" s="13"/>
      <c r="N43" s="13"/>
      <c r="O43" s="13"/>
      <c r="P43" s="152"/>
      <c r="Q43" s="149"/>
      <c r="R43" s="152"/>
      <c r="S43" s="152"/>
      <c r="T43" s="62" t="str">
        <f aca="false">IF(OR($C43="",R43=""),"",IF(R43/IF($R$2="",100,$R$2)&gt;=設定!$I$28,設定!$G$8,IF(R43/IF($R$2="",100,$R$2)&lt;設定!$I$29,設定!$G$10,設定!$G$9)))</f>
        <v/>
      </c>
      <c r="U43" s="62" t="str">
        <f aca="false">IF(OR($C43="",S43=""),"",IF(S43/IF($S$2="",100,$S$2)&gt;=設定!$I$28,設定!$G$8,IF(S43/IF($S$2="",100,$S$2)&lt;設定!$I$29,設定!$G$10,設定!$G$9)))</f>
        <v/>
      </c>
    </row>
    <row r="44" customFormat="false" ht="21" hidden="false" customHeight="true" outlineLevel="0" collapsed="false">
      <c r="A44" s="91" t="str">
        <f aca="false">IF(名簿!$D44="","",名簿!$B44&amp;"")</f>
        <v/>
      </c>
      <c r="B44" s="91" t="str">
        <f aca="false">IF(名簿!$D44="","",名簿!$C44)</f>
        <v/>
      </c>
      <c r="C44" s="59" t="str">
        <f aca="false">IF(名簿!$D44="","",名簿!$D44&amp;IF(名簿!$F44="転出","（転出）",""))</f>
        <v/>
      </c>
      <c r="D44" s="149"/>
      <c r="E44" s="61" t="str">
        <f aca="false">IF(OR($C44="",名簿!$F44="転出"),"",IF($C$2="学級ごと",$A44,IF($C$2="前の単元と同じ",単元12!$E44&amp;"",$D44&amp;"")))</f>
        <v/>
      </c>
      <c r="F44" s="150"/>
      <c r="G44" s="150"/>
      <c r="H44" s="150"/>
      <c r="I44" s="151"/>
      <c r="J44" s="41" t="str">
        <f aca="false">IF($E44="","",$E44&amp;"|"&amp;COUNTIF($E$5:$E44,$E44))</f>
        <v/>
      </c>
      <c r="K44" s="40" t="str">
        <f aca="false">IF($I44="","",LEN($I44))</f>
        <v/>
      </c>
      <c r="L44" s="13"/>
      <c r="M44" s="13"/>
      <c r="N44" s="13"/>
      <c r="O44" s="13"/>
      <c r="P44" s="152"/>
      <c r="Q44" s="149"/>
      <c r="R44" s="152"/>
      <c r="S44" s="152"/>
      <c r="T44" s="62" t="str">
        <f aca="false">IF(OR($C44="",R44=""),"",IF(R44/IF($R$2="",100,$R$2)&gt;=設定!$I$28,設定!$G$8,IF(R44/IF($R$2="",100,$R$2)&lt;設定!$I$29,設定!$G$10,設定!$G$9)))</f>
        <v/>
      </c>
      <c r="U44" s="62" t="str">
        <f aca="false">IF(OR($C44="",S44=""),"",IF(S44/IF($S$2="",100,$S$2)&gt;=設定!$I$28,設定!$G$8,IF(S44/IF($S$2="",100,$S$2)&lt;設定!$I$29,設定!$G$10,設定!$G$9)))</f>
        <v/>
      </c>
    </row>
    <row r="45" customFormat="false" ht="21" hidden="false" customHeight="true" outlineLevel="0" collapsed="false">
      <c r="A45" s="91" t="str">
        <f aca="false">IF(名簿!$D45="","",名簿!$B45&amp;"")</f>
        <v/>
      </c>
      <c r="B45" s="91" t="str">
        <f aca="false">IF(名簿!$D45="","",名簿!$C45)</f>
        <v/>
      </c>
      <c r="C45" s="59" t="str">
        <f aca="false">IF(名簿!$D45="","",名簿!$D45&amp;IF(名簿!$F45="転出","（転出）",""))</f>
        <v/>
      </c>
      <c r="D45" s="149"/>
      <c r="E45" s="61" t="str">
        <f aca="false">IF(OR($C45="",名簿!$F45="転出"),"",IF($C$2="学級ごと",$A45,IF($C$2="前の単元と同じ",単元12!$E45&amp;"",$D45&amp;"")))</f>
        <v/>
      </c>
      <c r="F45" s="150"/>
      <c r="G45" s="150"/>
      <c r="H45" s="150"/>
      <c r="I45" s="151"/>
      <c r="J45" s="41" t="str">
        <f aca="false">IF($E45="","",$E45&amp;"|"&amp;COUNTIF($E$5:$E45,$E45))</f>
        <v/>
      </c>
      <c r="K45" s="40" t="str">
        <f aca="false">IF($I45="","",LEN($I45))</f>
        <v/>
      </c>
      <c r="L45" s="13"/>
      <c r="M45" s="13"/>
      <c r="N45" s="13"/>
      <c r="O45" s="13"/>
      <c r="P45" s="152"/>
      <c r="Q45" s="149"/>
      <c r="R45" s="152"/>
      <c r="S45" s="152"/>
      <c r="T45" s="62" t="str">
        <f aca="false">IF(OR($C45="",R45=""),"",IF(R45/IF($R$2="",100,$R$2)&gt;=設定!$I$28,設定!$G$8,IF(R45/IF($R$2="",100,$R$2)&lt;設定!$I$29,設定!$G$10,設定!$G$9)))</f>
        <v/>
      </c>
      <c r="U45" s="62" t="str">
        <f aca="false">IF(OR($C45="",S45=""),"",IF(S45/IF($S$2="",100,$S$2)&gt;=設定!$I$28,設定!$G$8,IF(S45/IF($S$2="",100,$S$2)&lt;設定!$I$29,設定!$G$10,設定!$G$9)))</f>
        <v/>
      </c>
    </row>
    <row r="46" customFormat="false" ht="21" hidden="false" customHeight="true" outlineLevel="0" collapsed="false">
      <c r="A46" s="91" t="str">
        <f aca="false">IF(名簿!$D46="","",名簿!$B46&amp;"")</f>
        <v/>
      </c>
      <c r="B46" s="91" t="str">
        <f aca="false">IF(名簿!$D46="","",名簿!$C46)</f>
        <v/>
      </c>
      <c r="C46" s="59" t="str">
        <f aca="false">IF(名簿!$D46="","",名簿!$D46&amp;IF(名簿!$F46="転出","（転出）",""))</f>
        <v/>
      </c>
      <c r="D46" s="149"/>
      <c r="E46" s="61" t="str">
        <f aca="false">IF(OR($C46="",名簿!$F46="転出"),"",IF($C$2="学級ごと",$A46,IF($C$2="前の単元と同じ",単元12!$E46&amp;"",$D46&amp;"")))</f>
        <v/>
      </c>
      <c r="F46" s="150"/>
      <c r="G46" s="150"/>
      <c r="H46" s="150"/>
      <c r="I46" s="151"/>
      <c r="J46" s="41" t="str">
        <f aca="false">IF($E46="","",$E46&amp;"|"&amp;COUNTIF($E$5:$E46,$E46))</f>
        <v/>
      </c>
      <c r="K46" s="40" t="str">
        <f aca="false">IF($I46="","",LEN($I46))</f>
        <v/>
      </c>
      <c r="L46" s="13"/>
      <c r="M46" s="13"/>
      <c r="N46" s="13"/>
      <c r="O46" s="13"/>
      <c r="P46" s="152"/>
      <c r="Q46" s="149"/>
      <c r="R46" s="152"/>
      <c r="S46" s="152"/>
      <c r="T46" s="62" t="str">
        <f aca="false">IF(OR($C46="",R46=""),"",IF(R46/IF($R$2="",100,$R$2)&gt;=設定!$I$28,設定!$G$8,IF(R46/IF($R$2="",100,$R$2)&lt;設定!$I$29,設定!$G$10,設定!$G$9)))</f>
        <v/>
      </c>
      <c r="U46" s="62" t="str">
        <f aca="false">IF(OR($C46="",S46=""),"",IF(S46/IF($S$2="",100,$S$2)&gt;=設定!$I$28,設定!$G$8,IF(S46/IF($S$2="",100,$S$2)&lt;設定!$I$29,設定!$G$10,設定!$G$9)))</f>
        <v/>
      </c>
    </row>
    <row r="47" customFormat="false" ht="21" hidden="false" customHeight="true" outlineLevel="0" collapsed="false">
      <c r="A47" s="91" t="str">
        <f aca="false">IF(名簿!$D47="","",名簿!$B47&amp;"")</f>
        <v/>
      </c>
      <c r="B47" s="91" t="str">
        <f aca="false">IF(名簿!$D47="","",名簿!$C47)</f>
        <v/>
      </c>
      <c r="C47" s="59" t="str">
        <f aca="false">IF(名簿!$D47="","",名簿!$D47&amp;IF(名簿!$F47="転出","（転出）",""))</f>
        <v/>
      </c>
      <c r="D47" s="149"/>
      <c r="E47" s="61" t="str">
        <f aca="false">IF(OR($C47="",名簿!$F47="転出"),"",IF($C$2="学級ごと",$A47,IF($C$2="前の単元と同じ",単元12!$E47&amp;"",$D47&amp;"")))</f>
        <v/>
      </c>
      <c r="F47" s="150"/>
      <c r="G47" s="150"/>
      <c r="H47" s="150"/>
      <c r="I47" s="151"/>
      <c r="J47" s="41" t="str">
        <f aca="false">IF($E47="","",$E47&amp;"|"&amp;COUNTIF($E$5:$E47,$E47))</f>
        <v/>
      </c>
      <c r="K47" s="40" t="str">
        <f aca="false">IF($I47="","",LEN($I47))</f>
        <v/>
      </c>
      <c r="L47" s="13"/>
      <c r="M47" s="13"/>
      <c r="N47" s="13"/>
      <c r="O47" s="13"/>
      <c r="P47" s="152"/>
      <c r="Q47" s="149"/>
      <c r="R47" s="152"/>
      <c r="S47" s="152"/>
      <c r="T47" s="62" t="str">
        <f aca="false">IF(OR($C47="",R47=""),"",IF(R47/IF($R$2="",100,$R$2)&gt;=設定!$I$28,設定!$G$8,IF(R47/IF($R$2="",100,$R$2)&lt;設定!$I$29,設定!$G$10,設定!$G$9)))</f>
        <v/>
      </c>
      <c r="U47" s="62" t="str">
        <f aca="false">IF(OR($C47="",S47=""),"",IF(S47/IF($S$2="",100,$S$2)&gt;=設定!$I$28,設定!$G$8,IF(S47/IF($S$2="",100,$S$2)&lt;設定!$I$29,設定!$G$10,設定!$G$9)))</f>
        <v/>
      </c>
    </row>
    <row r="48" customFormat="false" ht="21" hidden="false" customHeight="true" outlineLevel="0" collapsed="false">
      <c r="A48" s="91" t="str">
        <f aca="false">IF(名簿!$D48="","",名簿!$B48&amp;"")</f>
        <v/>
      </c>
      <c r="B48" s="91" t="str">
        <f aca="false">IF(名簿!$D48="","",名簿!$C48)</f>
        <v/>
      </c>
      <c r="C48" s="59" t="str">
        <f aca="false">IF(名簿!$D48="","",名簿!$D48&amp;IF(名簿!$F48="転出","（転出）",""))</f>
        <v/>
      </c>
      <c r="D48" s="149"/>
      <c r="E48" s="61" t="str">
        <f aca="false">IF(OR($C48="",名簿!$F48="転出"),"",IF($C$2="学級ごと",$A48,IF($C$2="前の単元と同じ",単元12!$E48&amp;"",$D48&amp;"")))</f>
        <v/>
      </c>
      <c r="F48" s="150"/>
      <c r="G48" s="150"/>
      <c r="H48" s="150"/>
      <c r="I48" s="151"/>
      <c r="J48" s="41" t="str">
        <f aca="false">IF($E48="","",$E48&amp;"|"&amp;COUNTIF($E$5:$E48,$E48))</f>
        <v/>
      </c>
      <c r="K48" s="40" t="str">
        <f aca="false">IF($I48="","",LEN($I48))</f>
        <v/>
      </c>
      <c r="L48" s="13"/>
      <c r="M48" s="13"/>
      <c r="N48" s="13"/>
      <c r="O48" s="13"/>
      <c r="P48" s="152"/>
      <c r="Q48" s="149"/>
      <c r="R48" s="152"/>
      <c r="S48" s="152"/>
      <c r="T48" s="62" t="str">
        <f aca="false">IF(OR($C48="",R48=""),"",IF(R48/IF($R$2="",100,$R$2)&gt;=設定!$I$28,設定!$G$8,IF(R48/IF($R$2="",100,$R$2)&lt;設定!$I$29,設定!$G$10,設定!$G$9)))</f>
        <v/>
      </c>
      <c r="U48" s="62" t="str">
        <f aca="false">IF(OR($C48="",S48=""),"",IF(S48/IF($S$2="",100,$S$2)&gt;=設定!$I$28,設定!$G$8,IF(S48/IF($S$2="",100,$S$2)&lt;設定!$I$29,設定!$G$10,設定!$G$9)))</f>
        <v/>
      </c>
    </row>
    <row r="49" customFormat="false" ht="21" hidden="false" customHeight="true" outlineLevel="0" collapsed="false">
      <c r="A49" s="91" t="str">
        <f aca="false">IF(名簿!$D49="","",名簿!$B49&amp;"")</f>
        <v/>
      </c>
      <c r="B49" s="91" t="str">
        <f aca="false">IF(名簿!$D49="","",名簿!$C49)</f>
        <v/>
      </c>
      <c r="C49" s="59" t="str">
        <f aca="false">IF(名簿!$D49="","",名簿!$D49&amp;IF(名簿!$F49="転出","（転出）",""))</f>
        <v/>
      </c>
      <c r="D49" s="149"/>
      <c r="E49" s="61" t="str">
        <f aca="false">IF(OR($C49="",名簿!$F49="転出"),"",IF($C$2="学級ごと",$A49,IF($C$2="前の単元と同じ",単元12!$E49&amp;"",$D49&amp;"")))</f>
        <v/>
      </c>
      <c r="F49" s="150"/>
      <c r="G49" s="150"/>
      <c r="H49" s="150"/>
      <c r="I49" s="151"/>
      <c r="J49" s="41" t="str">
        <f aca="false">IF($E49="","",$E49&amp;"|"&amp;COUNTIF($E$5:$E49,$E49))</f>
        <v/>
      </c>
      <c r="K49" s="40" t="str">
        <f aca="false">IF($I49="","",LEN($I49))</f>
        <v/>
      </c>
      <c r="L49" s="13"/>
      <c r="M49" s="13"/>
      <c r="N49" s="13"/>
      <c r="O49" s="13"/>
      <c r="P49" s="152"/>
      <c r="Q49" s="149"/>
      <c r="R49" s="152"/>
      <c r="S49" s="152"/>
      <c r="T49" s="62" t="str">
        <f aca="false">IF(OR($C49="",R49=""),"",IF(R49/IF($R$2="",100,$R$2)&gt;=設定!$I$28,設定!$G$8,IF(R49/IF($R$2="",100,$R$2)&lt;設定!$I$29,設定!$G$10,設定!$G$9)))</f>
        <v/>
      </c>
      <c r="U49" s="62" t="str">
        <f aca="false">IF(OR($C49="",S49=""),"",IF(S49/IF($S$2="",100,$S$2)&gt;=設定!$I$28,設定!$G$8,IF(S49/IF($S$2="",100,$S$2)&lt;設定!$I$29,設定!$G$10,設定!$G$9)))</f>
        <v/>
      </c>
    </row>
    <row r="50" customFormat="false" ht="21" hidden="false" customHeight="true" outlineLevel="0" collapsed="false">
      <c r="A50" s="91" t="str">
        <f aca="false">IF(名簿!$D50="","",名簿!$B50&amp;"")</f>
        <v/>
      </c>
      <c r="B50" s="91" t="str">
        <f aca="false">IF(名簿!$D50="","",名簿!$C50)</f>
        <v/>
      </c>
      <c r="C50" s="59" t="str">
        <f aca="false">IF(名簿!$D50="","",名簿!$D50&amp;IF(名簿!$F50="転出","（転出）",""))</f>
        <v/>
      </c>
      <c r="D50" s="149"/>
      <c r="E50" s="61" t="str">
        <f aca="false">IF(OR($C50="",名簿!$F50="転出"),"",IF($C$2="学級ごと",$A50,IF($C$2="前の単元と同じ",単元12!$E50&amp;"",$D50&amp;"")))</f>
        <v/>
      </c>
      <c r="F50" s="150"/>
      <c r="G50" s="150"/>
      <c r="H50" s="150"/>
      <c r="I50" s="151"/>
      <c r="J50" s="41" t="str">
        <f aca="false">IF($E50="","",$E50&amp;"|"&amp;COUNTIF($E$5:$E50,$E50))</f>
        <v/>
      </c>
      <c r="K50" s="40" t="str">
        <f aca="false">IF($I50="","",LEN($I50))</f>
        <v/>
      </c>
      <c r="L50" s="13"/>
      <c r="M50" s="13"/>
      <c r="N50" s="13"/>
      <c r="O50" s="13"/>
      <c r="P50" s="152"/>
      <c r="Q50" s="149"/>
      <c r="R50" s="152"/>
      <c r="S50" s="152"/>
      <c r="T50" s="62" t="str">
        <f aca="false">IF(OR($C50="",R50=""),"",IF(R50/IF($R$2="",100,$R$2)&gt;=設定!$I$28,設定!$G$8,IF(R50/IF($R$2="",100,$R$2)&lt;設定!$I$29,設定!$G$10,設定!$G$9)))</f>
        <v/>
      </c>
      <c r="U50" s="62" t="str">
        <f aca="false">IF(OR($C50="",S50=""),"",IF(S50/IF($S$2="",100,$S$2)&gt;=設定!$I$28,設定!$G$8,IF(S50/IF($S$2="",100,$S$2)&lt;設定!$I$29,設定!$G$10,設定!$G$9)))</f>
        <v/>
      </c>
    </row>
    <row r="51" customFormat="false" ht="21" hidden="false" customHeight="true" outlineLevel="0" collapsed="false">
      <c r="A51" s="91" t="str">
        <f aca="false">IF(名簿!$D51="","",名簿!$B51&amp;"")</f>
        <v/>
      </c>
      <c r="B51" s="91" t="str">
        <f aca="false">IF(名簿!$D51="","",名簿!$C51)</f>
        <v/>
      </c>
      <c r="C51" s="59" t="str">
        <f aca="false">IF(名簿!$D51="","",名簿!$D51&amp;IF(名簿!$F51="転出","（転出）",""))</f>
        <v/>
      </c>
      <c r="D51" s="149"/>
      <c r="E51" s="61" t="str">
        <f aca="false">IF(OR($C51="",名簿!$F51="転出"),"",IF($C$2="学級ごと",$A51,IF($C$2="前の単元と同じ",単元12!$E51&amp;"",$D51&amp;"")))</f>
        <v/>
      </c>
      <c r="F51" s="150"/>
      <c r="G51" s="150"/>
      <c r="H51" s="150"/>
      <c r="I51" s="151"/>
      <c r="J51" s="41" t="str">
        <f aca="false">IF($E51="","",$E51&amp;"|"&amp;COUNTIF($E$5:$E51,$E51))</f>
        <v/>
      </c>
      <c r="K51" s="40" t="str">
        <f aca="false">IF($I51="","",LEN($I51))</f>
        <v/>
      </c>
      <c r="L51" s="13"/>
      <c r="M51" s="13"/>
      <c r="N51" s="13"/>
      <c r="O51" s="13"/>
      <c r="P51" s="152"/>
      <c r="Q51" s="149"/>
      <c r="R51" s="152"/>
      <c r="S51" s="152"/>
      <c r="T51" s="62" t="str">
        <f aca="false">IF(OR($C51="",R51=""),"",IF(R51/IF($R$2="",100,$R$2)&gt;=設定!$I$28,設定!$G$8,IF(R51/IF($R$2="",100,$R$2)&lt;設定!$I$29,設定!$G$10,設定!$G$9)))</f>
        <v/>
      </c>
      <c r="U51" s="62" t="str">
        <f aca="false">IF(OR($C51="",S51=""),"",IF(S51/IF($S$2="",100,$S$2)&gt;=設定!$I$28,設定!$G$8,IF(S51/IF($S$2="",100,$S$2)&lt;設定!$I$29,設定!$G$10,設定!$G$9)))</f>
        <v/>
      </c>
    </row>
    <row r="52" customFormat="false" ht="21" hidden="false" customHeight="true" outlineLevel="0" collapsed="false">
      <c r="A52" s="91" t="str">
        <f aca="false">IF(名簿!$D52="","",名簿!$B52&amp;"")</f>
        <v/>
      </c>
      <c r="B52" s="91" t="str">
        <f aca="false">IF(名簿!$D52="","",名簿!$C52)</f>
        <v/>
      </c>
      <c r="C52" s="59" t="str">
        <f aca="false">IF(名簿!$D52="","",名簿!$D52&amp;IF(名簿!$F52="転出","（転出）",""))</f>
        <v/>
      </c>
      <c r="D52" s="149"/>
      <c r="E52" s="61" t="str">
        <f aca="false">IF(OR($C52="",名簿!$F52="転出"),"",IF($C$2="学級ごと",$A52,IF($C$2="前の単元と同じ",単元12!$E52&amp;"",$D52&amp;"")))</f>
        <v/>
      </c>
      <c r="F52" s="150"/>
      <c r="G52" s="150"/>
      <c r="H52" s="150"/>
      <c r="I52" s="151"/>
      <c r="J52" s="41" t="str">
        <f aca="false">IF($E52="","",$E52&amp;"|"&amp;COUNTIF($E$5:$E52,$E52))</f>
        <v/>
      </c>
      <c r="K52" s="40" t="str">
        <f aca="false">IF($I52="","",LEN($I52))</f>
        <v/>
      </c>
      <c r="L52" s="13"/>
      <c r="M52" s="13"/>
      <c r="N52" s="13"/>
      <c r="O52" s="13"/>
      <c r="P52" s="152"/>
      <c r="Q52" s="149"/>
      <c r="R52" s="152"/>
      <c r="S52" s="152"/>
      <c r="T52" s="62" t="str">
        <f aca="false">IF(OR($C52="",R52=""),"",IF(R52/IF($R$2="",100,$R$2)&gt;=設定!$I$28,設定!$G$8,IF(R52/IF($R$2="",100,$R$2)&lt;設定!$I$29,設定!$G$10,設定!$G$9)))</f>
        <v/>
      </c>
      <c r="U52" s="62" t="str">
        <f aca="false">IF(OR($C52="",S52=""),"",IF(S52/IF($S$2="",100,$S$2)&gt;=設定!$I$28,設定!$G$8,IF(S52/IF($S$2="",100,$S$2)&lt;設定!$I$29,設定!$G$10,設定!$G$9)))</f>
        <v/>
      </c>
    </row>
    <row r="53" customFormat="false" ht="21" hidden="false" customHeight="true" outlineLevel="0" collapsed="false">
      <c r="A53" s="91" t="str">
        <f aca="false">IF(名簿!$D53="","",名簿!$B53&amp;"")</f>
        <v/>
      </c>
      <c r="B53" s="91" t="str">
        <f aca="false">IF(名簿!$D53="","",名簿!$C53)</f>
        <v/>
      </c>
      <c r="C53" s="59" t="str">
        <f aca="false">IF(名簿!$D53="","",名簿!$D53&amp;IF(名簿!$F53="転出","（転出）",""))</f>
        <v/>
      </c>
      <c r="D53" s="149"/>
      <c r="E53" s="61" t="str">
        <f aca="false">IF(OR($C53="",名簿!$F53="転出"),"",IF($C$2="学級ごと",$A53,IF($C$2="前の単元と同じ",単元12!$E53&amp;"",$D53&amp;"")))</f>
        <v/>
      </c>
      <c r="F53" s="150"/>
      <c r="G53" s="150"/>
      <c r="H53" s="150"/>
      <c r="I53" s="151"/>
      <c r="J53" s="41" t="str">
        <f aca="false">IF($E53="","",$E53&amp;"|"&amp;COUNTIF($E$5:$E53,$E53))</f>
        <v/>
      </c>
      <c r="K53" s="40" t="str">
        <f aca="false">IF($I53="","",LEN($I53))</f>
        <v/>
      </c>
      <c r="L53" s="13"/>
      <c r="M53" s="13"/>
      <c r="N53" s="13"/>
      <c r="O53" s="13"/>
      <c r="P53" s="152"/>
      <c r="Q53" s="149"/>
      <c r="R53" s="152"/>
      <c r="S53" s="152"/>
      <c r="T53" s="62" t="str">
        <f aca="false">IF(OR($C53="",R53=""),"",IF(R53/IF($R$2="",100,$R$2)&gt;=設定!$I$28,設定!$G$8,IF(R53/IF($R$2="",100,$R$2)&lt;設定!$I$29,設定!$G$10,設定!$G$9)))</f>
        <v/>
      </c>
      <c r="U53" s="62" t="str">
        <f aca="false">IF(OR($C53="",S53=""),"",IF(S53/IF($S$2="",100,$S$2)&gt;=設定!$I$28,設定!$G$8,IF(S53/IF($S$2="",100,$S$2)&lt;設定!$I$29,設定!$G$10,設定!$G$9)))</f>
        <v/>
      </c>
    </row>
    <row r="54" customFormat="false" ht="21" hidden="false" customHeight="true" outlineLevel="0" collapsed="false">
      <c r="A54" s="91" t="str">
        <f aca="false">IF(名簿!$D54="","",名簿!$B54&amp;"")</f>
        <v/>
      </c>
      <c r="B54" s="91" t="str">
        <f aca="false">IF(名簿!$D54="","",名簿!$C54)</f>
        <v/>
      </c>
      <c r="C54" s="59" t="str">
        <f aca="false">IF(名簿!$D54="","",名簿!$D54&amp;IF(名簿!$F54="転出","（転出）",""))</f>
        <v/>
      </c>
      <c r="D54" s="149"/>
      <c r="E54" s="61" t="str">
        <f aca="false">IF(OR($C54="",名簿!$F54="転出"),"",IF($C$2="学級ごと",$A54,IF($C$2="前の単元と同じ",単元12!$E54&amp;"",$D54&amp;"")))</f>
        <v/>
      </c>
      <c r="F54" s="150"/>
      <c r="G54" s="150"/>
      <c r="H54" s="150"/>
      <c r="I54" s="151"/>
      <c r="J54" s="41" t="str">
        <f aca="false">IF($E54="","",$E54&amp;"|"&amp;COUNTIF($E$5:$E54,$E54))</f>
        <v/>
      </c>
      <c r="K54" s="40" t="str">
        <f aca="false">IF($I54="","",LEN($I54))</f>
        <v/>
      </c>
      <c r="L54" s="13"/>
      <c r="M54" s="13"/>
      <c r="N54" s="13"/>
      <c r="O54" s="13"/>
      <c r="P54" s="152"/>
      <c r="Q54" s="149"/>
      <c r="R54" s="152"/>
      <c r="S54" s="152"/>
      <c r="T54" s="62" t="str">
        <f aca="false">IF(OR($C54="",R54=""),"",IF(R54/IF($R$2="",100,$R$2)&gt;=設定!$I$28,設定!$G$8,IF(R54/IF($R$2="",100,$R$2)&lt;設定!$I$29,設定!$G$10,設定!$G$9)))</f>
        <v/>
      </c>
      <c r="U54" s="62" t="str">
        <f aca="false">IF(OR($C54="",S54=""),"",IF(S54/IF($S$2="",100,$S$2)&gt;=設定!$I$28,設定!$G$8,IF(S54/IF($S$2="",100,$S$2)&lt;設定!$I$29,設定!$G$10,設定!$G$9)))</f>
        <v/>
      </c>
    </row>
    <row r="55" customFormat="false" ht="21" hidden="false" customHeight="true" outlineLevel="0" collapsed="false">
      <c r="A55" s="91" t="str">
        <f aca="false">IF(名簿!$D55="","",名簿!$B55&amp;"")</f>
        <v/>
      </c>
      <c r="B55" s="91" t="str">
        <f aca="false">IF(名簿!$D55="","",名簿!$C55)</f>
        <v/>
      </c>
      <c r="C55" s="59" t="str">
        <f aca="false">IF(名簿!$D55="","",名簿!$D55&amp;IF(名簿!$F55="転出","（転出）",""))</f>
        <v/>
      </c>
      <c r="D55" s="149"/>
      <c r="E55" s="61" t="str">
        <f aca="false">IF(OR($C55="",名簿!$F55="転出"),"",IF($C$2="学級ごと",$A55,IF($C$2="前の単元と同じ",単元12!$E55&amp;"",$D55&amp;"")))</f>
        <v/>
      </c>
      <c r="F55" s="150"/>
      <c r="G55" s="150"/>
      <c r="H55" s="150"/>
      <c r="I55" s="151"/>
      <c r="J55" s="41" t="str">
        <f aca="false">IF($E55="","",$E55&amp;"|"&amp;COUNTIF($E$5:$E55,$E55))</f>
        <v/>
      </c>
      <c r="K55" s="40" t="str">
        <f aca="false">IF($I55="","",LEN($I55))</f>
        <v/>
      </c>
      <c r="L55" s="13"/>
      <c r="M55" s="13"/>
      <c r="N55" s="13"/>
      <c r="O55" s="13"/>
      <c r="P55" s="152"/>
      <c r="Q55" s="149"/>
      <c r="R55" s="152"/>
      <c r="S55" s="152"/>
      <c r="T55" s="62" t="str">
        <f aca="false">IF(OR($C55="",R55=""),"",IF(R55/IF($R$2="",100,$R$2)&gt;=設定!$I$28,設定!$G$8,IF(R55/IF($R$2="",100,$R$2)&lt;設定!$I$29,設定!$G$10,設定!$G$9)))</f>
        <v/>
      </c>
      <c r="U55" s="62" t="str">
        <f aca="false">IF(OR($C55="",S55=""),"",IF(S55/IF($S$2="",100,$S$2)&gt;=設定!$I$28,設定!$G$8,IF(S55/IF($S$2="",100,$S$2)&lt;設定!$I$29,設定!$G$10,設定!$G$9)))</f>
        <v/>
      </c>
    </row>
    <row r="56" customFormat="false" ht="21" hidden="false" customHeight="true" outlineLevel="0" collapsed="false">
      <c r="A56" s="91" t="str">
        <f aca="false">IF(名簿!$D56="","",名簿!$B56&amp;"")</f>
        <v/>
      </c>
      <c r="B56" s="91" t="str">
        <f aca="false">IF(名簿!$D56="","",名簿!$C56)</f>
        <v/>
      </c>
      <c r="C56" s="59" t="str">
        <f aca="false">IF(名簿!$D56="","",名簿!$D56&amp;IF(名簿!$F56="転出","（転出）",""))</f>
        <v/>
      </c>
      <c r="D56" s="149"/>
      <c r="E56" s="61" t="str">
        <f aca="false">IF(OR($C56="",名簿!$F56="転出"),"",IF($C$2="学級ごと",$A56,IF($C$2="前の単元と同じ",単元12!$E56&amp;"",$D56&amp;"")))</f>
        <v/>
      </c>
      <c r="F56" s="150"/>
      <c r="G56" s="150"/>
      <c r="H56" s="150"/>
      <c r="I56" s="151"/>
      <c r="J56" s="41" t="str">
        <f aca="false">IF($E56="","",$E56&amp;"|"&amp;COUNTIF($E$5:$E56,$E56))</f>
        <v/>
      </c>
      <c r="K56" s="40" t="str">
        <f aca="false">IF($I56="","",LEN($I56))</f>
        <v/>
      </c>
      <c r="L56" s="13"/>
      <c r="M56" s="13"/>
      <c r="N56" s="13"/>
      <c r="O56" s="13"/>
      <c r="P56" s="152"/>
      <c r="Q56" s="149"/>
      <c r="R56" s="152"/>
      <c r="S56" s="152"/>
      <c r="T56" s="62" t="str">
        <f aca="false">IF(OR($C56="",R56=""),"",IF(R56/IF($R$2="",100,$R$2)&gt;=設定!$I$28,設定!$G$8,IF(R56/IF($R$2="",100,$R$2)&lt;設定!$I$29,設定!$G$10,設定!$G$9)))</f>
        <v/>
      </c>
      <c r="U56" s="62" t="str">
        <f aca="false">IF(OR($C56="",S56=""),"",IF(S56/IF($S$2="",100,$S$2)&gt;=設定!$I$28,設定!$G$8,IF(S56/IF($S$2="",100,$S$2)&lt;設定!$I$29,設定!$G$10,設定!$G$9)))</f>
        <v/>
      </c>
    </row>
    <row r="57" customFormat="false" ht="21" hidden="false" customHeight="true" outlineLevel="0" collapsed="false">
      <c r="A57" s="91" t="str">
        <f aca="false">IF(名簿!$D57="","",名簿!$B57&amp;"")</f>
        <v/>
      </c>
      <c r="B57" s="91" t="str">
        <f aca="false">IF(名簿!$D57="","",名簿!$C57)</f>
        <v/>
      </c>
      <c r="C57" s="59" t="str">
        <f aca="false">IF(名簿!$D57="","",名簿!$D57&amp;IF(名簿!$F57="転出","（転出）",""))</f>
        <v/>
      </c>
      <c r="D57" s="149"/>
      <c r="E57" s="61" t="str">
        <f aca="false">IF(OR($C57="",名簿!$F57="転出"),"",IF($C$2="学級ごと",$A57,IF($C$2="前の単元と同じ",単元12!$E57&amp;"",$D57&amp;"")))</f>
        <v/>
      </c>
      <c r="F57" s="150"/>
      <c r="G57" s="150"/>
      <c r="H57" s="150"/>
      <c r="I57" s="151"/>
      <c r="J57" s="41" t="str">
        <f aca="false">IF($E57="","",$E57&amp;"|"&amp;COUNTIF($E$5:$E57,$E57))</f>
        <v/>
      </c>
      <c r="K57" s="40" t="str">
        <f aca="false">IF($I57="","",LEN($I57))</f>
        <v/>
      </c>
      <c r="L57" s="13"/>
      <c r="M57" s="13"/>
      <c r="N57" s="13"/>
      <c r="O57" s="13"/>
      <c r="P57" s="152"/>
      <c r="Q57" s="149"/>
      <c r="R57" s="152"/>
      <c r="S57" s="152"/>
      <c r="T57" s="62" t="str">
        <f aca="false">IF(OR($C57="",R57=""),"",IF(R57/IF($R$2="",100,$R$2)&gt;=設定!$I$28,設定!$G$8,IF(R57/IF($R$2="",100,$R$2)&lt;設定!$I$29,設定!$G$10,設定!$G$9)))</f>
        <v/>
      </c>
      <c r="U57" s="62" t="str">
        <f aca="false">IF(OR($C57="",S57=""),"",IF(S57/IF($S$2="",100,$S$2)&gt;=設定!$I$28,設定!$G$8,IF(S57/IF($S$2="",100,$S$2)&lt;設定!$I$29,設定!$G$10,設定!$G$9)))</f>
        <v/>
      </c>
    </row>
    <row r="58" customFormat="false" ht="21" hidden="false" customHeight="true" outlineLevel="0" collapsed="false">
      <c r="A58" s="91" t="str">
        <f aca="false">IF(名簿!$D58="","",名簿!$B58&amp;"")</f>
        <v/>
      </c>
      <c r="B58" s="91" t="str">
        <f aca="false">IF(名簿!$D58="","",名簿!$C58)</f>
        <v/>
      </c>
      <c r="C58" s="59" t="str">
        <f aca="false">IF(名簿!$D58="","",名簿!$D58&amp;IF(名簿!$F58="転出","（転出）",""))</f>
        <v/>
      </c>
      <c r="D58" s="149"/>
      <c r="E58" s="61" t="str">
        <f aca="false">IF(OR($C58="",名簿!$F58="転出"),"",IF($C$2="学級ごと",$A58,IF($C$2="前の単元と同じ",単元12!$E58&amp;"",$D58&amp;"")))</f>
        <v/>
      </c>
      <c r="F58" s="150"/>
      <c r="G58" s="150"/>
      <c r="H58" s="150"/>
      <c r="I58" s="151"/>
      <c r="J58" s="41" t="str">
        <f aca="false">IF($E58="","",$E58&amp;"|"&amp;COUNTIF($E$5:$E58,$E58))</f>
        <v/>
      </c>
      <c r="K58" s="40" t="str">
        <f aca="false">IF($I58="","",LEN($I58))</f>
        <v/>
      </c>
      <c r="L58" s="13"/>
      <c r="M58" s="13"/>
      <c r="N58" s="13"/>
      <c r="O58" s="13"/>
      <c r="P58" s="152"/>
      <c r="Q58" s="149"/>
      <c r="R58" s="152"/>
      <c r="S58" s="152"/>
      <c r="T58" s="62" t="str">
        <f aca="false">IF(OR($C58="",R58=""),"",IF(R58/IF($R$2="",100,$R$2)&gt;=設定!$I$28,設定!$G$8,IF(R58/IF($R$2="",100,$R$2)&lt;設定!$I$29,設定!$G$10,設定!$G$9)))</f>
        <v/>
      </c>
      <c r="U58" s="62" t="str">
        <f aca="false">IF(OR($C58="",S58=""),"",IF(S58/IF($S$2="",100,$S$2)&gt;=設定!$I$28,設定!$G$8,IF(S58/IF($S$2="",100,$S$2)&lt;設定!$I$29,設定!$G$10,設定!$G$9)))</f>
        <v/>
      </c>
    </row>
    <row r="59" customFormat="false" ht="21" hidden="false" customHeight="true" outlineLevel="0" collapsed="false">
      <c r="A59" s="91" t="str">
        <f aca="false">IF(名簿!$D59="","",名簿!$B59&amp;"")</f>
        <v/>
      </c>
      <c r="B59" s="91" t="str">
        <f aca="false">IF(名簿!$D59="","",名簿!$C59)</f>
        <v/>
      </c>
      <c r="C59" s="59" t="str">
        <f aca="false">IF(名簿!$D59="","",名簿!$D59&amp;IF(名簿!$F59="転出","（転出）",""))</f>
        <v/>
      </c>
      <c r="D59" s="149"/>
      <c r="E59" s="61" t="str">
        <f aca="false">IF(OR($C59="",名簿!$F59="転出"),"",IF($C$2="学級ごと",$A59,IF($C$2="前の単元と同じ",単元12!$E59&amp;"",$D59&amp;"")))</f>
        <v/>
      </c>
      <c r="F59" s="150"/>
      <c r="G59" s="150"/>
      <c r="H59" s="150"/>
      <c r="I59" s="151"/>
      <c r="J59" s="41" t="str">
        <f aca="false">IF($E59="","",$E59&amp;"|"&amp;COUNTIF($E$5:$E59,$E59))</f>
        <v/>
      </c>
      <c r="K59" s="40" t="str">
        <f aca="false">IF($I59="","",LEN($I59))</f>
        <v/>
      </c>
      <c r="L59" s="13"/>
      <c r="M59" s="13"/>
      <c r="N59" s="13"/>
      <c r="O59" s="13"/>
      <c r="P59" s="152"/>
      <c r="Q59" s="149"/>
      <c r="R59" s="152"/>
      <c r="S59" s="152"/>
      <c r="T59" s="62" t="str">
        <f aca="false">IF(OR($C59="",R59=""),"",IF(R59/IF($R$2="",100,$R$2)&gt;=設定!$I$28,設定!$G$8,IF(R59/IF($R$2="",100,$R$2)&lt;設定!$I$29,設定!$G$10,設定!$G$9)))</f>
        <v/>
      </c>
      <c r="U59" s="62" t="str">
        <f aca="false">IF(OR($C59="",S59=""),"",IF(S59/IF($S$2="",100,$S$2)&gt;=設定!$I$28,設定!$G$8,IF(S59/IF($S$2="",100,$S$2)&lt;設定!$I$29,設定!$G$10,設定!$G$9)))</f>
        <v/>
      </c>
    </row>
    <row r="60" customFormat="false" ht="21" hidden="false" customHeight="true" outlineLevel="0" collapsed="false">
      <c r="A60" s="91" t="str">
        <f aca="false">IF(名簿!$D60="","",名簿!$B60&amp;"")</f>
        <v/>
      </c>
      <c r="B60" s="91" t="str">
        <f aca="false">IF(名簿!$D60="","",名簿!$C60)</f>
        <v/>
      </c>
      <c r="C60" s="59" t="str">
        <f aca="false">IF(名簿!$D60="","",名簿!$D60&amp;IF(名簿!$F60="転出","（転出）",""))</f>
        <v/>
      </c>
      <c r="D60" s="149"/>
      <c r="E60" s="61" t="str">
        <f aca="false">IF(OR($C60="",名簿!$F60="転出"),"",IF($C$2="学級ごと",$A60,IF($C$2="前の単元と同じ",単元12!$E60&amp;"",$D60&amp;"")))</f>
        <v/>
      </c>
      <c r="F60" s="150"/>
      <c r="G60" s="150"/>
      <c r="H60" s="150"/>
      <c r="I60" s="151"/>
      <c r="J60" s="41" t="str">
        <f aca="false">IF($E60="","",$E60&amp;"|"&amp;COUNTIF($E$5:$E60,$E60))</f>
        <v/>
      </c>
      <c r="K60" s="40" t="str">
        <f aca="false">IF($I60="","",LEN($I60))</f>
        <v/>
      </c>
      <c r="L60" s="13"/>
      <c r="M60" s="13"/>
      <c r="N60" s="13"/>
      <c r="O60" s="13"/>
      <c r="P60" s="152"/>
      <c r="Q60" s="149"/>
      <c r="R60" s="152"/>
      <c r="S60" s="152"/>
      <c r="T60" s="62" t="str">
        <f aca="false">IF(OR($C60="",R60=""),"",IF(R60/IF($R$2="",100,$R$2)&gt;=設定!$I$28,設定!$G$8,IF(R60/IF($R$2="",100,$R$2)&lt;設定!$I$29,設定!$G$10,設定!$G$9)))</f>
        <v/>
      </c>
      <c r="U60" s="62" t="str">
        <f aca="false">IF(OR($C60="",S60=""),"",IF(S60/IF($S$2="",100,$S$2)&gt;=設定!$I$28,設定!$G$8,IF(S60/IF($S$2="",100,$S$2)&lt;設定!$I$29,設定!$G$10,設定!$G$9)))</f>
        <v/>
      </c>
    </row>
    <row r="61" customFormat="false" ht="21" hidden="false" customHeight="true" outlineLevel="0" collapsed="false">
      <c r="A61" s="91" t="str">
        <f aca="false">IF(名簿!$D61="","",名簿!$B61&amp;"")</f>
        <v/>
      </c>
      <c r="B61" s="91" t="str">
        <f aca="false">IF(名簿!$D61="","",名簿!$C61)</f>
        <v/>
      </c>
      <c r="C61" s="59" t="str">
        <f aca="false">IF(名簿!$D61="","",名簿!$D61&amp;IF(名簿!$F61="転出","（転出）",""))</f>
        <v/>
      </c>
      <c r="D61" s="149"/>
      <c r="E61" s="61" t="str">
        <f aca="false">IF(OR($C61="",名簿!$F61="転出"),"",IF($C$2="学級ごと",$A61,IF($C$2="前の単元と同じ",単元12!$E61&amp;"",$D61&amp;"")))</f>
        <v/>
      </c>
      <c r="F61" s="150"/>
      <c r="G61" s="150"/>
      <c r="H61" s="150"/>
      <c r="I61" s="151"/>
      <c r="J61" s="41" t="str">
        <f aca="false">IF($E61="","",$E61&amp;"|"&amp;COUNTIF($E$5:$E61,$E61))</f>
        <v/>
      </c>
      <c r="K61" s="40" t="str">
        <f aca="false">IF($I61="","",LEN($I61))</f>
        <v/>
      </c>
      <c r="L61" s="13"/>
      <c r="M61" s="13"/>
      <c r="N61" s="13"/>
      <c r="O61" s="13"/>
      <c r="P61" s="152"/>
      <c r="Q61" s="149"/>
      <c r="R61" s="152"/>
      <c r="S61" s="152"/>
      <c r="T61" s="62" t="str">
        <f aca="false">IF(OR($C61="",R61=""),"",IF(R61/IF($R$2="",100,$R$2)&gt;=設定!$I$28,設定!$G$8,IF(R61/IF($R$2="",100,$R$2)&lt;設定!$I$29,設定!$G$10,設定!$G$9)))</f>
        <v/>
      </c>
      <c r="U61" s="62" t="str">
        <f aca="false">IF(OR($C61="",S61=""),"",IF(S61/IF($S$2="",100,$S$2)&gt;=設定!$I$28,設定!$G$8,IF(S61/IF($S$2="",100,$S$2)&lt;設定!$I$29,設定!$G$10,設定!$G$9)))</f>
        <v/>
      </c>
    </row>
    <row r="62" customFormat="false" ht="21" hidden="false" customHeight="true" outlineLevel="0" collapsed="false">
      <c r="A62" s="91" t="str">
        <f aca="false">IF(名簿!$D62="","",名簿!$B62&amp;"")</f>
        <v/>
      </c>
      <c r="B62" s="91" t="str">
        <f aca="false">IF(名簿!$D62="","",名簿!$C62)</f>
        <v/>
      </c>
      <c r="C62" s="59" t="str">
        <f aca="false">IF(名簿!$D62="","",名簿!$D62&amp;IF(名簿!$F62="転出","（転出）",""))</f>
        <v/>
      </c>
      <c r="D62" s="149"/>
      <c r="E62" s="61" t="str">
        <f aca="false">IF(OR($C62="",名簿!$F62="転出"),"",IF($C$2="学級ごと",$A62,IF($C$2="前の単元と同じ",単元12!$E62&amp;"",$D62&amp;"")))</f>
        <v/>
      </c>
      <c r="F62" s="150"/>
      <c r="G62" s="150"/>
      <c r="H62" s="150"/>
      <c r="I62" s="151"/>
      <c r="J62" s="41" t="str">
        <f aca="false">IF($E62="","",$E62&amp;"|"&amp;COUNTIF($E$5:$E62,$E62))</f>
        <v/>
      </c>
      <c r="K62" s="40" t="str">
        <f aca="false">IF($I62="","",LEN($I62))</f>
        <v/>
      </c>
      <c r="L62" s="13"/>
      <c r="M62" s="13"/>
      <c r="N62" s="13"/>
      <c r="O62" s="13"/>
      <c r="P62" s="152"/>
      <c r="Q62" s="149"/>
      <c r="R62" s="152"/>
      <c r="S62" s="152"/>
      <c r="T62" s="62" t="str">
        <f aca="false">IF(OR($C62="",R62=""),"",IF(R62/IF($R$2="",100,$R$2)&gt;=設定!$I$28,設定!$G$8,IF(R62/IF($R$2="",100,$R$2)&lt;設定!$I$29,設定!$G$10,設定!$G$9)))</f>
        <v/>
      </c>
      <c r="U62" s="62" t="str">
        <f aca="false">IF(OR($C62="",S62=""),"",IF(S62/IF($S$2="",100,$S$2)&gt;=設定!$I$28,設定!$G$8,IF(S62/IF($S$2="",100,$S$2)&lt;設定!$I$29,設定!$G$10,設定!$G$9)))</f>
        <v/>
      </c>
    </row>
    <row r="63" customFormat="false" ht="21" hidden="false" customHeight="true" outlineLevel="0" collapsed="false">
      <c r="A63" s="91" t="str">
        <f aca="false">IF(名簿!$D63="","",名簿!$B63&amp;"")</f>
        <v/>
      </c>
      <c r="B63" s="91" t="str">
        <f aca="false">IF(名簿!$D63="","",名簿!$C63)</f>
        <v/>
      </c>
      <c r="C63" s="59" t="str">
        <f aca="false">IF(名簿!$D63="","",名簿!$D63&amp;IF(名簿!$F63="転出","（転出）",""))</f>
        <v/>
      </c>
      <c r="D63" s="149"/>
      <c r="E63" s="61" t="str">
        <f aca="false">IF(OR($C63="",名簿!$F63="転出"),"",IF($C$2="学級ごと",$A63,IF($C$2="前の単元と同じ",単元12!$E63&amp;"",$D63&amp;"")))</f>
        <v/>
      </c>
      <c r="F63" s="150"/>
      <c r="G63" s="150"/>
      <c r="H63" s="150"/>
      <c r="I63" s="151"/>
      <c r="J63" s="41" t="str">
        <f aca="false">IF($E63="","",$E63&amp;"|"&amp;COUNTIF($E$5:$E63,$E63))</f>
        <v/>
      </c>
      <c r="K63" s="40" t="str">
        <f aca="false">IF($I63="","",LEN($I63))</f>
        <v/>
      </c>
      <c r="L63" s="13"/>
      <c r="M63" s="13"/>
      <c r="N63" s="13"/>
      <c r="O63" s="13"/>
      <c r="P63" s="152"/>
      <c r="Q63" s="149"/>
      <c r="R63" s="152"/>
      <c r="S63" s="152"/>
      <c r="T63" s="62" t="str">
        <f aca="false">IF(OR($C63="",R63=""),"",IF(R63/IF($R$2="",100,$R$2)&gt;=設定!$I$28,設定!$G$8,IF(R63/IF($R$2="",100,$R$2)&lt;設定!$I$29,設定!$G$10,設定!$G$9)))</f>
        <v/>
      </c>
      <c r="U63" s="62" t="str">
        <f aca="false">IF(OR($C63="",S63=""),"",IF(S63/IF($S$2="",100,$S$2)&gt;=設定!$I$28,設定!$G$8,IF(S63/IF($S$2="",100,$S$2)&lt;設定!$I$29,設定!$G$10,設定!$G$9)))</f>
        <v/>
      </c>
    </row>
    <row r="64" customFormat="false" ht="21" hidden="false" customHeight="true" outlineLevel="0" collapsed="false">
      <c r="A64" s="91" t="str">
        <f aca="false">IF(名簿!$D64="","",名簿!$B64&amp;"")</f>
        <v/>
      </c>
      <c r="B64" s="91" t="str">
        <f aca="false">IF(名簿!$D64="","",名簿!$C64)</f>
        <v/>
      </c>
      <c r="C64" s="59" t="str">
        <f aca="false">IF(名簿!$D64="","",名簿!$D64&amp;IF(名簿!$F64="転出","（転出）",""))</f>
        <v/>
      </c>
      <c r="D64" s="149"/>
      <c r="E64" s="61" t="str">
        <f aca="false">IF(OR($C64="",名簿!$F64="転出"),"",IF($C$2="学級ごと",$A64,IF($C$2="前の単元と同じ",単元12!$E64&amp;"",$D64&amp;"")))</f>
        <v/>
      </c>
      <c r="F64" s="150"/>
      <c r="G64" s="150"/>
      <c r="H64" s="150"/>
      <c r="I64" s="151"/>
      <c r="J64" s="41" t="str">
        <f aca="false">IF($E64="","",$E64&amp;"|"&amp;COUNTIF($E$5:$E64,$E64))</f>
        <v/>
      </c>
      <c r="K64" s="40" t="str">
        <f aca="false">IF($I64="","",LEN($I64))</f>
        <v/>
      </c>
      <c r="L64" s="13"/>
      <c r="M64" s="13"/>
      <c r="N64" s="13"/>
      <c r="O64" s="13"/>
      <c r="P64" s="152"/>
      <c r="Q64" s="149"/>
      <c r="R64" s="152"/>
      <c r="S64" s="152"/>
      <c r="T64" s="62" t="str">
        <f aca="false">IF(OR($C64="",R64=""),"",IF(R64/IF($R$2="",100,$R$2)&gt;=設定!$I$28,設定!$G$8,IF(R64/IF($R$2="",100,$R$2)&lt;設定!$I$29,設定!$G$10,設定!$G$9)))</f>
        <v/>
      </c>
      <c r="U64" s="62" t="str">
        <f aca="false">IF(OR($C64="",S64=""),"",IF(S64/IF($S$2="",100,$S$2)&gt;=設定!$I$28,設定!$G$8,IF(S64/IF($S$2="",100,$S$2)&lt;設定!$I$29,設定!$G$10,設定!$G$9)))</f>
        <v/>
      </c>
    </row>
    <row r="65" customFormat="false" ht="21" hidden="false" customHeight="true" outlineLevel="0" collapsed="false">
      <c r="A65" s="91" t="str">
        <f aca="false">IF(名簿!$D65="","",名簿!$B65&amp;"")</f>
        <v/>
      </c>
      <c r="B65" s="91" t="str">
        <f aca="false">IF(名簿!$D65="","",名簿!$C65)</f>
        <v/>
      </c>
      <c r="C65" s="59" t="str">
        <f aca="false">IF(名簿!$D65="","",名簿!$D65&amp;IF(名簿!$F65="転出","（転出）",""))</f>
        <v/>
      </c>
      <c r="D65" s="149"/>
      <c r="E65" s="61" t="str">
        <f aca="false">IF(OR($C65="",名簿!$F65="転出"),"",IF($C$2="学級ごと",$A65,IF($C$2="前の単元と同じ",単元12!$E65&amp;"",$D65&amp;"")))</f>
        <v/>
      </c>
      <c r="F65" s="150"/>
      <c r="G65" s="150"/>
      <c r="H65" s="150"/>
      <c r="I65" s="151"/>
      <c r="J65" s="41" t="str">
        <f aca="false">IF($E65="","",$E65&amp;"|"&amp;COUNTIF($E$5:$E65,$E65))</f>
        <v/>
      </c>
      <c r="K65" s="40" t="str">
        <f aca="false">IF($I65="","",LEN($I65))</f>
        <v/>
      </c>
      <c r="L65" s="13"/>
      <c r="M65" s="13"/>
      <c r="N65" s="13"/>
      <c r="O65" s="13"/>
      <c r="P65" s="152"/>
      <c r="Q65" s="149"/>
      <c r="R65" s="152"/>
      <c r="S65" s="152"/>
      <c r="T65" s="62" t="str">
        <f aca="false">IF(OR($C65="",R65=""),"",IF(R65/IF($R$2="",100,$R$2)&gt;=設定!$I$28,設定!$G$8,IF(R65/IF($R$2="",100,$R$2)&lt;設定!$I$29,設定!$G$10,設定!$G$9)))</f>
        <v/>
      </c>
      <c r="U65" s="62" t="str">
        <f aca="false">IF(OR($C65="",S65=""),"",IF(S65/IF($S$2="",100,$S$2)&gt;=設定!$I$28,設定!$G$8,IF(S65/IF($S$2="",100,$S$2)&lt;設定!$I$29,設定!$G$10,設定!$G$9)))</f>
        <v/>
      </c>
    </row>
    <row r="66" customFormat="false" ht="21" hidden="false" customHeight="true" outlineLevel="0" collapsed="false">
      <c r="A66" s="91" t="str">
        <f aca="false">IF(名簿!$D66="","",名簿!$B66&amp;"")</f>
        <v/>
      </c>
      <c r="B66" s="91" t="str">
        <f aca="false">IF(名簿!$D66="","",名簿!$C66)</f>
        <v/>
      </c>
      <c r="C66" s="59" t="str">
        <f aca="false">IF(名簿!$D66="","",名簿!$D66&amp;IF(名簿!$F66="転出","（転出）",""))</f>
        <v/>
      </c>
      <c r="D66" s="149"/>
      <c r="E66" s="61" t="str">
        <f aca="false">IF(OR($C66="",名簿!$F66="転出"),"",IF($C$2="学級ごと",$A66,IF($C$2="前の単元と同じ",単元12!$E66&amp;"",$D66&amp;"")))</f>
        <v/>
      </c>
      <c r="F66" s="150"/>
      <c r="G66" s="150"/>
      <c r="H66" s="150"/>
      <c r="I66" s="151"/>
      <c r="J66" s="41" t="str">
        <f aca="false">IF($E66="","",$E66&amp;"|"&amp;COUNTIF($E$5:$E66,$E66))</f>
        <v/>
      </c>
      <c r="K66" s="40" t="str">
        <f aca="false">IF($I66="","",LEN($I66))</f>
        <v/>
      </c>
      <c r="L66" s="13"/>
      <c r="M66" s="13"/>
      <c r="N66" s="13"/>
      <c r="O66" s="13"/>
      <c r="P66" s="152"/>
      <c r="Q66" s="149"/>
      <c r="R66" s="152"/>
      <c r="S66" s="152"/>
      <c r="T66" s="62" t="str">
        <f aca="false">IF(OR($C66="",R66=""),"",IF(R66/IF($R$2="",100,$R$2)&gt;=設定!$I$28,設定!$G$8,IF(R66/IF($R$2="",100,$R$2)&lt;設定!$I$29,設定!$G$10,設定!$G$9)))</f>
        <v/>
      </c>
      <c r="U66" s="62" t="str">
        <f aca="false">IF(OR($C66="",S66=""),"",IF(S66/IF($S$2="",100,$S$2)&gt;=設定!$I$28,設定!$G$8,IF(S66/IF($S$2="",100,$S$2)&lt;設定!$I$29,設定!$G$10,設定!$G$9)))</f>
        <v/>
      </c>
    </row>
    <row r="67" customFormat="false" ht="21" hidden="false" customHeight="true" outlineLevel="0" collapsed="false">
      <c r="A67" s="91" t="str">
        <f aca="false">IF(名簿!$D67="","",名簿!$B67&amp;"")</f>
        <v/>
      </c>
      <c r="B67" s="91" t="str">
        <f aca="false">IF(名簿!$D67="","",名簿!$C67)</f>
        <v/>
      </c>
      <c r="C67" s="59" t="str">
        <f aca="false">IF(名簿!$D67="","",名簿!$D67&amp;IF(名簿!$F67="転出","（転出）",""))</f>
        <v/>
      </c>
      <c r="D67" s="149"/>
      <c r="E67" s="61" t="str">
        <f aca="false">IF(OR($C67="",名簿!$F67="転出"),"",IF($C$2="学級ごと",$A67,IF($C$2="前の単元と同じ",単元12!$E67&amp;"",$D67&amp;"")))</f>
        <v/>
      </c>
      <c r="F67" s="150"/>
      <c r="G67" s="150"/>
      <c r="H67" s="150"/>
      <c r="I67" s="151"/>
      <c r="J67" s="41" t="str">
        <f aca="false">IF($E67="","",$E67&amp;"|"&amp;COUNTIF($E$5:$E67,$E67))</f>
        <v/>
      </c>
      <c r="K67" s="40" t="str">
        <f aca="false">IF($I67="","",LEN($I67))</f>
        <v/>
      </c>
      <c r="L67" s="13"/>
      <c r="M67" s="13"/>
      <c r="N67" s="13"/>
      <c r="O67" s="13"/>
      <c r="P67" s="152"/>
      <c r="Q67" s="149"/>
      <c r="R67" s="152"/>
      <c r="S67" s="152"/>
      <c r="T67" s="62" t="str">
        <f aca="false">IF(OR($C67="",R67=""),"",IF(R67/IF($R$2="",100,$R$2)&gt;=設定!$I$28,設定!$G$8,IF(R67/IF($R$2="",100,$R$2)&lt;設定!$I$29,設定!$G$10,設定!$G$9)))</f>
        <v/>
      </c>
      <c r="U67" s="62" t="str">
        <f aca="false">IF(OR($C67="",S67=""),"",IF(S67/IF($S$2="",100,$S$2)&gt;=設定!$I$28,設定!$G$8,IF(S67/IF($S$2="",100,$S$2)&lt;設定!$I$29,設定!$G$10,設定!$G$9)))</f>
        <v/>
      </c>
    </row>
    <row r="68" customFormat="false" ht="21" hidden="false" customHeight="true" outlineLevel="0" collapsed="false">
      <c r="A68" s="91" t="str">
        <f aca="false">IF(名簿!$D68="","",名簿!$B68&amp;"")</f>
        <v/>
      </c>
      <c r="B68" s="91" t="str">
        <f aca="false">IF(名簿!$D68="","",名簿!$C68)</f>
        <v/>
      </c>
      <c r="C68" s="59" t="str">
        <f aca="false">IF(名簿!$D68="","",名簿!$D68&amp;IF(名簿!$F68="転出","（転出）",""))</f>
        <v/>
      </c>
      <c r="D68" s="149"/>
      <c r="E68" s="61" t="str">
        <f aca="false">IF(OR($C68="",名簿!$F68="転出"),"",IF($C$2="学級ごと",$A68,IF($C$2="前の単元と同じ",単元12!$E68&amp;"",$D68&amp;"")))</f>
        <v/>
      </c>
      <c r="F68" s="150"/>
      <c r="G68" s="150"/>
      <c r="H68" s="150"/>
      <c r="I68" s="151"/>
      <c r="J68" s="41" t="str">
        <f aca="false">IF($E68="","",$E68&amp;"|"&amp;COUNTIF($E$5:$E68,$E68))</f>
        <v/>
      </c>
      <c r="K68" s="40" t="str">
        <f aca="false">IF($I68="","",LEN($I68))</f>
        <v/>
      </c>
      <c r="L68" s="13"/>
      <c r="M68" s="13"/>
      <c r="N68" s="13"/>
      <c r="O68" s="13"/>
      <c r="P68" s="152"/>
      <c r="Q68" s="149"/>
      <c r="R68" s="152"/>
      <c r="S68" s="152"/>
      <c r="T68" s="62" t="str">
        <f aca="false">IF(OR($C68="",R68=""),"",IF(R68/IF($R$2="",100,$R$2)&gt;=設定!$I$28,設定!$G$8,IF(R68/IF($R$2="",100,$R$2)&lt;設定!$I$29,設定!$G$10,設定!$G$9)))</f>
        <v/>
      </c>
      <c r="U68" s="62" t="str">
        <f aca="false">IF(OR($C68="",S68=""),"",IF(S68/IF($S$2="",100,$S$2)&gt;=設定!$I$28,設定!$G$8,IF(S68/IF($S$2="",100,$S$2)&lt;設定!$I$29,設定!$G$10,設定!$G$9)))</f>
        <v/>
      </c>
    </row>
    <row r="69" customFormat="false" ht="21" hidden="false" customHeight="true" outlineLevel="0" collapsed="false">
      <c r="A69" s="91" t="str">
        <f aca="false">IF(名簿!$D69="","",名簿!$B69&amp;"")</f>
        <v/>
      </c>
      <c r="B69" s="91" t="str">
        <f aca="false">IF(名簿!$D69="","",名簿!$C69)</f>
        <v/>
      </c>
      <c r="C69" s="59" t="str">
        <f aca="false">IF(名簿!$D69="","",名簿!$D69&amp;IF(名簿!$F69="転出","（転出）",""))</f>
        <v/>
      </c>
      <c r="D69" s="149"/>
      <c r="E69" s="61" t="str">
        <f aca="false">IF(OR($C69="",名簿!$F69="転出"),"",IF($C$2="学級ごと",$A69,IF($C$2="前の単元と同じ",単元12!$E69&amp;"",$D69&amp;"")))</f>
        <v/>
      </c>
      <c r="F69" s="150"/>
      <c r="G69" s="150"/>
      <c r="H69" s="150"/>
      <c r="I69" s="151"/>
      <c r="J69" s="41" t="str">
        <f aca="false">IF($E69="","",$E69&amp;"|"&amp;COUNTIF($E$5:$E69,$E69))</f>
        <v/>
      </c>
      <c r="K69" s="40" t="str">
        <f aca="false">IF($I69="","",LEN($I69))</f>
        <v/>
      </c>
      <c r="L69" s="13"/>
      <c r="M69" s="13"/>
      <c r="N69" s="13"/>
      <c r="O69" s="13"/>
      <c r="P69" s="152"/>
      <c r="Q69" s="149"/>
      <c r="R69" s="152"/>
      <c r="S69" s="152"/>
      <c r="T69" s="62" t="str">
        <f aca="false">IF(OR($C69="",R69=""),"",IF(R69/IF($R$2="",100,$R$2)&gt;=設定!$I$28,設定!$G$8,IF(R69/IF($R$2="",100,$R$2)&lt;設定!$I$29,設定!$G$10,設定!$G$9)))</f>
        <v/>
      </c>
      <c r="U69" s="62" t="str">
        <f aca="false">IF(OR($C69="",S69=""),"",IF(S69/IF($S$2="",100,$S$2)&gt;=設定!$I$28,設定!$G$8,IF(S69/IF($S$2="",100,$S$2)&lt;設定!$I$29,設定!$G$10,設定!$G$9)))</f>
        <v/>
      </c>
    </row>
    <row r="70" customFormat="false" ht="21" hidden="false" customHeight="true" outlineLevel="0" collapsed="false">
      <c r="A70" s="91" t="str">
        <f aca="false">IF(名簿!$D70="","",名簿!$B70&amp;"")</f>
        <v/>
      </c>
      <c r="B70" s="91" t="str">
        <f aca="false">IF(名簿!$D70="","",名簿!$C70)</f>
        <v/>
      </c>
      <c r="C70" s="59" t="str">
        <f aca="false">IF(名簿!$D70="","",名簿!$D70&amp;IF(名簿!$F70="転出","（転出）",""))</f>
        <v/>
      </c>
      <c r="D70" s="149"/>
      <c r="E70" s="61" t="str">
        <f aca="false">IF(OR($C70="",名簿!$F70="転出"),"",IF($C$2="学級ごと",$A70,IF($C$2="前の単元と同じ",単元12!$E70&amp;"",$D70&amp;"")))</f>
        <v/>
      </c>
      <c r="F70" s="150"/>
      <c r="G70" s="150"/>
      <c r="H70" s="150"/>
      <c r="I70" s="151"/>
      <c r="J70" s="41" t="str">
        <f aca="false">IF($E70="","",$E70&amp;"|"&amp;COUNTIF($E$5:$E70,$E70))</f>
        <v/>
      </c>
      <c r="K70" s="40" t="str">
        <f aca="false">IF($I70="","",LEN($I70))</f>
        <v/>
      </c>
      <c r="L70" s="13"/>
      <c r="M70" s="13"/>
      <c r="N70" s="13"/>
      <c r="O70" s="13"/>
      <c r="P70" s="152"/>
      <c r="Q70" s="149"/>
      <c r="R70" s="152"/>
      <c r="S70" s="152"/>
      <c r="T70" s="62" t="str">
        <f aca="false">IF(OR($C70="",R70=""),"",IF(R70/IF($R$2="",100,$R$2)&gt;=設定!$I$28,設定!$G$8,IF(R70/IF($R$2="",100,$R$2)&lt;設定!$I$29,設定!$G$10,設定!$G$9)))</f>
        <v/>
      </c>
      <c r="U70" s="62" t="str">
        <f aca="false">IF(OR($C70="",S70=""),"",IF(S70/IF($S$2="",100,$S$2)&gt;=設定!$I$28,設定!$G$8,IF(S70/IF($S$2="",100,$S$2)&lt;設定!$I$29,設定!$G$10,設定!$G$9)))</f>
        <v/>
      </c>
    </row>
    <row r="71" customFormat="false" ht="21" hidden="false" customHeight="true" outlineLevel="0" collapsed="false">
      <c r="A71" s="91" t="str">
        <f aca="false">IF(名簿!$D71="","",名簿!$B71&amp;"")</f>
        <v/>
      </c>
      <c r="B71" s="91" t="str">
        <f aca="false">IF(名簿!$D71="","",名簿!$C71)</f>
        <v/>
      </c>
      <c r="C71" s="59" t="str">
        <f aca="false">IF(名簿!$D71="","",名簿!$D71&amp;IF(名簿!$F71="転出","（転出）",""))</f>
        <v/>
      </c>
      <c r="D71" s="149"/>
      <c r="E71" s="61" t="str">
        <f aca="false">IF(OR($C71="",名簿!$F71="転出"),"",IF($C$2="学級ごと",$A71,IF($C$2="前の単元と同じ",単元12!$E71&amp;"",$D71&amp;"")))</f>
        <v/>
      </c>
      <c r="F71" s="150"/>
      <c r="G71" s="150"/>
      <c r="H71" s="150"/>
      <c r="I71" s="151"/>
      <c r="J71" s="41" t="str">
        <f aca="false">IF($E71="","",$E71&amp;"|"&amp;COUNTIF($E$5:$E71,$E71))</f>
        <v/>
      </c>
      <c r="K71" s="40" t="str">
        <f aca="false">IF($I71="","",LEN($I71))</f>
        <v/>
      </c>
      <c r="L71" s="13"/>
      <c r="M71" s="13"/>
      <c r="N71" s="13"/>
      <c r="O71" s="13"/>
      <c r="P71" s="152"/>
      <c r="Q71" s="149"/>
      <c r="R71" s="152"/>
      <c r="S71" s="152"/>
      <c r="T71" s="62" t="str">
        <f aca="false">IF(OR($C71="",R71=""),"",IF(R71/IF($R$2="",100,$R$2)&gt;=設定!$I$28,設定!$G$8,IF(R71/IF($R$2="",100,$R$2)&lt;設定!$I$29,設定!$G$10,設定!$G$9)))</f>
        <v/>
      </c>
      <c r="U71" s="62" t="str">
        <f aca="false">IF(OR($C71="",S71=""),"",IF(S71/IF($S$2="",100,$S$2)&gt;=設定!$I$28,設定!$G$8,IF(S71/IF($S$2="",100,$S$2)&lt;設定!$I$29,設定!$G$10,設定!$G$9)))</f>
        <v/>
      </c>
    </row>
    <row r="72" customFormat="false" ht="21" hidden="false" customHeight="true" outlineLevel="0" collapsed="false">
      <c r="A72" s="91" t="str">
        <f aca="false">IF(名簿!$D72="","",名簿!$B72&amp;"")</f>
        <v/>
      </c>
      <c r="B72" s="91" t="str">
        <f aca="false">IF(名簿!$D72="","",名簿!$C72)</f>
        <v/>
      </c>
      <c r="C72" s="59" t="str">
        <f aca="false">IF(名簿!$D72="","",名簿!$D72&amp;IF(名簿!$F72="転出","（転出）",""))</f>
        <v/>
      </c>
      <c r="D72" s="149"/>
      <c r="E72" s="61" t="str">
        <f aca="false">IF(OR($C72="",名簿!$F72="転出"),"",IF($C$2="学級ごと",$A72,IF($C$2="前の単元と同じ",単元12!$E72&amp;"",$D72&amp;"")))</f>
        <v/>
      </c>
      <c r="F72" s="150"/>
      <c r="G72" s="150"/>
      <c r="H72" s="150"/>
      <c r="I72" s="151"/>
      <c r="J72" s="41" t="str">
        <f aca="false">IF($E72="","",$E72&amp;"|"&amp;COUNTIF($E$5:$E72,$E72))</f>
        <v/>
      </c>
      <c r="K72" s="40" t="str">
        <f aca="false">IF($I72="","",LEN($I72))</f>
        <v/>
      </c>
      <c r="L72" s="13"/>
      <c r="M72" s="13"/>
      <c r="N72" s="13"/>
      <c r="O72" s="13"/>
      <c r="P72" s="152"/>
      <c r="Q72" s="149"/>
      <c r="R72" s="152"/>
      <c r="S72" s="152"/>
      <c r="T72" s="62" t="str">
        <f aca="false">IF(OR($C72="",R72=""),"",IF(R72/IF($R$2="",100,$R$2)&gt;=設定!$I$28,設定!$G$8,IF(R72/IF($R$2="",100,$R$2)&lt;設定!$I$29,設定!$G$10,設定!$G$9)))</f>
        <v/>
      </c>
      <c r="U72" s="62" t="str">
        <f aca="false">IF(OR($C72="",S72=""),"",IF(S72/IF($S$2="",100,$S$2)&gt;=設定!$I$28,設定!$G$8,IF(S72/IF($S$2="",100,$S$2)&lt;設定!$I$29,設定!$G$10,設定!$G$9)))</f>
        <v/>
      </c>
    </row>
    <row r="73" customFormat="false" ht="21" hidden="false" customHeight="true" outlineLevel="0" collapsed="false">
      <c r="A73" s="91" t="str">
        <f aca="false">IF(名簿!$D73="","",名簿!$B73&amp;"")</f>
        <v/>
      </c>
      <c r="B73" s="91" t="str">
        <f aca="false">IF(名簿!$D73="","",名簿!$C73)</f>
        <v/>
      </c>
      <c r="C73" s="59" t="str">
        <f aca="false">IF(名簿!$D73="","",名簿!$D73&amp;IF(名簿!$F73="転出","（転出）",""))</f>
        <v/>
      </c>
      <c r="D73" s="149"/>
      <c r="E73" s="61" t="str">
        <f aca="false">IF(OR($C73="",名簿!$F73="転出"),"",IF($C$2="学級ごと",$A73,IF($C$2="前の単元と同じ",単元12!$E73&amp;"",$D73&amp;"")))</f>
        <v/>
      </c>
      <c r="F73" s="150"/>
      <c r="G73" s="150"/>
      <c r="H73" s="150"/>
      <c r="I73" s="151"/>
      <c r="J73" s="41" t="str">
        <f aca="false">IF($E73="","",$E73&amp;"|"&amp;COUNTIF($E$5:$E73,$E73))</f>
        <v/>
      </c>
      <c r="K73" s="40" t="str">
        <f aca="false">IF($I73="","",LEN($I73))</f>
        <v/>
      </c>
      <c r="L73" s="13"/>
      <c r="M73" s="13"/>
      <c r="N73" s="13"/>
      <c r="O73" s="13"/>
      <c r="P73" s="152"/>
      <c r="Q73" s="149"/>
      <c r="R73" s="152"/>
      <c r="S73" s="152"/>
      <c r="T73" s="62" t="str">
        <f aca="false">IF(OR($C73="",R73=""),"",IF(R73/IF($R$2="",100,$R$2)&gt;=設定!$I$28,設定!$G$8,IF(R73/IF($R$2="",100,$R$2)&lt;設定!$I$29,設定!$G$10,設定!$G$9)))</f>
        <v/>
      </c>
      <c r="U73" s="62" t="str">
        <f aca="false">IF(OR($C73="",S73=""),"",IF(S73/IF($S$2="",100,$S$2)&gt;=設定!$I$28,設定!$G$8,IF(S73/IF($S$2="",100,$S$2)&lt;設定!$I$29,設定!$G$10,設定!$G$9)))</f>
        <v/>
      </c>
    </row>
    <row r="74" customFormat="false" ht="21" hidden="false" customHeight="true" outlineLevel="0" collapsed="false">
      <c r="A74" s="91" t="str">
        <f aca="false">IF(名簿!$D74="","",名簿!$B74&amp;"")</f>
        <v/>
      </c>
      <c r="B74" s="91" t="str">
        <f aca="false">IF(名簿!$D74="","",名簿!$C74)</f>
        <v/>
      </c>
      <c r="C74" s="59" t="str">
        <f aca="false">IF(名簿!$D74="","",名簿!$D74&amp;IF(名簿!$F74="転出","（転出）",""))</f>
        <v/>
      </c>
      <c r="D74" s="149"/>
      <c r="E74" s="61" t="str">
        <f aca="false">IF(OR($C74="",名簿!$F74="転出"),"",IF($C$2="学級ごと",$A74,IF($C$2="前の単元と同じ",単元12!$E74&amp;"",$D74&amp;"")))</f>
        <v/>
      </c>
      <c r="F74" s="150"/>
      <c r="G74" s="150"/>
      <c r="H74" s="150"/>
      <c r="I74" s="151"/>
      <c r="J74" s="41" t="str">
        <f aca="false">IF($E74="","",$E74&amp;"|"&amp;COUNTIF($E$5:$E74,$E74))</f>
        <v/>
      </c>
      <c r="K74" s="40" t="str">
        <f aca="false">IF($I74="","",LEN($I74))</f>
        <v/>
      </c>
      <c r="L74" s="13"/>
      <c r="M74" s="13"/>
      <c r="N74" s="13"/>
      <c r="O74" s="13"/>
      <c r="P74" s="152"/>
      <c r="Q74" s="149"/>
      <c r="R74" s="152"/>
      <c r="S74" s="152"/>
      <c r="T74" s="62" t="str">
        <f aca="false">IF(OR($C74="",R74=""),"",IF(R74/IF($R$2="",100,$R$2)&gt;=設定!$I$28,設定!$G$8,IF(R74/IF($R$2="",100,$R$2)&lt;設定!$I$29,設定!$G$10,設定!$G$9)))</f>
        <v/>
      </c>
      <c r="U74" s="62" t="str">
        <f aca="false">IF(OR($C74="",S74=""),"",IF(S74/IF($S$2="",100,$S$2)&gt;=設定!$I$28,設定!$G$8,IF(S74/IF($S$2="",100,$S$2)&lt;設定!$I$29,設定!$G$10,設定!$G$9)))</f>
        <v/>
      </c>
    </row>
    <row r="75" customFormat="false" ht="21" hidden="false" customHeight="true" outlineLevel="0" collapsed="false">
      <c r="A75" s="91" t="str">
        <f aca="false">IF(名簿!$D75="","",名簿!$B75&amp;"")</f>
        <v/>
      </c>
      <c r="B75" s="91" t="str">
        <f aca="false">IF(名簿!$D75="","",名簿!$C75)</f>
        <v/>
      </c>
      <c r="C75" s="59" t="str">
        <f aca="false">IF(名簿!$D75="","",名簿!$D75&amp;IF(名簿!$F75="転出","（転出）",""))</f>
        <v/>
      </c>
      <c r="D75" s="149"/>
      <c r="E75" s="61" t="str">
        <f aca="false">IF(OR($C75="",名簿!$F75="転出"),"",IF($C$2="学級ごと",$A75,IF($C$2="前の単元と同じ",単元12!$E75&amp;"",$D75&amp;"")))</f>
        <v/>
      </c>
      <c r="F75" s="150"/>
      <c r="G75" s="150"/>
      <c r="H75" s="150"/>
      <c r="I75" s="151"/>
      <c r="J75" s="41" t="str">
        <f aca="false">IF($E75="","",$E75&amp;"|"&amp;COUNTIF($E$5:$E75,$E75))</f>
        <v/>
      </c>
      <c r="K75" s="40" t="str">
        <f aca="false">IF($I75="","",LEN($I75))</f>
        <v/>
      </c>
      <c r="L75" s="13"/>
      <c r="M75" s="13"/>
      <c r="N75" s="13"/>
      <c r="O75" s="13"/>
      <c r="P75" s="152"/>
      <c r="Q75" s="149"/>
      <c r="R75" s="152"/>
      <c r="S75" s="152"/>
      <c r="T75" s="62" t="str">
        <f aca="false">IF(OR($C75="",R75=""),"",IF(R75/IF($R$2="",100,$R$2)&gt;=設定!$I$28,設定!$G$8,IF(R75/IF($R$2="",100,$R$2)&lt;設定!$I$29,設定!$G$10,設定!$G$9)))</f>
        <v/>
      </c>
      <c r="U75" s="62" t="str">
        <f aca="false">IF(OR($C75="",S75=""),"",IF(S75/IF($S$2="",100,$S$2)&gt;=設定!$I$28,設定!$G$8,IF(S75/IF($S$2="",100,$S$2)&lt;設定!$I$29,設定!$G$10,設定!$G$9)))</f>
        <v/>
      </c>
    </row>
    <row r="76" customFormat="false" ht="21" hidden="false" customHeight="true" outlineLevel="0" collapsed="false">
      <c r="A76" s="91" t="str">
        <f aca="false">IF(名簿!$D76="","",名簿!$B76&amp;"")</f>
        <v/>
      </c>
      <c r="B76" s="91" t="str">
        <f aca="false">IF(名簿!$D76="","",名簿!$C76)</f>
        <v/>
      </c>
      <c r="C76" s="59" t="str">
        <f aca="false">IF(名簿!$D76="","",名簿!$D76&amp;IF(名簿!$F76="転出","（転出）",""))</f>
        <v/>
      </c>
      <c r="D76" s="149"/>
      <c r="E76" s="61" t="str">
        <f aca="false">IF(OR($C76="",名簿!$F76="転出"),"",IF($C$2="学級ごと",$A76,IF($C$2="前の単元と同じ",単元12!$E76&amp;"",$D76&amp;"")))</f>
        <v/>
      </c>
      <c r="F76" s="150"/>
      <c r="G76" s="150"/>
      <c r="H76" s="150"/>
      <c r="I76" s="151"/>
      <c r="J76" s="41" t="str">
        <f aca="false">IF($E76="","",$E76&amp;"|"&amp;COUNTIF($E$5:$E76,$E76))</f>
        <v/>
      </c>
      <c r="K76" s="40" t="str">
        <f aca="false">IF($I76="","",LEN($I76))</f>
        <v/>
      </c>
      <c r="L76" s="13"/>
      <c r="M76" s="13"/>
      <c r="N76" s="13"/>
      <c r="O76" s="13"/>
      <c r="P76" s="152"/>
      <c r="Q76" s="149"/>
      <c r="R76" s="152"/>
      <c r="S76" s="152"/>
      <c r="T76" s="62" t="str">
        <f aca="false">IF(OR($C76="",R76=""),"",IF(R76/IF($R$2="",100,$R$2)&gt;=設定!$I$28,設定!$G$8,IF(R76/IF($R$2="",100,$R$2)&lt;設定!$I$29,設定!$G$10,設定!$G$9)))</f>
        <v/>
      </c>
      <c r="U76" s="62" t="str">
        <f aca="false">IF(OR($C76="",S76=""),"",IF(S76/IF($S$2="",100,$S$2)&gt;=設定!$I$28,設定!$G$8,IF(S76/IF($S$2="",100,$S$2)&lt;設定!$I$29,設定!$G$10,設定!$G$9)))</f>
        <v/>
      </c>
    </row>
    <row r="77" customFormat="false" ht="21" hidden="false" customHeight="true" outlineLevel="0" collapsed="false">
      <c r="A77" s="91" t="str">
        <f aca="false">IF(名簿!$D77="","",名簿!$B77&amp;"")</f>
        <v/>
      </c>
      <c r="B77" s="91" t="str">
        <f aca="false">IF(名簿!$D77="","",名簿!$C77)</f>
        <v/>
      </c>
      <c r="C77" s="59" t="str">
        <f aca="false">IF(名簿!$D77="","",名簿!$D77&amp;IF(名簿!$F77="転出","（転出）",""))</f>
        <v/>
      </c>
      <c r="D77" s="149"/>
      <c r="E77" s="61" t="str">
        <f aca="false">IF(OR($C77="",名簿!$F77="転出"),"",IF($C$2="学級ごと",$A77,IF($C$2="前の単元と同じ",単元12!$E77&amp;"",$D77&amp;"")))</f>
        <v/>
      </c>
      <c r="F77" s="150"/>
      <c r="G77" s="150"/>
      <c r="H77" s="150"/>
      <c r="I77" s="151"/>
      <c r="J77" s="41" t="str">
        <f aca="false">IF($E77="","",$E77&amp;"|"&amp;COUNTIF($E$5:$E77,$E77))</f>
        <v/>
      </c>
      <c r="K77" s="40" t="str">
        <f aca="false">IF($I77="","",LEN($I77))</f>
        <v/>
      </c>
      <c r="L77" s="13"/>
      <c r="M77" s="13"/>
      <c r="N77" s="13"/>
      <c r="O77" s="13"/>
      <c r="P77" s="152"/>
      <c r="Q77" s="149"/>
      <c r="R77" s="152"/>
      <c r="S77" s="152"/>
      <c r="T77" s="62" t="str">
        <f aca="false">IF(OR($C77="",R77=""),"",IF(R77/IF($R$2="",100,$R$2)&gt;=設定!$I$28,設定!$G$8,IF(R77/IF($R$2="",100,$R$2)&lt;設定!$I$29,設定!$G$10,設定!$G$9)))</f>
        <v/>
      </c>
      <c r="U77" s="62" t="str">
        <f aca="false">IF(OR($C77="",S77=""),"",IF(S77/IF($S$2="",100,$S$2)&gt;=設定!$I$28,設定!$G$8,IF(S77/IF($S$2="",100,$S$2)&lt;設定!$I$29,設定!$G$10,設定!$G$9)))</f>
        <v/>
      </c>
    </row>
    <row r="78" customFormat="false" ht="21" hidden="false" customHeight="true" outlineLevel="0" collapsed="false">
      <c r="A78" s="91" t="str">
        <f aca="false">IF(名簿!$D78="","",名簿!$B78&amp;"")</f>
        <v/>
      </c>
      <c r="B78" s="91" t="str">
        <f aca="false">IF(名簿!$D78="","",名簿!$C78)</f>
        <v/>
      </c>
      <c r="C78" s="59" t="str">
        <f aca="false">IF(名簿!$D78="","",名簿!$D78&amp;IF(名簿!$F78="転出","（転出）",""))</f>
        <v/>
      </c>
      <c r="D78" s="149"/>
      <c r="E78" s="61" t="str">
        <f aca="false">IF(OR($C78="",名簿!$F78="転出"),"",IF($C$2="学級ごと",$A78,IF($C$2="前の単元と同じ",単元12!$E78&amp;"",$D78&amp;"")))</f>
        <v/>
      </c>
      <c r="F78" s="150"/>
      <c r="G78" s="150"/>
      <c r="H78" s="150"/>
      <c r="I78" s="151"/>
      <c r="J78" s="41" t="str">
        <f aca="false">IF($E78="","",$E78&amp;"|"&amp;COUNTIF($E$5:$E78,$E78))</f>
        <v/>
      </c>
      <c r="K78" s="40" t="str">
        <f aca="false">IF($I78="","",LEN($I78))</f>
        <v/>
      </c>
      <c r="L78" s="13"/>
      <c r="M78" s="13"/>
      <c r="N78" s="13"/>
      <c r="O78" s="13"/>
      <c r="P78" s="152"/>
      <c r="Q78" s="149"/>
      <c r="R78" s="152"/>
      <c r="S78" s="152"/>
      <c r="T78" s="62" t="str">
        <f aca="false">IF(OR($C78="",R78=""),"",IF(R78/IF($R$2="",100,$R$2)&gt;=設定!$I$28,設定!$G$8,IF(R78/IF($R$2="",100,$R$2)&lt;設定!$I$29,設定!$G$10,設定!$G$9)))</f>
        <v/>
      </c>
      <c r="U78" s="62" t="str">
        <f aca="false">IF(OR($C78="",S78=""),"",IF(S78/IF($S$2="",100,$S$2)&gt;=設定!$I$28,設定!$G$8,IF(S78/IF($S$2="",100,$S$2)&lt;設定!$I$29,設定!$G$10,設定!$G$9)))</f>
        <v/>
      </c>
    </row>
    <row r="79" customFormat="false" ht="21" hidden="false" customHeight="true" outlineLevel="0" collapsed="false">
      <c r="A79" s="91" t="str">
        <f aca="false">IF(名簿!$D79="","",名簿!$B79&amp;"")</f>
        <v/>
      </c>
      <c r="B79" s="91" t="str">
        <f aca="false">IF(名簿!$D79="","",名簿!$C79)</f>
        <v/>
      </c>
      <c r="C79" s="59" t="str">
        <f aca="false">IF(名簿!$D79="","",名簿!$D79&amp;IF(名簿!$F79="転出","（転出）",""))</f>
        <v/>
      </c>
      <c r="D79" s="149"/>
      <c r="E79" s="61" t="str">
        <f aca="false">IF(OR($C79="",名簿!$F79="転出"),"",IF($C$2="学級ごと",$A79,IF($C$2="前の単元と同じ",単元12!$E79&amp;"",$D79&amp;"")))</f>
        <v/>
      </c>
      <c r="F79" s="150"/>
      <c r="G79" s="150"/>
      <c r="H79" s="150"/>
      <c r="I79" s="151"/>
      <c r="J79" s="41" t="str">
        <f aca="false">IF($E79="","",$E79&amp;"|"&amp;COUNTIF($E$5:$E79,$E79))</f>
        <v/>
      </c>
      <c r="K79" s="40" t="str">
        <f aca="false">IF($I79="","",LEN($I79))</f>
        <v/>
      </c>
      <c r="L79" s="13"/>
      <c r="M79" s="13"/>
      <c r="N79" s="13"/>
      <c r="O79" s="13"/>
      <c r="P79" s="152"/>
      <c r="Q79" s="149"/>
      <c r="R79" s="152"/>
      <c r="S79" s="152"/>
      <c r="T79" s="62" t="str">
        <f aca="false">IF(OR($C79="",R79=""),"",IF(R79/IF($R$2="",100,$R$2)&gt;=設定!$I$28,設定!$G$8,IF(R79/IF($R$2="",100,$R$2)&lt;設定!$I$29,設定!$G$10,設定!$G$9)))</f>
        <v/>
      </c>
      <c r="U79" s="62" t="str">
        <f aca="false">IF(OR($C79="",S79=""),"",IF(S79/IF($S$2="",100,$S$2)&gt;=設定!$I$28,設定!$G$8,IF(S79/IF($S$2="",100,$S$2)&lt;設定!$I$29,設定!$G$10,設定!$G$9)))</f>
        <v/>
      </c>
    </row>
    <row r="80" customFormat="false" ht="21" hidden="false" customHeight="true" outlineLevel="0" collapsed="false">
      <c r="A80" s="91" t="str">
        <f aca="false">IF(名簿!$D80="","",名簿!$B80&amp;"")</f>
        <v/>
      </c>
      <c r="B80" s="91" t="str">
        <f aca="false">IF(名簿!$D80="","",名簿!$C80)</f>
        <v/>
      </c>
      <c r="C80" s="59" t="str">
        <f aca="false">IF(名簿!$D80="","",名簿!$D80&amp;IF(名簿!$F80="転出","（転出）",""))</f>
        <v/>
      </c>
      <c r="D80" s="149"/>
      <c r="E80" s="61" t="str">
        <f aca="false">IF(OR($C80="",名簿!$F80="転出"),"",IF($C$2="学級ごと",$A80,IF($C$2="前の単元と同じ",単元12!$E80&amp;"",$D80&amp;"")))</f>
        <v/>
      </c>
      <c r="F80" s="150"/>
      <c r="G80" s="150"/>
      <c r="H80" s="150"/>
      <c r="I80" s="151"/>
      <c r="J80" s="41" t="str">
        <f aca="false">IF($E80="","",$E80&amp;"|"&amp;COUNTIF($E$5:$E80,$E80))</f>
        <v/>
      </c>
      <c r="K80" s="40" t="str">
        <f aca="false">IF($I80="","",LEN($I80))</f>
        <v/>
      </c>
      <c r="L80" s="13"/>
      <c r="M80" s="13"/>
      <c r="N80" s="13"/>
      <c r="O80" s="13"/>
      <c r="P80" s="152"/>
      <c r="Q80" s="149"/>
      <c r="R80" s="152"/>
      <c r="S80" s="152"/>
      <c r="T80" s="62" t="str">
        <f aca="false">IF(OR($C80="",R80=""),"",IF(R80/IF($R$2="",100,$R$2)&gt;=設定!$I$28,設定!$G$8,IF(R80/IF($R$2="",100,$R$2)&lt;設定!$I$29,設定!$G$10,設定!$G$9)))</f>
        <v/>
      </c>
      <c r="U80" s="62" t="str">
        <f aca="false">IF(OR($C80="",S80=""),"",IF(S80/IF($S$2="",100,$S$2)&gt;=設定!$I$28,設定!$G$8,IF(S80/IF($S$2="",100,$S$2)&lt;設定!$I$29,設定!$G$10,設定!$G$9)))</f>
        <v/>
      </c>
    </row>
    <row r="81" customFormat="false" ht="21" hidden="false" customHeight="true" outlineLevel="0" collapsed="false">
      <c r="A81" s="91" t="str">
        <f aca="false">IF(名簿!$D81="","",名簿!$B81&amp;"")</f>
        <v/>
      </c>
      <c r="B81" s="91" t="str">
        <f aca="false">IF(名簿!$D81="","",名簿!$C81)</f>
        <v/>
      </c>
      <c r="C81" s="59" t="str">
        <f aca="false">IF(名簿!$D81="","",名簿!$D81&amp;IF(名簿!$F81="転出","（転出）",""))</f>
        <v/>
      </c>
      <c r="D81" s="149"/>
      <c r="E81" s="61" t="str">
        <f aca="false">IF(OR($C81="",名簿!$F81="転出"),"",IF($C$2="学級ごと",$A81,IF($C$2="前の単元と同じ",単元12!$E81&amp;"",$D81&amp;"")))</f>
        <v/>
      </c>
      <c r="F81" s="150"/>
      <c r="G81" s="150"/>
      <c r="H81" s="150"/>
      <c r="I81" s="151"/>
      <c r="J81" s="41" t="str">
        <f aca="false">IF($E81="","",$E81&amp;"|"&amp;COUNTIF($E$5:$E81,$E81))</f>
        <v/>
      </c>
      <c r="K81" s="40" t="str">
        <f aca="false">IF($I81="","",LEN($I81))</f>
        <v/>
      </c>
      <c r="L81" s="13"/>
      <c r="M81" s="13"/>
      <c r="N81" s="13"/>
      <c r="O81" s="13"/>
      <c r="P81" s="152"/>
      <c r="Q81" s="149"/>
      <c r="R81" s="152"/>
      <c r="S81" s="152"/>
      <c r="T81" s="62" t="str">
        <f aca="false">IF(OR($C81="",R81=""),"",IF(R81/IF($R$2="",100,$R$2)&gt;=設定!$I$28,設定!$G$8,IF(R81/IF($R$2="",100,$R$2)&lt;設定!$I$29,設定!$G$10,設定!$G$9)))</f>
        <v/>
      </c>
      <c r="U81" s="62" t="str">
        <f aca="false">IF(OR($C81="",S81=""),"",IF(S81/IF($S$2="",100,$S$2)&gt;=設定!$I$28,設定!$G$8,IF(S81/IF($S$2="",100,$S$2)&lt;設定!$I$29,設定!$G$10,設定!$G$9)))</f>
        <v/>
      </c>
    </row>
    <row r="82" customFormat="false" ht="21" hidden="false" customHeight="true" outlineLevel="0" collapsed="false">
      <c r="A82" s="91" t="str">
        <f aca="false">IF(名簿!$D82="","",名簿!$B82&amp;"")</f>
        <v/>
      </c>
      <c r="B82" s="91" t="str">
        <f aca="false">IF(名簿!$D82="","",名簿!$C82)</f>
        <v/>
      </c>
      <c r="C82" s="59" t="str">
        <f aca="false">IF(名簿!$D82="","",名簿!$D82&amp;IF(名簿!$F82="転出","（転出）",""))</f>
        <v/>
      </c>
      <c r="D82" s="149"/>
      <c r="E82" s="61" t="str">
        <f aca="false">IF(OR($C82="",名簿!$F82="転出"),"",IF($C$2="学級ごと",$A82,IF($C$2="前の単元と同じ",単元12!$E82&amp;"",$D82&amp;"")))</f>
        <v/>
      </c>
      <c r="F82" s="150"/>
      <c r="G82" s="150"/>
      <c r="H82" s="150"/>
      <c r="I82" s="151"/>
      <c r="J82" s="41" t="str">
        <f aca="false">IF($E82="","",$E82&amp;"|"&amp;COUNTIF($E$5:$E82,$E82))</f>
        <v/>
      </c>
      <c r="K82" s="40" t="str">
        <f aca="false">IF($I82="","",LEN($I82))</f>
        <v/>
      </c>
      <c r="L82" s="13"/>
      <c r="M82" s="13"/>
      <c r="N82" s="13"/>
      <c r="O82" s="13"/>
      <c r="P82" s="152"/>
      <c r="Q82" s="149"/>
      <c r="R82" s="152"/>
      <c r="S82" s="152"/>
      <c r="T82" s="62" t="str">
        <f aca="false">IF(OR($C82="",R82=""),"",IF(R82/IF($R$2="",100,$R$2)&gt;=設定!$I$28,設定!$G$8,IF(R82/IF($R$2="",100,$R$2)&lt;設定!$I$29,設定!$G$10,設定!$G$9)))</f>
        <v/>
      </c>
      <c r="U82" s="62" t="str">
        <f aca="false">IF(OR($C82="",S82=""),"",IF(S82/IF($S$2="",100,$S$2)&gt;=設定!$I$28,設定!$G$8,IF(S82/IF($S$2="",100,$S$2)&lt;設定!$I$29,設定!$G$10,設定!$G$9)))</f>
        <v/>
      </c>
    </row>
    <row r="83" customFormat="false" ht="21" hidden="false" customHeight="true" outlineLevel="0" collapsed="false">
      <c r="A83" s="91" t="str">
        <f aca="false">IF(名簿!$D83="","",名簿!$B83&amp;"")</f>
        <v/>
      </c>
      <c r="B83" s="91" t="str">
        <f aca="false">IF(名簿!$D83="","",名簿!$C83)</f>
        <v/>
      </c>
      <c r="C83" s="59" t="str">
        <f aca="false">IF(名簿!$D83="","",名簿!$D83&amp;IF(名簿!$F83="転出","（転出）",""))</f>
        <v/>
      </c>
      <c r="D83" s="149"/>
      <c r="E83" s="61" t="str">
        <f aca="false">IF(OR($C83="",名簿!$F83="転出"),"",IF($C$2="学級ごと",$A83,IF($C$2="前の単元と同じ",単元12!$E83&amp;"",$D83&amp;"")))</f>
        <v/>
      </c>
      <c r="F83" s="150"/>
      <c r="G83" s="150"/>
      <c r="H83" s="150"/>
      <c r="I83" s="151"/>
      <c r="J83" s="41" t="str">
        <f aca="false">IF($E83="","",$E83&amp;"|"&amp;COUNTIF($E$5:$E83,$E83))</f>
        <v/>
      </c>
      <c r="K83" s="40" t="str">
        <f aca="false">IF($I83="","",LEN($I83))</f>
        <v/>
      </c>
      <c r="L83" s="13"/>
      <c r="M83" s="13"/>
      <c r="N83" s="13"/>
      <c r="O83" s="13"/>
      <c r="P83" s="152"/>
      <c r="Q83" s="149"/>
      <c r="R83" s="152"/>
      <c r="S83" s="152"/>
      <c r="T83" s="62" t="str">
        <f aca="false">IF(OR($C83="",R83=""),"",IF(R83/IF($R$2="",100,$R$2)&gt;=設定!$I$28,設定!$G$8,IF(R83/IF($R$2="",100,$R$2)&lt;設定!$I$29,設定!$G$10,設定!$G$9)))</f>
        <v/>
      </c>
      <c r="U83" s="62" t="str">
        <f aca="false">IF(OR($C83="",S83=""),"",IF(S83/IF($S$2="",100,$S$2)&gt;=設定!$I$28,設定!$G$8,IF(S83/IF($S$2="",100,$S$2)&lt;設定!$I$29,設定!$G$10,設定!$G$9)))</f>
        <v/>
      </c>
    </row>
    <row r="84" customFormat="false" ht="21" hidden="false" customHeight="true" outlineLevel="0" collapsed="false">
      <c r="A84" s="91" t="str">
        <f aca="false">IF(名簿!$D84="","",名簿!$B84&amp;"")</f>
        <v/>
      </c>
      <c r="B84" s="91" t="str">
        <f aca="false">IF(名簿!$D84="","",名簿!$C84)</f>
        <v/>
      </c>
      <c r="C84" s="59" t="str">
        <f aca="false">IF(名簿!$D84="","",名簿!$D84&amp;IF(名簿!$F84="転出","（転出）",""))</f>
        <v/>
      </c>
      <c r="D84" s="149"/>
      <c r="E84" s="61" t="str">
        <f aca="false">IF(OR($C84="",名簿!$F84="転出"),"",IF($C$2="学級ごと",$A84,IF($C$2="前の単元と同じ",単元12!$E84&amp;"",$D84&amp;"")))</f>
        <v/>
      </c>
      <c r="F84" s="150"/>
      <c r="G84" s="150"/>
      <c r="H84" s="150"/>
      <c r="I84" s="151"/>
      <c r="J84" s="41" t="str">
        <f aca="false">IF($E84="","",$E84&amp;"|"&amp;COUNTIF($E$5:$E84,$E84))</f>
        <v/>
      </c>
      <c r="K84" s="40" t="str">
        <f aca="false">IF($I84="","",LEN($I84))</f>
        <v/>
      </c>
      <c r="L84" s="13"/>
      <c r="M84" s="13"/>
      <c r="N84" s="13"/>
      <c r="O84" s="13"/>
      <c r="P84" s="152"/>
      <c r="Q84" s="149"/>
      <c r="R84" s="152"/>
      <c r="S84" s="152"/>
      <c r="T84" s="62" t="str">
        <f aca="false">IF(OR($C84="",R84=""),"",IF(R84/IF($R$2="",100,$R$2)&gt;=設定!$I$28,設定!$G$8,IF(R84/IF($R$2="",100,$R$2)&lt;設定!$I$29,設定!$G$10,設定!$G$9)))</f>
        <v/>
      </c>
      <c r="U84" s="62" t="str">
        <f aca="false">IF(OR($C84="",S84=""),"",IF(S84/IF($S$2="",100,$S$2)&gt;=設定!$I$28,設定!$G$8,IF(S84/IF($S$2="",100,$S$2)&lt;設定!$I$29,設定!$G$10,設定!$G$9)))</f>
        <v/>
      </c>
    </row>
    <row r="85" customFormat="false" ht="21" hidden="false" customHeight="true" outlineLevel="0" collapsed="false">
      <c r="A85" s="91" t="str">
        <f aca="false">IF(名簿!$D85="","",名簿!$B85&amp;"")</f>
        <v/>
      </c>
      <c r="B85" s="91" t="str">
        <f aca="false">IF(名簿!$D85="","",名簿!$C85)</f>
        <v/>
      </c>
      <c r="C85" s="59" t="str">
        <f aca="false">IF(名簿!$D85="","",名簿!$D85&amp;IF(名簿!$F85="転出","（転出）",""))</f>
        <v/>
      </c>
      <c r="D85" s="149"/>
      <c r="E85" s="61" t="str">
        <f aca="false">IF(OR($C85="",名簿!$F85="転出"),"",IF($C$2="学級ごと",$A85,IF($C$2="前の単元と同じ",単元12!$E85&amp;"",$D85&amp;"")))</f>
        <v/>
      </c>
      <c r="F85" s="150"/>
      <c r="G85" s="150"/>
      <c r="H85" s="150"/>
      <c r="I85" s="151"/>
      <c r="J85" s="41" t="str">
        <f aca="false">IF($E85="","",$E85&amp;"|"&amp;COUNTIF($E$5:$E85,$E85))</f>
        <v/>
      </c>
      <c r="K85" s="40" t="str">
        <f aca="false">IF($I85="","",LEN($I85))</f>
        <v/>
      </c>
      <c r="L85" s="13"/>
      <c r="M85" s="13"/>
      <c r="N85" s="13"/>
      <c r="O85" s="13"/>
      <c r="P85" s="152"/>
      <c r="Q85" s="149"/>
      <c r="R85" s="152"/>
      <c r="S85" s="152"/>
      <c r="T85" s="62" t="str">
        <f aca="false">IF(OR($C85="",R85=""),"",IF(R85/IF($R$2="",100,$R$2)&gt;=設定!$I$28,設定!$G$8,IF(R85/IF($R$2="",100,$R$2)&lt;設定!$I$29,設定!$G$10,設定!$G$9)))</f>
        <v/>
      </c>
      <c r="U85" s="62" t="str">
        <f aca="false">IF(OR($C85="",S85=""),"",IF(S85/IF($S$2="",100,$S$2)&gt;=設定!$I$28,設定!$G$8,IF(S85/IF($S$2="",100,$S$2)&lt;設定!$I$29,設定!$G$10,設定!$G$9)))</f>
        <v/>
      </c>
    </row>
    <row r="86" customFormat="false" ht="21" hidden="false" customHeight="true" outlineLevel="0" collapsed="false">
      <c r="A86" s="91" t="str">
        <f aca="false">IF(名簿!$D86="","",名簿!$B86&amp;"")</f>
        <v/>
      </c>
      <c r="B86" s="91" t="str">
        <f aca="false">IF(名簿!$D86="","",名簿!$C86)</f>
        <v/>
      </c>
      <c r="C86" s="59" t="str">
        <f aca="false">IF(名簿!$D86="","",名簿!$D86&amp;IF(名簿!$F86="転出","（転出）",""))</f>
        <v/>
      </c>
      <c r="D86" s="149"/>
      <c r="E86" s="61" t="str">
        <f aca="false">IF(OR($C86="",名簿!$F86="転出"),"",IF($C$2="学級ごと",$A86,IF($C$2="前の単元と同じ",単元12!$E86&amp;"",$D86&amp;"")))</f>
        <v/>
      </c>
      <c r="F86" s="150"/>
      <c r="G86" s="150"/>
      <c r="H86" s="150"/>
      <c r="I86" s="151"/>
      <c r="J86" s="41" t="str">
        <f aca="false">IF($E86="","",$E86&amp;"|"&amp;COUNTIF($E$5:$E86,$E86))</f>
        <v/>
      </c>
      <c r="K86" s="40" t="str">
        <f aca="false">IF($I86="","",LEN($I86))</f>
        <v/>
      </c>
      <c r="L86" s="13"/>
      <c r="M86" s="13"/>
      <c r="N86" s="13"/>
      <c r="O86" s="13"/>
      <c r="P86" s="152"/>
      <c r="Q86" s="149"/>
      <c r="R86" s="152"/>
      <c r="S86" s="152"/>
      <c r="T86" s="62" t="str">
        <f aca="false">IF(OR($C86="",R86=""),"",IF(R86/IF($R$2="",100,$R$2)&gt;=設定!$I$28,設定!$G$8,IF(R86/IF($R$2="",100,$R$2)&lt;設定!$I$29,設定!$G$10,設定!$G$9)))</f>
        <v/>
      </c>
      <c r="U86" s="62" t="str">
        <f aca="false">IF(OR($C86="",S86=""),"",IF(S86/IF($S$2="",100,$S$2)&gt;=設定!$I$28,設定!$G$8,IF(S86/IF($S$2="",100,$S$2)&lt;設定!$I$29,設定!$G$10,設定!$G$9)))</f>
        <v/>
      </c>
    </row>
    <row r="87" customFormat="false" ht="21" hidden="false" customHeight="true" outlineLevel="0" collapsed="false">
      <c r="A87" s="91" t="str">
        <f aca="false">IF(名簿!$D87="","",名簿!$B87&amp;"")</f>
        <v/>
      </c>
      <c r="B87" s="91" t="str">
        <f aca="false">IF(名簿!$D87="","",名簿!$C87)</f>
        <v/>
      </c>
      <c r="C87" s="59" t="str">
        <f aca="false">IF(名簿!$D87="","",名簿!$D87&amp;IF(名簿!$F87="転出","（転出）",""))</f>
        <v/>
      </c>
      <c r="D87" s="149"/>
      <c r="E87" s="61" t="str">
        <f aca="false">IF(OR($C87="",名簿!$F87="転出"),"",IF($C$2="学級ごと",$A87,IF($C$2="前の単元と同じ",単元12!$E87&amp;"",$D87&amp;"")))</f>
        <v/>
      </c>
      <c r="F87" s="150"/>
      <c r="G87" s="150"/>
      <c r="H87" s="150"/>
      <c r="I87" s="151"/>
      <c r="J87" s="41" t="str">
        <f aca="false">IF($E87="","",$E87&amp;"|"&amp;COUNTIF($E$5:$E87,$E87))</f>
        <v/>
      </c>
      <c r="K87" s="40" t="str">
        <f aca="false">IF($I87="","",LEN($I87))</f>
        <v/>
      </c>
      <c r="L87" s="13"/>
      <c r="M87" s="13"/>
      <c r="N87" s="13"/>
      <c r="O87" s="13"/>
      <c r="P87" s="152"/>
      <c r="Q87" s="149"/>
      <c r="R87" s="152"/>
      <c r="S87" s="152"/>
      <c r="T87" s="62" t="str">
        <f aca="false">IF(OR($C87="",R87=""),"",IF(R87/IF($R$2="",100,$R$2)&gt;=設定!$I$28,設定!$G$8,IF(R87/IF($R$2="",100,$R$2)&lt;設定!$I$29,設定!$G$10,設定!$G$9)))</f>
        <v/>
      </c>
      <c r="U87" s="62" t="str">
        <f aca="false">IF(OR($C87="",S87=""),"",IF(S87/IF($S$2="",100,$S$2)&gt;=設定!$I$28,設定!$G$8,IF(S87/IF($S$2="",100,$S$2)&lt;設定!$I$29,設定!$G$10,設定!$G$9)))</f>
        <v/>
      </c>
    </row>
    <row r="88" customFormat="false" ht="21" hidden="false" customHeight="true" outlineLevel="0" collapsed="false">
      <c r="A88" s="91" t="str">
        <f aca="false">IF(名簿!$D88="","",名簿!$B88&amp;"")</f>
        <v/>
      </c>
      <c r="B88" s="91" t="str">
        <f aca="false">IF(名簿!$D88="","",名簿!$C88)</f>
        <v/>
      </c>
      <c r="C88" s="59" t="str">
        <f aca="false">IF(名簿!$D88="","",名簿!$D88&amp;IF(名簿!$F88="転出","（転出）",""))</f>
        <v/>
      </c>
      <c r="D88" s="149"/>
      <c r="E88" s="61" t="str">
        <f aca="false">IF(OR($C88="",名簿!$F88="転出"),"",IF($C$2="学級ごと",$A88,IF($C$2="前の単元と同じ",単元12!$E88&amp;"",$D88&amp;"")))</f>
        <v/>
      </c>
      <c r="F88" s="150"/>
      <c r="G88" s="150"/>
      <c r="H88" s="150"/>
      <c r="I88" s="151"/>
      <c r="J88" s="41" t="str">
        <f aca="false">IF($E88="","",$E88&amp;"|"&amp;COUNTIF($E$5:$E88,$E88))</f>
        <v/>
      </c>
      <c r="K88" s="40" t="str">
        <f aca="false">IF($I88="","",LEN($I88))</f>
        <v/>
      </c>
      <c r="L88" s="13"/>
      <c r="M88" s="13"/>
      <c r="N88" s="13"/>
      <c r="O88" s="13"/>
      <c r="P88" s="152"/>
      <c r="Q88" s="149"/>
      <c r="R88" s="152"/>
      <c r="S88" s="152"/>
      <c r="T88" s="62" t="str">
        <f aca="false">IF(OR($C88="",R88=""),"",IF(R88/IF($R$2="",100,$R$2)&gt;=設定!$I$28,設定!$G$8,IF(R88/IF($R$2="",100,$R$2)&lt;設定!$I$29,設定!$G$10,設定!$G$9)))</f>
        <v/>
      </c>
      <c r="U88" s="62" t="str">
        <f aca="false">IF(OR($C88="",S88=""),"",IF(S88/IF($S$2="",100,$S$2)&gt;=設定!$I$28,設定!$G$8,IF(S88/IF($S$2="",100,$S$2)&lt;設定!$I$29,設定!$G$10,設定!$G$9)))</f>
        <v/>
      </c>
    </row>
    <row r="89" customFormat="false" ht="21" hidden="false" customHeight="true" outlineLevel="0" collapsed="false">
      <c r="A89" s="91" t="str">
        <f aca="false">IF(名簿!$D89="","",名簿!$B89&amp;"")</f>
        <v/>
      </c>
      <c r="B89" s="91" t="str">
        <f aca="false">IF(名簿!$D89="","",名簿!$C89)</f>
        <v/>
      </c>
      <c r="C89" s="59" t="str">
        <f aca="false">IF(名簿!$D89="","",名簿!$D89&amp;IF(名簿!$F89="転出","（転出）",""))</f>
        <v/>
      </c>
      <c r="D89" s="149"/>
      <c r="E89" s="61" t="str">
        <f aca="false">IF(OR($C89="",名簿!$F89="転出"),"",IF($C$2="学級ごと",$A89,IF($C$2="前の単元と同じ",単元12!$E89&amp;"",$D89&amp;"")))</f>
        <v/>
      </c>
      <c r="F89" s="150"/>
      <c r="G89" s="150"/>
      <c r="H89" s="150"/>
      <c r="I89" s="151"/>
      <c r="J89" s="41" t="str">
        <f aca="false">IF($E89="","",$E89&amp;"|"&amp;COUNTIF($E$5:$E89,$E89))</f>
        <v/>
      </c>
      <c r="K89" s="40" t="str">
        <f aca="false">IF($I89="","",LEN($I89))</f>
        <v/>
      </c>
      <c r="L89" s="13"/>
      <c r="M89" s="13"/>
      <c r="N89" s="13"/>
      <c r="O89" s="13"/>
      <c r="P89" s="152"/>
      <c r="Q89" s="149"/>
      <c r="R89" s="152"/>
      <c r="S89" s="152"/>
      <c r="T89" s="62" t="str">
        <f aca="false">IF(OR($C89="",R89=""),"",IF(R89/IF($R$2="",100,$R$2)&gt;=設定!$I$28,設定!$G$8,IF(R89/IF($R$2="",100,$R$2)&lt;設定!$I$29,設定!$G$10,設定!$G$9)))</f>
        <v/>
      </c>
      <c r="U89" s="62" t="str">
        <f aca="false">IF(OR($C89="",S89=""),"",IF(S89/IF($S$2="",100,$S$2)&gt;=設定!$I$28,設定!$G$8,IF(S89/IF($S$2="",100,$S$2)&lt;設定!$I$29,設定!$G$10,設定!$G$9)))</f>
        <v/>
      </c>
    </row>
    <row r="90" customFormat="false" ht="21" hidden="false" customHeight="true" outlineLevel="0" collapsed="false">
      <c r="A90" s="91" t="str">
        <f aca="false">IF(名簿!$D90="","",名簿!$B90&amp;"")</f>
        <v/>
      </c>
      <c r="B90" s="91" t="str">
        <f aca="false">IF(名簿!$D90="","",名簿!$C90)</f>
        <v/>
      </c>
      <c r="C90" s="59" t="str">
        <f aca="false">IF(名簿!$D90="","",名簿!$D90&amp;IF(名簿!$F90="転出","（転出）",""))</f>
        <v/>
      </c>
      <c r="D90" s="149"/>
      <c r="E90" s="61" t="str">
        <f aca="false">IF(OR($C90="",名簿!$F90="転出"),"",IF($C$2="学級ごと",$A90,IF($C$2="前の単元と同じ",単元12!$E90&amp;"",$D90&amp;"")))</f>
        <v/>
      </c>
      <c r="F90" s="150"/>
      <c r="G90" s="150"/>
      <c r="H90" s="150"/>
      <c r="I90" s="151"/>
      <c r="J90" s="41" t="str">
        <f aca="false">IF($E90="","",$E90&amp;"|"&amp;COUNTIF($E$5:$E90,$E90))</f>
        <v/>
      </c>
      <c r="K90" s="40" t="str">
        <f aca="false">IF($I90="","",LEN($I90))</f>
        <v/>
      </c>
      <c r="L90" s="13"/>
      <c r="M90" s="13"/>
      <c r="N90" s="13"/>
      <c r="O90" s="13"/>
      <c r="P90" s="152"/>
      <c r="Q90" s="149"/>
      <c r="R90" s="152"/>
      <c r="S90" s="152"/>
      <c r="T90" s="62" t="str">
        <f aca="false">IF(OR($C90="",R90=""),"",IF(R90/IF($R$2="",100,$R$2)&gt;=設定!$I$28,設定!$G$8,IF(R90/IF($R$2="",100,$R$2)&lt;設定!$I$29,設定!$G$10,設定!$G$9)))</f>
        <v/>
      </c>
      <c r="U90" s="62" t="str">
        <f aca="false">IF(OR($C90="",S90=""),"",IF(S90/IF($S$2="",100,$S$2)&gt;=設定!$I$28,設定!$G$8,IF(S90/IF($S$2="",100,$S$2)&lt;設定!$I$29,設定!$G$10,設定!$G$9)))</f>
        <v/>
      </c>
    </row>
    <row r="91" customFormat="false" ht="21" hidden="false" customHeight="true" outlineLevel="0" collapsed="false">
      <c r="A91" s="91" t="str">
        <f aca="false">IF(名簿!$D91="","",名簿!$B91&amp;"")</f>
        <v/>
      </c>
      <c r="B91" s="91" t="str">
        <f aca="false">IF(名簿!$D91="","",名簿!$C91)</f>
        <v/>
      </c>
      <c r="C91" s="59" t="str">
        <f aca="false">IF(名簿!$D91="","",名簿!$D91&amp;IF(名簿!$F91="転出","（転出）",""))</f>
        <v/>
      </c>
      <c r="D91" s="149"/>
      <c r="E91" s="61" t="str">
        <f aca="false">IF(OR($C91="",名簿!$F91="転出"),"",IF($C$2="学級ごと",$A91,IF($C$2="前の単元と同じ",単元12!$E91&amp;"",$D91&amp;"")))</f>
        <v/>
      </c>
      <c r="F91" s="150"/>
      <c r="G91" s="150"/>
      <c r="H91" s="150"/>
      <c r="I91" s="151"/>
      <c r="J91" s="41" t="str">
        <f aca="false">IF($E91="","",$E91&amp;"|"&amp;COUNTIF($E$5:$E91,$E91))</f>
        <v/>
      </c>
      <c r="K91" s="40" t="str">
        <f aca="false">IF($I91="","",LEN($I91))</f>
        <v/>
      </c>
      <c r="L91" s="13"/>
      <c r="M91" s="13"/>
      <c r="N91" s="13"/>
      <c r="O91" s="13"/>
      <c r="P91" s="152"/>
      <c r="Q91" s="149"/>
      <c r="R91" s="152"/>
      <c r="S91" s="152"/>
      <c r="T91" s="62" t="str">
        <f aca="false">IF(OR($C91="",R91=""),"",IF(R91/IF($R$2="",100,$R$2)&gt;=設定!$I$28,設定!$G$8,IF(R91/IF($R$2="",100,$R$2)&lt;設定!$I$29,設定!$G$10,設定!$G$9)))</f>
        <v/>
      </c>
      <c r="U91" s="62" t="str">
        <f aca="false">IF(OR($C91="",S91=""),"",IF(S91/IF($S$2="",100,$S$2)&gt;=設定!$I$28,設定!$G$8,IF(S91/IF($S$2="",100,$S$2)&lt;設定!$I$29,設定!$G$10,設定!$G$9)))</f>
        <v/>
      </c>
    </row>
    <row r="92" customFormat="false" ht="21" hidden="false" customHeight="true" outlineLevel="0" collapsed="false">
      <c r="A92" s="91" t="str">
        <f aca="false">IF(名簿!$D92="","",名簿!$B92&amp;"")</f>
        <v/>
      </c>
      <c r="B92" s="91" t="str">
        <f aca="false">IF(名簿!$D92="","",名簿!$C92)</f>
        <v/>
      </c>
      <c r="C92" s="59" t="str">
        <f aca="false">IF(名簿!$D92="","",名簿!$D92&amp;IF(名簿!$F92="転出","（転出）",""))</f>
        <v/>
      </c>
      <c r="D92" s="149"/>
      <c r="E92" s="61" t="str">
        <f aca="false">IF(OR($C92="",名簿!$F92="転出"),"",IF($C$2="学級ごと",$A92,IF($C$2="前の単元と同じ",単元12!$E92&amp;"",$D92&amp;"")))</f>
        <v/>
      </c>
      <c r="F92" s="150"/>
      <c r="G92" s="150"/>
      <c r="H92" s="150"/>
      <c r="I92" s="151"/>
      <c r="J92" s="41" t="str">
        <f aca="false">IF($E92="","",$E92&amp;"|"&amp;COUNTIF($E$5:$E92,$E92))</f>
        <v/>
      </c>
      <c r="K92" s="40" t="str">
        <f aca="false">IF($I92="","",LEN($I92))</f>
        <v/>
      </c>
      <c r="L92" s="13"/>
      <c r="M92" s="13"/>
      <c r="N92" s="13"/>
      <c r="O92" s="13"/>
      <c r="P92" s="152"/>
      <c r="Q92" s="149"/>
      <c r="R92" s="152"/>
      <c r="S92" s="152"/>
      <c r="T92" s="62" t="str">
        <f aca="false">IF(OR($C92="",R92=""),"",IF(R92/IF($R$2="",100,$R$2)&gt;=設定!$I$28,設定!$G$8,IF(R92/IF($R$2="",100,$R$2)&lt;設定!$I$29,設定!$G$10,設定!$G$9)))</f>
        <v/>
      </c>
      <c r="U92" s="62" t="str">
        <f aca="false">IF(OR($C92="",S92=""),"",IF(S92/IF($S$2="",100,$S$2)&gt;=設定!$I$28,設定!$G$8,IF(S92/IF($S$2="",100,$S$2)&lt;設定!$I$29,設定!$G$10,設定!$G$9)))</f>
        <v/>
      </c>
    </row>
    <row r="93" customFormat="false" ht="21" hidden="false" customHeight="true" outlineLevel="0" collapsed="false">
      <c r="A93" s="91" t="str">
        <f aca="false">IF(名簿!$D93="","",名簿!$B93&amp;"")</f>
        <v/>
      </c>
      <c r="B93" s="91" t="str">
        <f aca="false">IF(名簿!$D93="","",名簿!$C93)</f>
        <v/>
      </c>
      <c r="C93" s="59" t="str">
        <f aca="false">IF(名簿!$D93="","",名簿!$D93&amp;IF(名簿!$F93="転出","（転出）",""))</f>
        <v/>
      </c>
      <c r="D93" s="149"/>
      <c r="E93" s="61" t="str">
        <f aca="false">IF(OR($C93="",名簿!$F93="転出"),"",IF($C$2="学級ごと",$A93,IF($C$2="前の単元と同じ",単元12!$E93&amp;"",$D93&amp;"")))</f>
        <v/>
      </c>
      <c r="F93" s="150"/>
      <c r="G93" s="150"/>
      <c r="H93" s="150"/>
      <c r="I93" s="151"/>
      <c r="J93" s="41" t="str">
        <f aca="false">IF($E93="","",$E93&amp;"|"&amp;COUNTIF($E$5:$E93,$E93))</f>
        <v/>
      </c>
      <c r="K93" s="40" t="str">
        <f aca="false">IF($I93="","",LEN($I93))</f>
        <v/>
      </c>
      <c r="L93" s="13"/>
      <c r="M93" s="13"/>
      <c r="N93" s="13"/>
      <c r="O93" s="13"/>
      <c r="P93" s="152"/>
      <c r="Q93" s="149"/>
      <c r="R93" s="152"/>
      <c r="S93" s="152"/>
      <c r="T93" s="62" t="str">
        <f aca="false">IF(OR($C93="",R93=""),"",IF(R93/IF($R$2="",100,$R$2)&gt;=設定!$I$28,設定!$G$8,IF(R93/IF($R$2="",100,$R$2)&lt;設定!$I$29,設定!$G$10,設定!$G$9)))</f>
        <v/>
      </c>
      <c r="U93" s="62" t="str">
        <f aca="false">IF(OR($C93="",S93=""),"",IF(S93/IF($S$2="",100,$S$2)&gt;=設定!$I$28,設定!$G$8,IF(S93/IF($S$2="",100,$S$2)&lt;設定!$I$29,設定!$G$10,設定!$G$9)))</f>
        <v/>
      </c>
    </row>
    <row r="94" customFormat="false" ht="21" hidden="false" customHeight="true" outlineLevel="0" collapsed="false">
      <c r="A94" s="91" t="str">
        <f aca="false">IF(名簿!$D94="","",名簿!$B94&amp;"")</f>
        <v/>
      </c>
      <c r="B94" s="91" t="str">
        <f aca="false">IF(名簿!$D94="","",名簿!$C94)</f>
        <v/>
      </c>
      <c r="C94" s="59" t="str">
        <f aca="false">IF(名簿!$D94="","",名簿!$D94&amp;IF(名簿!$F94="転出","（転出）",""))</f>
        <v/>
      </c>
      <c r="D94" s="149"/>
      <c r="E94" s="61" t="str">
        <f aca="false">IF(OR($C94="",名簿!$F94="転出"),"",IF($C$2="学級ごと",$A94,IF($C$2="前の単元と同じ",単元12!$E94&amp;"",$D94&amp;"")))</f>
        <v/>
      </c>
      <c r="F94" s="150"/>
      <c r="G94" s="150"/>
      <c r="H94" s="150"/>
      <c r="I94" s="151"/>
      <c r="J94" s="41" t="str">
        <f aca="false">IF($E94="","",$E94&amp;"|"&amp;COUNTIF($E$5:$E94,$E94))</f>
        <v/>
      </c>
      <c r="K94" s="40" t="str">
        <f aca="false">IF($I94="","",LEN($I94))</f>
        <v/>
      </c>
      <c r="L94" s="13"/>
      <c r="M94" s="13"/>
      <c r="N94" s="13"/>
      <c r="O94" s="13"/>
      <c r="P94" s="152"/>
      <c r="Q94" s="149"/>
      <c r="R94" s="152"/>
      <c r="S94" s="152"/>
      <c r="T94" s="62" t="str">
        <f aca="false">IF(OR($C94="",R94=""),"",IF(R94/IF($R$2="",100,$R$2)&gt;=設定!$I$28,設定!$G$8,IF(R94/IF($R$2="",100,$R$2)&lt;設定!$I$29,設定!$G$10,設定!$G$9)))</f>
        <v/>
      </c>
      <c r="U94" s="62" t="str">
        <f aca="false">IF(OR($C94="",S94=""),"",IF(S94/IF($S$2="",100,$S$2)&gt;=設定!$I$28,設定!$G$8,IF(S94/IF($S$2="",100,$S$2)&lt;設定!$I$29,設定!$G$10,設定!$G$9)))</f>
        <v/>
      </c>
    </row>
    <row r="95" customFormat="false" ht="21" hidden="false" customHeight="true" outlineLevel="0" collapsed="false">
      <c r="A95" s="91" t="str">
        <f aca="false">IF(名簿!$D95="","",名簿!$B95&amp;"")</f>
        <v/>
      </c>
      <c r="B95" s="91" t="str">
        <f aca="false">IF(名簿!$D95="","",名簿!$C95)</f>
        <v/>
      </c>
      <c r="C95" s="59" t="str">
        <f aca="false">IF(名簿!$D95="","",名簿!$D95&amp;IF(名簿!$F95="転出","（転出）",""))</f>
        <v/>
      </c>
      <c r="D95" s="149"/>
      <c r="E95" s="61" t="str">
        <f aca="false">IF(OR($C95="",名簿!$F95="転出"),"",IF($C$2="学級ごと",$A95,IF($C$2="前の単元と同じ",単元12!$E95&amp;"",$D95&amp;"")))</f>
        <v/>
      </c>
      <c r="F95" s="150"/>
      <c r="G95" s="150"/>
      <c r="H95" s="150"/>
      <c r="I95" s="151"/>
      <c r="J95" s="41" t="str">
        <f aca="false">IF($E95="","",$E95&amp;"|"&amp;COUNTIF($E$5:$E95,$E95))</f>
        <v/>
      </c>
      <c r="K95" s="40" t="str">
        <f aca="false">IF($I95="","",LEN($I95))</f>
        <v/>
      </c>
      <c r="L95" s="13"/>
      <c r="M95" s="13"/>
      <c r="N95" s="13"/>
      <c r="O95" s="13"/>
      <c r="P95" s="152"/>
      <c r="Q95" s="149"/>
      <c r="R95" s="152"/>
      <c r="S95" s="152"/>
      <c r="T95" s="62" t="str">
        <f aca="false">IF(OR($C95="",R95=""),"",IF(R95/IF($R$2="",100,$R$2)&gt;=設定!$I$28,設定!$G$8,IF(R95/IF($R$2="",100,$R$2)&lt;設定!$I$29,設定!$G$10,設定!$G$9)))</f>
        <v/>
      </c>
      <c r="U95" s="62" t="str">
        <f aca="false">IF(OR($C95="",S95=""),"",IF(S95/IF($S$2="",100,$S$2)&gt;=設定!$I$28,設定!$G$8,IF(S95/IF($S$2="",100,$S$2)&lt;設定!$I$29,設定!$G$10,設定!$G$9)))</f>
        <v/>
      </c>
    </row>
    <row r="96" customFormat="false" ht="21" hidden="false" customHeight="true" outlineLevel="0" collapsed="false">
      <c r="A96" s="91" t="str">
        <f aca="false">IF(名簿!$D96="","",名簿!$B96&amp;"")</f>
        <v/>
      </c>
      <c r="B96" s="91" t="str">
        <f aca="false">IF(名簿!$D96="","",名簿!$C96)</f>
        <v/>
      </c>
      <c r="C96" s="59" t="str">
        <f aca="false">IF(名簿!$D96="","",名簿!$D96&amp;IF(名簿!$F96="転出","（転出）",""))</f>
        <v/>
      </c>
      <c r="D96" s="149"/>
      <c r="E96" s="61" t="str">
        <f aca="false">IF(OR($C96="",名簿!$F96="転出"),"",IF($C$2="学級ごと",$A96,IF($C$2="前の単元と同じ",単元12!$E96&amp;"",$D96&amp;"")))</f>
        <v/>
      </c>
      <c r="F96" s="150"/>
      <c r="G96" s="150"/>
      <c r="H96" s="150"/>
      <c r="I96" s="151"/>
      <c r="J96" s="41" t="str">
        <f aca="false">IF($E96="","",$E96&amp;"|"&amp;COUNTIF($E$5:$E96,$E96))</f>
        <v/>
      </c>
      <c r="K96" s="40" t="str">
        <f aca="false">IF($I96="","",LEN($I96))</f>
        <v/>
      </c>
      <c r="L96" s="13"/>
      <c r="M96" s="13"/>
      <c r="N96" s="13"/>
      <c r="O96" s="13"/>
      <c r="P96" s="152"/>
      <c r="Q96" s="149"/>
      <c r="R96" s="152"/>
      <c r="S96" s="152"/>
      <c r="T96" s="62" t="str">
        <f aca="false">IF(OR($C96="",R96=""),"",IF(R96/IF($R$2="",100,$R$2)&gt;=設定!$I$28,設定!$G$8,IF(R96/IF($R$2="",100,$R$2)&lt;設定!$I$29,設定!$G$10,設定!$G$9)))</f>
        <v/>
      </c>
      <c r="U96" s="62" t="str">
        <f aca="false">IF(OR($C96="",S96=""),"",IF(S96/IF($S$2="",100,$S$2)&gt;=設定!$I$28,設定!$G$8,IF(S96/IF($S$2="",100,$S$2)&lt;設定!$I$29,設定!$G$10,設定!$G$9)))</f>
        <v/>
      </c>
    </row>
    <row r="97" customFormat="false" ht="21" hidden="false" customHeight="true" outlineLevel="0" collapsed="false">
      <c r="A97" s="91" t="str">
        <f aca="false">IF(名簿!$D97="","",名簿!$B97&amp;"")</f>
        <v/>
      </c>
      <c r="B97" s="91" t="str">
        <f aca="false">IF(名簿!$D97="","",名簿!$C97)</f>
        <v/>
      </c>
      <c r="C97" s="59" t="str">
        <f aca="false">IF(名簿!$D97="","",名簿!$D97&amp;IF(名簿!$F97="転出","（転出）",""))</f>
        <v/>
      </c>
      <c r="D97" s="149"/>
      <c r="E97" s="61" t="str">
        <f aca="false">IF(OR($C97="",名簿!$F97="転出"),"",IF($C$2="学級ごと",$A97,IF($C$2="前の単元と同じ",単元12!$E97&amp;"",$D97&amp;"")))</f>
        <v/>
      </c>
      <c r="F97" s="150"/>
      <c r="G97" s="150"/>
      <c r="H97" s="150"/>
      <c r="I97" s="151"/>
      <c r="J97" s="41" t="str">
        <f aca="false">IF($E97="","",$E97&amp;"|"&amp;COUNTIF($E$5:$E97,$E97))</f>
        <v/>
      </c>
      <c r="K97" s="40" t="str">
        <f aca="false">IF($I97="","",LEN($I97))</f>
        <v/>
      </c>
      <c r="L97" s="13"/>
      <c r="M97" s="13"/>
      <c r="N97" s="13"/>
      <c r="O97" s="13"/>
      <c r="P97" s="152"/>
      <c r="Q97" s="149"/>
      <c r="R97" s="152"/>
      <c r="S97" s="152"/>
      <c r="T97" s="62" t="str">
        <f aca="false">IF(OR($C97="",R97=""),"",IF(R97/IF($R$2="",100,$R$2)&gt;=設定!$I$28,設定!$G$8,IF(R97/IF($R$2="",100,$R$2)&lt;設定!$I$29,設定!$G$10,設定!$G$9)))</f>
        <v/>
      </c>
      <c r="U97" s="62" t="str">
        <f aca="false">IF(OR($C97="",S97=""),"",IF(S97/IF($S$2="",100,$S$2)&gt;=設定!$I$28,設定!$G$8,IF(S97/IF($S$2="",100,$S$2)&lt;設定!$I$29,設定!$G$10,設定!$G$9)))</f>
        <v/>
      </c>
    </row>
    <row r="98" customFormat="false" ht="21" hidden="false" customHeight="true" outlineLevel="0" collapsed="false">
      <c r="A98" s="91" t="str">
        <f aca="false">IF(名簿!$D98="","",名簿!$B98&amp;"")</f>
        <v/>
      </c>
      <c r="B98" s="91" t="str">
        <f aca="false">IF(名簿!$D98="","",名簿!$C98)</f>
        <v/>
      </c>
      <c r="C98" s="59" t="str">
        <f aca="false">IF(名簿!$D98="","",名簿!$D98&amp;IF(名簿!$F98="転出","（転出）",""))</f>
        <v/>
      </c>
      <c r="D98" s="149"/>
      <c r="E98" s="61" t="str">
        <f aca="false">IF(OR($C98="",名簿!$F98="転出"),"",IF($C$2="学級ごと",$A98,IF($C$2="前の単元と同じ",単元12!$E98&amp;"",$D98&amp;"")))</f>
        <v/>
      </c>
      <c r="F98" s="150"/>
      <c r="G98" s="150"/>
      <c r="H98" s="150"/>
      <c r="I98" s="151"/>
      <c r="J98" s="41" t="str">
        <f aca="false">IF($E98="","",$E98&amp;"|"&amp;COUNTIF($E$5:$E98,$E98))</f>
        <v/>
      </c>
      <c r="K98" s="40" t="str">
        <f aca="false">IF($I98="","",LEN($I98))</f>
        <v/>
      </c>
      <c r="L98" s="13"/>
      <c r="M98" s="13"/>
      <c r="N98" s="13"/>
      <c r="O98" s="13"/>
      <c r="P98" s="152"/>
      <c r="Q98" s="149"/>
      <c r="R98" s="152"/>
      <c r="S98" s="152"/>
      <c r="T98" s="62" t="str">
        <f aca="false">IF(OR($C98="",R98=""),"",IF(R98/IF($R$2="",100,$R$2)&gt;=設定!$I$28,設定!$G$8,IF(R98/IF($R$2="",100,$R$2)&lt;設定!$I$29,設定!$G$10,設定!$G$9)))</f>
        <v/>
      </c>
      <c r="U98" s="62" t="str">
        <f aca="false">IF(OR($C98="",S98=""),"",IF(S98/IF($S$2="",100,$S$2)&gt;=設定!$I$28,設定!$G$8,IF(S98/IF($S$2="",100,$S$2)&lt;設定!$I$29,設定!$G$10,設定!$G$9)))</f>
        <v/>
      </c>
    </row>
    <row r="99" customFormat="false" ht="21" hidden="false" customHeight="true" outlineLevel="0" collapsed="false">
      <c r="A99" s="91" t="str">
        <f aca="false">IF(名簿!$D99="","",名簿!$B99&amp;"")</f>
        <v/>
      </c>
      <c r="B99" s="91" t="str">
        <f aca="false">IF(名簿!$D99="","",名簿!$C99)</f>
        <v/>
      </c>
      <c r="C99" s="59" t="str">
        <f aca="false">IF(名簿!$D99="","",名簿!$D99&amp;IF(名簿!$F99="転出","（転出）",""))</f>
        <v/>
      </c>
      <c r="D99" s="149"/>
      <c r="E99" s="61" t="str">
        <f aca="false">IF(OR($C99="",名簿!$F99="転出"),"",IF($C$2="学級ごと",$A99,IF($C$2="前の単元と同じ",単元12!$E99&amp;"",$D99&amp;"")))</f>
        <v/>
      </c>
      <c r="F99" s="150"/>
      <c r="G99" s="150"/>
      <c r="H99" s="150"/>
      <c r="I99" s="151"/>
      <c r="J99" s="41" t="str">
        <f aca="false">IF($E99="","",$E99&amp;"|"&amp;COUNTIF($E$5:$E99,$E99))</f>
        <v/>
      </c>
      <c r="K99" s="40" t="str">
        <f aca="false">IF($I99="","",LEN($I99))</f>
        <v/>
      </c>
      <c r="L99" s="13"/>
      <c r="M99" s="13"/>
      <c r="N99" s="13"/>
      <c r="O99" s="13"/>
      <c r="P99" s="152"/>
      <c r="Q99" s="149"/>
      <c r="R99" s="152"/>
      <c r="S99" s="152"/>
      <c r="T99" s="62" t="str">
        <f aca="false">IF(OR($C99="",R99=""),"",IF(R99/IF($R$2="",100,$R$2)&gt;=設定!$I$28,設定!$G$8,IF(R99/IF($R$2="",100,$R$2)&lt;設定!$I$29,設定!$G$10,設定!$G$9)))</f>
        <v/>
      </c>
      <c r="U99" s="62" t="str">
        <f aca="false">IF(OR($C99="",S99=""),"",IF(S99/IF($S$2="",100,$S$2)&gt;=設定!$I$28,設定!$G$8,IF(S99/IF($S$2="",100,$S$2)&lt;設定!$I$29,設定!$G$10,設定!$G$9)))</f>
        <v/>
      </c>
    </row>
    <row r="100" customFormat="false" ht="21" hidden="false" customHeight="true" outlineLevel="0" collapsed="false">
      <c r="A100" s="91" t="str">
        <f aca="false">IF(名簿!$D100="","",名簿!$B100&amp;"")</f>
        <v/>
      </c>
      <c r="B100" s="91" t="str">
        <f aca="false">IF(名簿!$D100="","",名簿!$C100)</f>
        <v/>
      </c>
      <c r="C100" s="59" t="str">
        <f aca="false">IF(名簿!$D100="","",名簿!$D100&amp;IF(名簿!$F100="転出","（転出）",""))</f>
        <v/>
      </c>
      <c r="D100" s="149"/>
      <c r="E100" s="61" t="str">
        <f aca="false">IF(OR($C100="",名簿!$F100="転出"),"",IF($C$2="学級ごと",$A100,IF($C$2="前の単元と同じ",単元12!$E100&amp;"",$D100&amp;"")))</f>
        <v/>
      </c>
      <c r="F100" s="150"/>
      <c r="G100" s="150"/>
      <c r="H100" s="150"/>
      <c r="I100" s="151"/>
      <c r="J100" s="41" t="str">
        <f aca="false">IF($E100="","",$E100&amp;"|"&amp;COUNTIF($E$5:$E100,$E100))</f>
        <v/>
      </c>
      <c r="K100" s="40" t="str">
        <f aca="false">IF($I100="","",LEN($I100))</f>
        <v/>
      </c>
      <c r="L100" s="13"/>
      <c r="M100" s="13"/>
      <c r="N100" s="13"/>
      <c r="O100" s="13"/>
      <c r="P100" s="152"/>
      <c r="Q100" s="149"/>
      <c r="R100" s="152"/>
      <c r="S100" s="152"/>
      <c r="T100" s="62" t="str">
        <f aca="false">IF(OR($C100="",R100=""),"",IF(R100/IF($R$2="",100,$R$2)&gt;=設定!$I$28,設定!$G$8,IF(R100/IF($R$2="",100,$R$2)&lt;設定!$I$29,設定!$G$10,設定!$G$9)))</f>
        <v/>
      </c>
      <c r="U100" s="62" t="str">
        <f aca="false">IF(OR($C100="",S100=""),"",IF(S100/IF($S$2="",100,$S$2)&gt;=設定!$I$28,設定!$G$8,IF(S100/IF($S$2="",100,$S$2)&lt;設定!$I$29,設定!$G$10,設定!$G$9)))</f>
        <v/>
      </c>
    </row>
    <row r="101" customFormat="false" ht="21" hidden="false" customHeight="true" outlineLevel="0" collapsed="false">
      <c r="A101" s="91" t="str">
        <f aca="false">IF(名簿!$D101="","",名簿!$B101&amp;"")</f>
        <v/>
      </c>
      <c r="B101" s="91" t="str">
        <f aca="false">IF(名簿!$D101="","",名簿!$C101)</f>
        <v/>
      </c>
      <c r="C101" s="59" t="str">
        <f aca="false">IF(名簿!$D101="","",名簿!$D101&amp;IF(名簿!$F101="転出","（転出）",""))</f>
        <v/>
      </c>
      <c r="D101" s="149"/>
      <c r="E101" s="61" t="str">
        <f aca="false">IF(OR($C101="",名簿!$F101="転出"),"",IF($C$2="学級ごと",$A101,IF($C$2="前の単元と同じ",単元12!$E101&amp;"",$D101&amp;"")))</f>
        <v/>
      </c>
      <c r="F101" s="150"/>
      <c r="G101" s="150"/>
      <c r="H101" s="150"/>
      <c r="I101" s="151"/>
      <c r="J101" s="41" t="str">
        <f aca="false">IF($E101="","",$E101&amp;"|"&amp;COUNTIF($E$5:$E101,$E101))</f>
        <v/>
      </c>
      <c r="K101" s="40" t="str">
        <f aca="false">IF($I101="","",LEN($I101))</f>
        <v/>
      </c>
      <c r="L101" s="13"/>
      <c r="M101" s="13"/>
      <c r="N101" s="13"/>
      <c r="O101" s="13"/>
      <c r="P101" s="152"/>
      <c r="Q101" s="149"/>
      <c r="R101" s="152"/>
      <c r="S101" s="152"/>
      <c r="T101" s="62" t="str">
        <f aca="false">IF(OR($C101="",R101=""),"",IF(R101/IF($R$2="",100,$R$2)&gt;=設定!$I$28,設定!$G$8,IF(R101/IF($R$2="",100,$R$2)&lt;設定!$I$29,設定!$G$10,設定!$G$9)))</f>
        <v/>
      </c>
      <c r="U101" s="62" t="str">
        <f aca="false">IF(OR($C101="",S101=""),"",IF(S101/IF($S$2="",100,$S$2)&gt;=設定!$I$28,設定!$G$8,IF(S101/IF($S$2="",100,$S$2)&lt;設定!$I$29,設定!$G$10,設定!$G$9)))</f>
        <v/>
      </c>
    </row>
    <row r="102" customFormat="false" ht="21" hidden="false" customHeight="true" outlineLevel="0" collapsed="false">
      <c r="A102" s="91" t="str">
        <f aca="false">IF(名簿!$D102="","",名簿!$B102&amp;"")</f>
        <v/>
      </c>
      <c r="B102" s="91" t="str">
        <f aca="false">IF(名簿!$D102="","",名簿!$C102)</f>
        <v/>
      </c>
      <c r="C102" s="59" t="str">
        <f aca="false">IF(名簿!$D102="","",名簿!$D102&amp;IF(名簿!$F102="転出","（転出）",""))</f>
        <v/>
      </c>
      <c r="D102" s="149"/>
      <c r="E102" s="61" t="str">
        <f aca="false">IF(OR($C102="",名簿!$F102="転出"),"",IF($C$2="学級ごと",$A102,IF($C$2="前の単元と同じ",単元12!$E102&amp;"",$D102&amp;"")))</f>
        <v/>
      </c>
      <c r="F102" s="150"/>
      <c r="G102" s="150"/>
      <c r="H102" s="150"/>
      <c r="I102" s="151"/>
      <c r="J102" s="41" t="str">
        <f aca="false">IF($E102="","",$E102&amp;"|"&amp;COUNTIF($E$5:$E102,$E102))</f>
        <v/>
      </c>
      <c r="K102" s="40" t="str">
        <f aca="false">IF($I102="","",LEN($I102))</f>
        <v/>
      </c>
      <c r="L102" s="13"/>
      <c r="M102" s="13"/>
      <c r="N102" s="13"/>
      <c r="O102" s="13"/>
      <c r="P102" s="152"/>
      <c r="Q102" s="149"/>
      <c r="R102" s="152"/>
      <c r="S102" s="152"/>
      <c r="T102" s="62" t="str">
        <f aca="false">IF(OR($C102="",R102=""),"",IF(R102/IF($R$2="",100,$R$2)&gt;=設定!$I$28,設定!$G$8,IF(R102/IF($R$2="",100,$R$2)&lt;設定!$I$29,設定!$G$10,設定!$G$9)))</f>
        <v/>
      </c>
      <c r="U102" s="62" t="str">
        <f aca="false">IF(OR($C102="",S102=""),"",IF(S102/IF($S$2="",100,$S$2)&gt;=設定!$I$28,設定!$G$8,IF(S102/IF($S$2="",100,$S$2)&lt;設定!$I$29,設定!$G$10,設定!$G$9)))</f>
        <v/>
      </c>
    </row>
    <row r="103" customFormat="false" ht="21" hidden="false" customHeight="true" outlineLevel="0" collapsed="false">
      <c r="A103" s="91" t="str">
        <f aca="false">IF(名簿!$D103="","",名簿!$B103&amp;"")</f>
        <v/>
      </c>
      <c r="B103" s="91" t="str">
        <f aca="false">IF(名簿!$D103="","",名簿!$C103)</f>
        <v/>
      </c>
      <c r="C103" s="59" t="str">
        <f aca="false">IF(名簿!$D103="","",名簿!$D103&amp;IF(名簿!$F103="転出","（転出）",""))</f>
        <v/>
      </c>
      <c r="D103" s="149"/>
      <c r="E103" s="61" t="str">
        <f aca="false">IF(OR($C103="",名簿!$F103="転出"),"",IF($C$2="学級ごと",$A103,IF($C$2="前の単元と同じ",単元12!$E103&amp;"",$D103&amp;"")))</f>
        <v/>
      </c>
      <c r="F103" s="150"/>
      <c r="G103" s="150"/>
      <c r="H103" s="150"/>
      <c r="I103" s="151"/>
      <c r="J103" s="41" t="str">
        <f aca="false">IF($E103="","",$E103&amp;"|"&amp;COUNTIF($E$5:$E103,$E103))</f>
        <v/>
      </c>
      <c r="K103" s="40" t="str">
        <f aca="false">IF($I103="","",LEN($I103))</f>
        <v/>
      </c>
      <c r="L103" s="13"/>
      <c r="M103" s="13"/>
      <c r="N103" s="13"/>
      <c r="O103" s="13"/>
      <c r="P103" s="152"/>
      <c r="Q103" s="149"/>
      <c r="R103" s="152"/>
      <c r="S103" s="152"/>
      <c r="T103" s="62" t="str">
        <f aca="false">IF(OR($C103="",R103=""),"",IF(R103/IF($R$2="",100,$R$2)&gt;=設定!$I$28,設定!$G$8,IF(R103/IF($R$2="",100,$R$2)&lt;設定!$I$29,設定!$G$10,設定!$G$9)))</f>
        <v/>
      </c>
      <c r="U103" s="62" t="str">
        <f aca="false">IF(OR($C103="",S103=""),"",IF(S103/IF($S$2="",100,$S$2)&gt;=設定!$I$28,設定!$G$8,IF(S103/IF($S$2="",100,$S$2)&lt;設定!$I$29,設定!$G$10,設定!$G$9)))</f>
        <v/>
      </c>
    </row>
    <row r="104" customFormat="false" ht="21" hidden="false" customHeight="true" outlineLevel="0" collapsed="false">
      <c r="A104" s="91" t="str">
        <f aca="false">IF(名簿!$D104="","",名簿!$B104&amp;"")</f>
        <v/>
      </c>
      <c r="B104" s="91" t="str">
        <f aca="false">IF(名簿!$D104="","",名簿!$C104)</f>
        <v/>
      </c>
      <c r="C104" s="59" t="str">
        <f aca="false">IF(名簿!$D104="","",名簿!$D104&amp;IF(名簿!$F104="転出","（転出）",""))</f>
        <v/>
      </c>
      <c r="D104" s="149"/>
      <c r="E104" s="61" t="str">
        <f aca="false">IF(OR($C104="",名簿!$F104="転出"),"",IF($C$2="学級ごと",$A104,IF($C$2="前の単元と同じ",単元12!$E104&amp;"",$D104&amp;"")))</f>
        <v/>
      </c>
      <c r="F104" s="150"/>
      <c r="G104" s="150"/>
      <c r="H104" s="150"/>
      <c r="I104" s="151"/>
      <c r="J104" s="41" t="str">
        <f aca="false">IF($E104="","",$E104&amp;"|"&amp;COUNTIF($E$5:$E104,$E104))</f>
        <v/>
      </c>
      <c r="K104" s="40" t="str">
        <f aca="false">IF($I104="","",LEN($I104))</f>
        <v/>
      </c>
      <c r="L104" s="13"/>
      <c r="M104" s="13"/>
      <c r="N104" s="13"/>
      <c r="O104" s="13"/>
      <c r="P104" s="152"/>
      <c r="Q104" s="149"/>
      <c r="R104" s="152"/>
      <c r="S104" s="152"/>
      <c r="T104" s="62" t="str">
        <f aca="false">IF(OR($C104="",R104=""),"",IF(R104/IF($R$2="",100,$R$2)&gt;=設定!$I$28,設定!$G$8,IF(R104/IF($R$2="",100,$R$2)&lt;設定!$I$29,設定!$G$10,設定!$G$9)))</f>
        <v/>
      </c>
      <c r="U104" s="62" t="str">
        <f aca="false">IF(OR($C104="",S104=""),"",IF(S104/IF($S$2="",100,$S$2)&gt;=設定!$I$28,設定!$G$8,IF(S104/IF($S$2="",100,$S$2)&lt;設定!$I$29,設定!$G$10,設定!$G$9)))</f>
        <v/>
      </c>
    </row>
    <row r="105" customFormat="false" ht="21" hidden="false" customHeight="true" outlineLevel="0" collapsed="false">
      <c r="A105" s="91" t="str">
        <f aca="false">IF(名簿!$D105="","",名簿!$B105&amp;"")</f>
        <v/>
      </c>
      <c r="B105" s="91" t="str">
        <f aca="false">IF(名簿!$D105="","",名簿!$C105)</f>
        <v/>
      </c>
      <c r="C105" s="59" t="str">
        <f aca="false">IF(名簿!$D105="","",名簿!$D105&amp;IF(名簿!$F105="転出","（転出）",""))</f>
        <v/>
      </c>
      <c r="D105" s="149"/>
      <c r="E105" s="61" t="str">
        <f aca="false">IF(OR($C105="",名簿!$F105="転出"),"",IF($C$2="学級ごと",$A105,IF($C$2="前の単元と同じ",単元12!$E105&amp;"",$D105&amp;"")))</f>
        <v/>
      </c>
      <c r="F105" s="150"/>
      <c r="G105" s="150"/>
      <c r="H105" s="150"/>
      <c r="I105" s="151"/>
      <c r="J105" s="41" t="str">
        <f aca="false">IF($E105="","",$E105&amp;"|"&amp;COUNTIF($E$5:$E105,$E105))</f>
        <v/>
      </c>
      <c r="K105" s="40" t="str">
        <f aca="false">IF($I105="","",LEN($I105))</f>
        <v/>
      </c>
      <c r="L105" s="13"/>
      <c r="M105" s="13"/>
      <c r="N105" s="13"/>
      <c r="O105" s="13"/>
      <c r="P105" s="152"/>
      <c r="Q105" s="149"/>
      <c r="R105" s="152"/>
      <c r="S105" s="152"/>
      <c r="T105" s="62" t="str">
        <f aca="false">IF(OR($C105="",R105=""),"",IF(R105/IF($R$2="",100,$R$2)&gt;=設定!$I$28,設定!$G$8,IF(R105/IF($R$2="",100,$R$2)&lt;設定!$I$29,設定!$G$10,設定!$G$9)))</f>
        <v/>
      </c>
      <c r="U105" s="62" t="str">
        <f aca="false">IF(OR($C105="",S105=""),"",IF(S105/IF($S$2="",100,$S$2)&gt;=設定!$I$28,設定!$G$8,IF(S105/IF($S$2="",100,$S$2)&lt;設定!$I$29,設定!$G$10,設定!$G$9)))</f>
        <v/>
      </c>
    </row>
    <row r="106" customFormat="false" ht="21" hidden="false" customHeight="true" outlineLevel="0" collapsed="false">
      <c r="A106" s="91" t="str">
        <f aca="false">IF(名簿!$D106="","",名簿!$B106&amp;"")</f>
        <v/>
      </c>
      <c r="B106" s="91" t="str">
        <f aca="false">IF(名簿!$D106="","",名簿!$C106)</f>
        <v/>
      </c>
      <c r="C106" s="59" t="str">
        <f aca="false">IF(名簿!$D106="","",名簿!$D106&amp;IF(名簿!$F106="転出","（転出）",""))</f>
        <v/>
      </c>
      <c r="D106" s="149"/>
      <c r="E106" s="61" t="str">
        <f aca="false">IF(OR($C106="",名簿!$F106="転出"),"",IF($C$2="学級ごと",$A106,IF($C$2="前の単元と同じ",単元12!$E106&amp;"",$D106&amp;"")))</f>
        <v/>
      </c>
      <c r="F106" s="150"/>
      <c r="G106" s="150"/>
      <c r="H106" s="150"/>
      <c r="I106" s="151"/>
      <c r="J106" s="41" t="str">
        <f aca="false">IF($E106="","",$E106&amp;"|"&amp;COUNTIF($E$5:$E106,$E106))</f>
        <v/>
      </c>
      <c r="K106" s="40" t="str">
        <f aca="false">IF($I106="","",LEN($I106))</f>
        <v/>
      </c>
      <c r="L106" s="13"/>
      <c r="M106" s="13"/>
      <c r="N106" s="13"/>
      <c r="O106" s="13"/>
      <c r="P106" s="152"/>
      <c r="Q106" s="149"/>
      <c r="R106" s="152"/>
      <c r="S106" s="152"/>
      <c r="T106" s="62" t="str">
        <f aca="false">IF(OR($C106="",R106=""),"",IF(R106/IF($R$2="",100,$R$2)&gt;=設定!$I$28,設定!$G$8,IF(R106/IF($R$2="",100,$R$2)&lt;設定!$I$29,設定!$G$10,設定!$G$9)))</f>
        <v/>
      </c>
      <c r="U106" s="62" t="str">
        <f aca="false">IF(OR($C106="",S106=""),"",IF(S106/IF($S$2="",100,$S$2)&gt;=設定!$I$28,設定!$G$8,IF(S106/IF($S$2="",100,$S$2)&lt;設定!$I$29,設定!$G$10,設定!$G$9)))</f>
        <v/>
      </c>
    </row>
    <row r="107" customFormat="false" ht="21" hidden="false" customHeight="true" outlineLevel="0" collapsed="false">
      <c r="A107" s="91" t="str">
        <f aca="false">IF(名簿!$D107="","",名簿!$B107&amp;"")</f>
        <v/>
      </c>
      <c r="B107" s="91" t="str">
        <f aca="false">IF(名簿!$D107="","",名簿!$C107)</f>
        <v/>
      </c>
      <c r="C107" s="59" t="str">
        <f aca="false">IF(名簿!$D107="","",名簿!$D107&amp;IF(名簿!$F107="転出","（転出）",""))</f>
        <v/>
      </c>
      <c r="D107" s="149"/>
      <c r="E107" s="61" t="str">
        <f aca="false">IF(OR($C107="",名簿!$F107="転出"),"",IF($C$2="学級ごと",$A107,IF($C$2="前の単元と同じ",単元12!$E107&amp;"",$D107&amp;"")))</f>
        <v/>
      </c>
      <c r="F107" s="150"/>
      <c r="G107" s="150"/>
      <c r="H107" s="150"/>
      <c r="I107" s="151"/>
      <c r="J107" s="41" t="str">
        <f aca="false">IF($E107="","",$E107&amp;"|"&amp;COUNTIF($E$5:$E107,$E107))</f>
        <v/>
      </c>
      <c r="K107" s="40" t="str">
        <f aca="false">IF($I107="","",LEN($I107))</f>
        <v/>
      </c>
      <c r="L107" s="13"/>
      <c r="M107" s="13"/>
      <c r="N107" s="13"/>
      <c r="O107" s="13"/>
      <c r="P107" s="152"/>
      <c r="Q107" s="149"/>
      <c r="R107" s="152"/>
      <c r="S107" s="152"/>
      <c r="T107" s="62" t="str">
        <f aca="false">IF(OR($C107="",R107=""),"",IF(R107/IF($R$2="",100,$R$2)&gt;=設定!$I$28,設定!$G$8,IF(R107/IF($R$2="",100,$R$2)&lt;設定!$I$29,設定!$G$10,設定!$G$9)))</f>
        <v/>
      </c>
      <c r="U107" s="62" t="str">
        <f aca="false">IF(OR($C107="",S107=""),"",IF(S107/IF($S$2="",100,$S$2)&gt;=設定!$I$28,設定!$G$8,IF(S107/IF($S$2="",100,$S$2)&lt;設定!$I$29,設定!$G$10,設定!$G$9)))</f>
        <v/>
      </c>
    </row>
    <row r="108" customFormat="false" ht="21" hidden="false" customHeight="true" outlineLevel="0" collapsed="false">
      <c r="A108" s="91" t="str">
        <f aca="false">IF(名簿!$D108="","",名簿!$B108&amp;"")</f>
        <v/>
      </c>
      <c r="B108" s="91" t="str">
        <f aca="false">IF(名簿!$D108="","",名簿!$C108)</f>
        <v/>
      </c>
      <c r="C108" s="59" t="str">
        <f aca="false">IF(名簿!$D108="","",名簿!$D108&amp;IF(名簿!$F108="転出","（転出）",""))</f>
        <v/>
      </c>
      <c r="D108" s="149"/>
      <c r="E108" s="61" t="str">
        <f aca="false">IF(OR($C108="",名簿!$F108="転出"),"",IF($C$2="学級ごと",$A108,IF($C$2="前の単元と同じ",単元12!$E108&amp;"",$D108&amp;"")))</f>
        <v/>
      </c>
      <c r="F108" s="150"/>
      <c r="G108" s="150"/>
      <c r="H108" s="150"/>
      <c r="I108" s="151"/>
      <c r="J108" s="41" t="str">
        <f aca="false">IF($E108="","",$E108&amp;"|"&amp;COUNTIF($E$5:$E108,$E108))</f>
        <v/>
      </c>
      <c r="K108" s="40" t="str">
        <f aca="false">IF($I108="","",LEN($I108))</f>
        <v/>
      </c>
      <c r="L108" s="13"/>
      <c r="M108" s="13"/>
      <c r="N108" s="13"/>
      <c r="O108" s="13"/>
      <c r="P108" s="152"/>
      <c r="Q108" s="149"/>
      <c r="R108" s="152"/>
      <c r="S108" s="152"/>
      <c r="T108" s="62" t="str">
        <f aca="false">IF(OR($C108="",R108=""),"",IF(R108/IF($R$2="",100,$R$2)&gt;=設定!$I$28,設定!$G$8,IF(R108/IF($R$2="",100,$R$2)&lt;設定!$I$29,設定!$G$10,設定!$G$9)))</f>
        <v/>
      </c>
      <c r="U108" s="62" t="str">
        <f aca="false">IF(OR($C108="",S108=""),"",IF(S108/IF($S$2="",100,$S$2)&gt;=設定!$I$28,設定!$G$8,IF(S108/IF($S$2="",100,$S$2)&lt;設定!$I$29,設定!$G$10,設定!$G$9)))</f>
        <v/>
      </c>
    </row>
    <row r="109" customFormat="false" ht="21" hidden="false" customHeight="true" outlineLevel="0" collapsed="false">
      <c r="A109" s="91" t="str">
        <f aca="false">IF(名簿!$D109="","",名簿!$B109&amp;"")</f>
        <v/>
      </c>
      <c r="B109" s="91" t="str">
        <f aca="false">IF(名簿!$D109="","",名簿!$C109)</f>
        <v/>
      </c>
      <c r="C109" s="59" t="str">
        <f aca="false">IF(名簿!$D109="","",名簿!$D109&amp;IF(名簿!$F109="転出","（転出）",""))</f>
        <v/>
      </c>
      <c r="D109" s="149"/>
      <c r="E109" s="61" t="str">
        <f aca="false">IF(OR($C109="",名簿!$F109="転出"),"",IF($C$2="学級ごと",$A109,IF($C$2="前の単元と同じ",単元12!$E109&amp;"",$D109&amp;"")))</f>
        <v/>
      </c>
      <c r="F109" s="150"/>
      <c r="G109" s="150"/>
      <c r="H109" s="150"/>
      <c r="I109" s="151"/>
      <c r="J109" s="41" t="str">
        <f aca="false">IF($E109="","",$E109&amp;"|"&amp;COUNTIF($E$5:$E109,$E109))</f>
        <v/>
      </c>
      <c r="K109" s="40" t="str">
        <f aca="false">IF($I109="","",LEN($I109))</f>
        <v/>
      </c>
      <c r="L109" s="13"/>
      <c r="M109" s="13"/>
      <c r="N109" s="13"/>
      <c r="O109" s="13"/>
      <c r="P109" s="152"/>
      <c r="Q109" s="149"/>
      <c r="R109" s="152"/>
      <c r="S109" s="152"/>
      <c r="T109" s="62" t="str">
        <f aca="false">IF(OR($C109="",R109=""),"",IF(R109/IF($R$2="",100,$R$2)&gt;=設定!$I$28,設定!$G$8,IF(R109/IF($R$2="",100,$R$2)&lt;設定!$I$29,設定!$G$10,設定!$G$9)))</f>
        <v/>
      </c>
      <c r="U109" s="62" t="str">
        <f aca="false">IF(OR($C109="",S109=""),"",IF(S109/IF($S$2="",100,$S$2)&gt;=設定!$I$28,設定!$G$8,IF(S109/IF($S$2="",100,$S$2)&lt;設定!$I$29,設定!$G$10,設定!$G$9)))</f>
        <v/>
      </c>
    </row>
    <row r="110" customFormat="false" ht="21" hidden="false" customHeight="true" outlineLevel="0" collapsed="false">
      <c r="A110" s="91" t="str">
        <f aca="false">IF(名簿!$D110="","",名簿!$B110&amp;"")</f>
        <v/>
      </c>
      <c r="B110" s="91" t="str">
        <f aca="false">IF(名簿!$D110="","",名簿!$C110)</f>
        <v/>
      </c>
      <c r="C110" s="59" t="str">
        <f aca="false">IF(名簿!$D110="","",名簿!$D110&amp;IF(名簿!$F110="転出","（転出）",""))</f>
        <v/>
      </c>
      <c r="D110" s="149"/>
      <c r="E110" s="61" t="str">
        <f aca="false">IF(OR($C110="",名簿!$F110="転出"),"",IF($C$2="学級ごと",$A110,IF($C$2="前の単元と同じ",単元12!$E110&amp;"",$D110&amp;"")))</f>
        <v/>
      </c>
      <c r="F110" s="150"/>
      <c r="G110" s="150"/>
      <c r="H110" s="150"/>
      <c r="I110" s="151"/>
      <c r="J110" s="41" t="str">
        <f aca="false">IF($E110="","",$E110&amp;"|"&amp;COUNTIF($E$5:$E110,$E110))</f>
        <v/>
      </c>
      <c r="K110" s="40" t="str">
        <f aca="false">IF($I110="","",LEN($I110))</f>
        <v/>
      </c>
      <c r="L110" s="13"/>
      <c r="M110" s="13"/>
      <c r="N110" s="13"/>
      <c r="O110" s="13"/>
      <c r="P110" s="152"/>
      <c r="Q110" s="149"/>
      <c r="R110" s="152"/>
      <c r="S110" s="152"/>
      <c r="T110" s="62" t="str">
        <f aca="false">IF(OR($C110="",R110=""),"",IF(R110/IF($R$2="",100,$R$2)&gt;=設定!$I$28,設定!$G$8,IF(R110/IF($R$2="",100,$R$2)&lt;設定!$I$29,設定!$G$10,設定!$G$9)))</f>
        <v/>
      </c>
      <c r="U110" s="62" t="str">
        <f aca="false">IF(OR($C110="",S110=""),"",IF(S110/IF($S$2="",100,$S$2)&gt;=設定!$I$28,設定!$G$8,IF(S110/IF($S$2="",100,$S$2)&lt;設定!$I$29,設定!$G$10,設定!$G$9)))</f>
        <v/>
      </c>
    </row>
    <row r="111" customFormat="false" ht="21" hidden="false" customHeight="true" outlineLevel="0" collapsed="false">
      <c r="A111" s="91" t="str">
        <f aca="false">IF(名簿!$D111="","",名簿!$B111&amp;"")</f>
        <v/>
      </c>
      <c r="B111" s="91" t="str">
        <f aca="false">IF(名簿!$D111="","",名簿!$C111)</f>
        <v/>
      </c>
      <c r="C111" s="59" t="str">
        <f aca="false">IF(名簿!$D111="","",名簿!$D111&amp;IF(名簿!$F111="転出","（転出）",""))</f>
        <v/>
      </c>
      <c r="D111" s="149"/>
      <c r="E111" s="61" t="str">
        <f aca="false">IF(OR($C111="",名簿!$F111="転出"),"",IF($C$2="学級ごと",$A111,IF($C$2="前の単元と同じ",単元12!$E111&amp;"",$D111&amp;"")))</f>
        <v/>
      </c>
      <c r="F111" s="150"/>
      <c r="G111" s="150"/>
      <c r="H111" s="150"/>
      <c r="I111" s="151"/>
      <c r="J111" s="41" t="str">
        <f aca="false">IF($E111="","",$E111&amp;"|"&amp;COUNTIF($E$5:$E111,$E111))</f>
        <v/>
      </c>
      <c r="K111" s="40" t="str">
        <f aca="false">IF($I111="","",LEN($I111))</f>
        <v/>
      </c>
      <c r="L111" s="13"/>
      <c r="M111" s="13"/>
      <c r="N111" s="13"/>
      <c r="O111" s="13"/>
      <c r="P111" s="152"/>
      <c r="Q111" s="149"/>
      <c r="R111" s="152"/>
      <c r="S111" s="152"/>
      <c r="T111" s="62" t="str">
        <f aca="false">IF(OR($C111="",R111=""),"",IF(R111/IF($R$2="",100,$R$2)&gt;=設定!$I$28,設定!$G$8,IF(R111/IF($R$2="",100,$R$2)&lt;設定!$I$29,設定!$G$10,設定!$G$9)))</f>
        <v/>
      </c>
      <c r="U111" s="62" t="str">
        <f aca="false">IF(OR($C111="",S111=""),"",IF(S111/IF($S$2="",100,$S$2)&gt;=設定!$I$28,設定!$G$8,IF(S111/IF($S$2="",100,$S$2)&lt;設定!$I$29,設定!$G$10,設定!$G$9)))</f>
        <v/>
      </c>
    </row>
    <row r="112" customFormat="false" ht="21" hidden="false" customHeight="true" outlineLevel="0" collapsed="false">
      <c r="A112" s="91" t="str">
        <f aca="false">IF(名簿!$D112="","",名簿!$B112&amp;"")</f>
        <v/>
      </c>
      <c r="B112" s="91" t="str">
        <f aca="false">IF(名簿!$D112="","",名簿!$C112)</f>
        <v/>
      </c>
      <c r="C112" s="59" t="str">
        <f aca="false">IF(名簿!$D112="","",名簿!$D112&amp;IF(名簿!$F112="転出","（転出）",""))</f>
        <v/>
      </c>
      <c r="D112" s="149"/>
      <c r="E112" s="61" t="str">
        <f aca="false">IF(OR($C112="",名簿!$F112="転出"),"",IF($C$2="学級ごと",$A112,IF($C$2="前の単元と同じ",単元12!$E112&amp;"",$D112&amp;"")))</f>
        <v/>
      </c>
      <c r="F112" s="150"/>
      <c r="G112" s="150"/>
      <c r="H112" s="150"/>
      <c r="I112" s="151"/>
      <c r="J112" s="41" t="str">
        <f aca="false">IF($E112="","",$E112&amp;"|"&amp;COUNTIF($E$5:$E112,$E112))</f>
        <v/>
      </c>
      <c r="K112" s="40" t="str">
        <f aca="false">IF($I112="","",LEN($I112))</f>
        <v/>
      </c>
      <c r="L112" s="13"/>
      <c r="M112" s="13"/>
      <c r="N112" s="13"/>
      <c r="O112" s="13"/>
      <c r="P112" s="152"/>
      <c r="Q112" s="149"/>
      <c r="R112" s="152"/>
      <c r="S112" s="152"/>
      <c r="T112" s="62" t="str">
        <f aca="false">IF(OR($C112="",R112=""),"",IF(R112/IF($R$2="",100,$R$2)&gt;=設定!$I$28,設定!$G$8,IF(R112/IF($R$2="",100,$R$2)&lt;設定!$I$29,設定!$G$10,設定!$G$9)))</f>
        <v/>
      </c>
      <c r="U112" s="62" t="str">
        <f aca="false">IF(OR($C112="",S112=""),"",IF(S112/IF($S$2="",100,$S$2)&gt;=設定!$I$28,設定!$G$8,IF(S112/IF($S$2="",100,$S$2)&lt;設定!$I$29,設定!$G$10,設定!$G$9)))</f>
        <v/>
      </c>
    </row>
    <row r="113" customFormat="false" ht="21" hidden="false" customHeight="true" outlineLevel="0" collapsed="false">
      <c r="A113" s="91" t="str">
        <f aca="false">IF(名簿!$D113="","",名簿!$B113&amp;"")</f>
        <v/>
      </c>
      <c r="B113" s="91" t="str">
        <f aca="false">IF(名簿!$D113="","",名簿!$C113)</f>
        <v/>
      </c>
      <c r="C113" s="59" t="str">
        <f aca="false">IF(名簿!$D113="","",名簿!$D113&amp;IF(名簿!$F113="転出","（転出）",""))</f>
        <v/>
      </c>
      <c r="D113" s="149"/>
      <c r="E113" s="61" t="str">
        <f aca="false">IF(OR($C113="",名簿!$F113="転出"),"",IF($C$2="学級ごと",$A113,IF($C$2="前の単元と同じ",単元12!$E113&amp;"",$D113&amp;"")))</f>
        <v/>
      </c>
      <c r="F113" s="150"/>
      <c r="G113" s="150"/>
      <c r="H113" s="150"/>
      <c r="I113" s="151"/>
      <c r="J113" s="41" t="str">
        <f aca="false">IF($E113="","",$E113&amp;"|"&amp;COUNTIF($E$5:$E113,$E113))</f>
        <v/>
      </c>
      <c r="K113" s="40" t="str">
        <f aca="false">IF($I113="","",LEN($I113))</f>
        <v/>
      </c>
      <c r="L113" s="13"/>
      <c r="M113" s="13"/>
      <c r="N113" s="13"/>
      <c r="O113" s="13"/>
      <c r="P113" s="152"/>
      <c r="Q113" s="149"/>
      <c r="R113" s="152"/>
      <c r="S113" s="152"/>
      <c r="T113" s="62" t="str">
        <f aca="false">IF(OR($C113="",R113=""),"",IF(R113/IF($R$2="",100,$R$2)&gt;=設定!$I$28,設定!$G$8,IF(R113/IF($R$2="",100,$R$2)&lt;設定!$I$29,設定!$G$10,設定!$G$9)))</f>
        <v/>
      </c>
      <c r="U113" s="62" t="str">
        <f aca="false">IF(OR($C113="",S113=""),"",IF(S113/IF($S$2="",100,$S$2)&gt;=設定!$I$28,設定!$G$8,IF(S113/IF($S$2="",100,$S$2)&lt;設定!$I$29,設定!$G$10,設定!$G$9)))</f>
        <v/>
      </c>
    </row>
    <row r="114" customFormat="false" ht="21" hidden="false" customHeight="true" outlineLevel="0" collapsed="false">
      <c r="A114" s="91" t="str">
        <f aca="false">IF(名簿!$D114="","",名簿!$B114&amp;"")</f>
        <v/>
      </c>
      <c r="B114" s="91" t="str">
        <f aca="false">IF(名簿!$D114="","",名簿!$C114)</f>
        <v/>
      </c>
      <c r="C114" s="59" t="str">
        <f aca="false">IF(名簿!$D114="","",名簿!$D114&amp;IF(名簿!$F114="転出","（転出）",""))</f>
        <v/>
      </c>
      <c r="D114" s="149"/>
      <c r="E114" s="61" t="str">
        <f aca="false">IF(OR($C114="",名簿!$F114="転出"),"",IF($C$2="学級ごと",$A114,IF($C$2="前の単元と同じ",単元12!$E114&amp;"",$D114&amp;"")))</f>
        <v/>
      </c>
      <c r="F114" s="150"/>
      <c r="G114" s="150"/>
      <c r="H114" s="150"/>
      <c r="I114" s="151"/>
      <c r="J114" s="41" t="str">
        <f aca="false">IF($E114="","",$E114&amp;"|"&amp;COUNTIF($E$5:$E114,$E114))</f>
        <v/>
      </c>
      <c r="K114" s="40" t="str">
        <f aca="false">IF($I114="","",LEN($I114))</f>
        <v/>
      </c>
      <c r="L114" s="13"/>
      <c r="M114" s="13"/>
      <c r="N114" s="13"/>
      <c r="O114" s="13"/>
      <c r="P114" s="152"/>
      <c r="Q114" s="149"/>
      <c r="R114" s="152"/>
      <c r="S114" s="152"/>
      <c r="T114" s="62" t="str">
        <f aca="false">IF(OR($C114="",R114=""),"",IF(R114/IF($R$2="",100,$R$2)&gt;=設定!$I$28,設定!$G$8,IF(R114/IF($R$2="",100,$R$2)&lt;設定!$I$29,設定!$G$10,設定!$G$9)))</f>
        <v/>
      </c>
      <c r="U114" s="62" t="str">
        <f aca="false">IF(OR($C114="",S114=""),"",IF(S114/IF($S$2="",100,$S$2)&gt;=設定!$I$28,設定!$G$8,IF(S114/IF($S$2="",100,$S$2)&lt;設定!$I$29,設定!$G$10,設定!$G$9)))</f>
        <v/>
      </c>
    </row>
    <row r="115" customFormat="false" ht="21" hidden="false" customHeight="true" outlineLevel="0" collapsed="false">
      <c r="A115" s="91" t="str">
        <f aca="false">IF(名簿!$D115="","",名簿!$B115&amp;"")</f>
        <v/>
      </c>
      <c r="B115" s="91" t="str">
        <f aca="false">IF(名簿!$D115="","",名簿!$C115)</f>
        <v/>
      </c>
      <c r="C115" s="59" t="str">
        <f aca="false">IF(名簿!$D115="","",名簿!$D115&amp;IF(名簿!$F115="転出","（転出）",""))</f>
        <v/>
      </c>
      <c r="D115" s="149"/>
      <c r="E115" s="61" t="str">
        <f aca="false">IF(OR($C115="",名簿!$F115="転出"),"",IF($C$2="学級ごと",$A115,IF($C$2="前の単元と同じ",単元12!$E115&amp;"",$D115&amp;"")))</f>
        <v/>
      </c>
      <c r="F115" s="150"/>
      <c r="G115" s="150"/>
      <c r="H115" s="150"/>
      <c r="I115" s="151"/>
      <c r="J115" s="41" t="str">
        <f aca="false">IF($E115="","",$E115&amp;"|"&amp;COUNTIF($E$5:$E115,$E115))</f>
        <v/>
      </c>
      <c r="K115" s="40" t="str">
        <f aca="false">IF($I115="","",LEN($I115))</f>
        <v/>
      </c>
      <c r="L115" s="13"/>
      <c r="M115" s="13"/>
      <c r="N115" s="13"/>
      <c r="O115" s="13"/>
      <c r="P115" s="152"/>
      <c r="Q115" s="149"/>
      <c r="R115" s="152"/>
      <c r="S115" s="152"/>
      <c r="T115" s="62" t="str">
        <f aca="false">IF(OR($C115="",R115=""),"",IF(R115/IF($R$2="",100,$R$2)&gt;=設定!$I$28,設定!$G$8,IF(R115/IF($R$2="",100,$R$2)&lt;設定!$I$29,設定!$G$10,設定!$G$9)))</f>
        <v/>
      </c>
      <c r="U115" s="62" t="str">
        <f aca="false">IF(OR($C115="",S115=""),"",IF(S115/IF($S$2="",100,$S$2)&gt;=設定!$I$28,設定!$G$8,IF(S115/IF($S$2="",100,$S$2)&lt;設定!$I$29,設定!$G$10,設定!$G$9)))</f>
        <v/>
      </c>
    </row>
    <row r="116" customFormat="false" ht="21" hidden="false" customHeight="true" outlineLevel="0" collapsed="false">
      <c r="A116" s="91" t="str">
        <f aca="false">IF(名簿!$D116="","",名簿!$B116&amp;"")</f>
        <v/>
      </c>
      <c r="B116" s="91" t="str">
        <f aca="false">IF(名簿!$D116="","",名簿!$C116)</f>
        <v/>
      </c>
      <c r="C116" s="59" t="str">
        <f aca="false">IF(名簿!$D116="","",名簿!$D116&amp;IF(名簿!$F116="転出","（転出）",""))</f>
        <v/>
      </c>
      <c r="D116" s="149"/>
      <c r="E116" s="61" t="str">
        <f aca="false">IF(OR($C116="",名簿!$F116="転出"),"",IF($C$2="学級ごと",$A116,IF($C$2="前の単元と同じ",単元12!$E116&amp;"",$D116&amp;"")))</f>
        <v/>
      </c>
      <c r="F116" s="150"/>
      <c r="G116" s="150"/>
      <c r="H116" s="150"/>
      <c r="I116" s="151"/>
      <c r="J116" s="41" t="str">
        <f aca="false">IF($E116="","",$E116&amp;"|"&amp;COUNTIF($E$5:$E116,$E116))</f>
        <v/>
      </c>
      <c r="K116" s="40" t="str">
        <f aca="false">IF($I116="","",LEN($I116))</f>
        <v/>
      </c>
      <c r="L116" s="13"/>
      <c r="M116" s="13"/>
      <c r="N116" s="13"/>
      <c r="O116" s="13"/>
      <c r="P116" s="152"/>
      <c r="Q116" s="149"/>
      <c r="R116" s="152"/>
      <c r="S116" s="152"/>
      <c r="T116" s="62" t="str">
        <f aca="false">IF(OR($C116="",R116=""),"",IF(R116/IF($R$2="",100,$R$2)&gt;=設定!$I$28,設定!$G$8,IF(R116/IF($R$2="",100,$R$2)&lt;設定!$I$29,設定!$G$10,設定!$G$9)))</f>
        <v/>
      </c>
      <c r="U116" s="62" t="str">
        <f aca="false">IF(OR($C116="",S116=""),"",IF(S116/IF($S$2="",100,$S$2)&gt;=設定!$I$28,設定!$G$8,IF(S116/IF($S$2="",100,$S$2)&lt;設定!$I$29,設定!$G$10,設定!$G$9)))</f>
        <v/>
      </c>
    </row>
    <row r="117" customFormat="false" ht="21" hidden="false" customHeight="true" outlineLevel="0" collapsed="false">
      <c r="A117" s="91" t="str">
        <f aca="false">IF(名簿!$D117="","",名簿!$B117&amp;"")</f>
        <v/>
      </c>
      <c r="B117" s="91" t="str">
        <f aca="false">IF(名簿!$D117="","",名簿!$C117)</f>
        <v/>
      </c>
      <c r="C117" s="59" t="str">
        <f aca="false">IF(名簿!$D117="","",名簿!$D117&amp;IF(名簿!$F117="転出","（転出）",""))</f>
        <v/>
      </c>
      <c r="D117" s="149"/>
      <c r="E117" s="61" t="str">
        <f aca="false">IF(OR($C117="",名簿!$F117="転出"),"",IF($C$2="学級ごと",$A117,IF($C$2="前の単元と同じ",単元12!$E117&amp;"",$D117&amp;"")))</f>
        <v/>
      </c>
      <c r="F117" s="150"/>
      <c r="G117" s="150"/>
      <c r="H117" s="150"/>
      <c r="I117" s="151"/>
      <c r="J117" s="41" t="str">
        <f aca="false">IF($E117="","",$E117&amp;"|"&amp;COUNTIF($E$5:$E117,$E117))</f>
        <v/>
      </c>
      <c r="K117" s="40" t="str">
        <f aca="false">IF($I117="","",LEN($I117))</f>
        <v/>
      </c>
      <c r="L117" s="13"/>
      <c r="M117" s="13"/>
      <c r="N117" s="13"/>
      <c r="O117" s="13"/>
      <c r="P117" s="152"/>
      <c r="Q117" s="149"/>
      <c r="R117" s="152"/>
      <c r="S117" s="152"/>
      <c r="T117" s="62" t="str">
        <f aca="false">IF(OR($C117="",R117=""),"",IF(R117/IF($R$2="",100,$R$2)&gt;=設定!$I$28,設定!$G$8,IF(R117/IF($R$2="",100,$R$2)&lt;設定!$I$29,設定!$G$10,設定!$G$9)))</f>
        <v/>
      </c>
      <c r="U117" s="62" t="str">
        <f aca="false">IF(OR($C117="",S117=""),"",IF(S117/IF($S$2="",100,$S$2)&gt;=設定!$I$28,設定!$G$8,IF(S117/IF($S$2="",100,$S$2)&lt;設定!$I$29,設定!$G$10,設定!$G$9)))</f>
        <v/>
      </c>
    </row>
    <row r="118" customFormat="false" ht="21" hidden="false" customHeight="true" outlineLevel="0" collapsed="false">
      <c r="A118" s="91" t="str">
        <f aca="false">IF(名簿!$D118="","",名簿!$B118&amp;"")</f>
        <v/>
      </c>
      <c r="B118" s="91" t="str">
        <f aca="false">IF(名簿!$D118="","",名簿!$C118)</f>
        <v/>
      </c>
      <c r="C118" s="59" t="str">
        <f aca="false">IF(名簿!$D118="","",名簿!$D118&amp;IF(名簿!$F118="転出","（転出）",""))</f>
        <v/>
      </c>
      <c r="D118" s="149"/>
      <c r="E118" s="61" t="str">
        <f aca="false">IF(OR($C118="",名簿!$F118="転出"),"",IF($C$2="学級ごと",$A118,IF($C$2="前の単元と同じ",単元12!$E118&amp;"",$D118&amp;"")))</f>
        <v/>
      </c>
      <c r="F118" s="150"/>
      <c r="G118" s="150"/>
      <c r="H118" s="150"/>
      <c r="I118" s="151"/>
      <c r="J118" s="41" t="str">
        <f aca="false">IF($E118="","",$E118&amp;"|"&amp;COUNTIF($E$5:$E118,$E118))</f>
        <v/>
      </c>
      <c r="K118" s="40" t="str">
        <f aca="false">IF($I118="","",LEN($I118))</f>
        <v/>
      </c>
      <c r="L118" s="13"/>
      <c r="M118" s="13"/>
      <c r="N118" s="13"/>
      <c r="O118" s="13"/>
      <c r="P118" s="152"/>
      <c r="Q118" s="149"/>
      <c r="R118" s="152"/>
      <c r="S118" s="152"/>
      <c r="T118" s="62" t="str">
        <f aca="false">IF(OR($C118="",R118=""),"",IF(R118/IF($R$2="",100,$R$2)&gt;=設定!$I$28,設定!$G$8,IF(R118/IF($R$2="",100,$R$2)&lt;設定!$I$29,設定!$G$10,設定!$G$9)))</f>
        <v/>
      </c>
      <c r="U118" s="62" t="str">
        <f aca="false">IF(OR($C118="",S118=""),"",IF(S118/IF($S$2="",100,$S$2)&gt;=設定!$I$28,設定!$G$8,IF(S118/IF($S$2="",100,$S$2)&lt;設定!$I$29,設定!$G$10,設定!$G$9)))</f>
        <v/>
      </c>
    </row>
    <row r="119" customFormat="false" ht="21" hidden="false" customHeight="true" outlineLevel="0" collapsed="false">
      <c r="A119" s="91" t="str">
        <f aca="false">IF(名簿!$D119="","",名簿!$B119&amp;"")</f>
        <v/>
      </c>
      <c r="B119" s="91" t="str">
        <f aca="false">IF(名簿!$D119="","",名簿!$C119)</f>
        <v/>
      </c>
      <c r="C119" s="59" t="str">
        <f aca="false">IF(名簿!$D119="","",名簿!$D119&amp;IF(名簿!$F119="転出","（転出）",""))</f>
        <v/>
      </c>
      <c r="D119" s="149"/>
      <c r="E119" s="61" t="str">
        <f aca="false">IF(OR($C119="",名簿!$F119="転出"),"",IF($C$2="学級ごと",$A119,IF($C$2="前の単元と同じ",単元12!$E119&amp;"",$D119&amp;"")))</f>
        <v/>
      </c>
      <c r="F119" s="150"/>
      <c r="G119" s="150"/>
      <c r="H119" s="150"/>
      <c r="I119" s="151"/>
      <c r="J119" s="41" t="str">
        <f aca="false">IF($E119="","",$E119&amp;"|"&amp;COUNTIF($E$5:$E119,$E119))</f>
        <v/>
      </c>
      <c r="K119" s="40" t="str">
        <f aca="false">IF($I119="","",LEN($I119))</f>
        <v/>
      </c>
      <c r="L119" s="13"/>
      <c r="M119" s="13"/>
      <c r="N119" s="13"/>
      <c r="O119" s="13"/>
      <c r="P119" s="152"/>
      <c r="Q119" s="149"/>
      <c r="R119" s="152"/>
      <c r="S119" s="152"/>
      <c r="T119" s="62" t="str">
        <f aca="false">IF(OR($C119="",R119=""),"",IF(R119/IF($R$2="",100,$R$2)&gt;=設定!$I$28,設定!$G$8,IF(R119/IF($R$2="",100,$R$2)&lt;設定!$I$29,設定!$G$10,設定!$G$9)))</f>
        <v/>
      </c>
      <c r="U119" s="62" t="str">
        <f aca="false">IF(OR($C119="",S119=""),"",IF(S119/IF($S$2="",100,$S$2)&gt;=設定!$I$28,設定!$G$8,IF(S119/IF($S$2="",100,$S$2)&lt;設定!$I$29,設定!$G$10,設定!$G$9)))</f>
        <v/>
      </c>
    </row>
    <row r="120" customFormat="false" ht="21" hidden="false" customHeight="true" outlineLevel="0" collapsed="false">
      <c r="A120" s="91" t="str">
        <f aca="false">IF(名簿!$D120="","",名簿!$B120&amp;"")</f>
        <v/>
      </c>
      <c r="B120" s="91" t="str">
        <f aca="false">IF(名簿!$D120="","",名簿!$C120)</f>
        <v/>
      </c>
      <c r="C120" s="59" t="str">
        <f aca="false">IF(名簿!$D120="","",名簿!$D120&amp;IF(名簿!$F120="転出","（転出）",""))</f>
        <v/>
      </c>
      <c r="D120" s="149"/>
      <c r="E120" s="61" t="str">
        <f aca="false">IF(OR($C120="",名簿!$F120="転出"),"",IF($C$2="学級ごと",$A120,IF($C$2="前の単元と同じ",単元12!$E120&amp;"",$D120&amp;"")))</f>
        <v/>
      </c>
      <c r="F120" s="150"/>
      <c r="G120" s="150"/>
      <c r="H120" s="150"/>
      <c r="I120" s="151"/>
      <c r="J120" s="41" t="str">
        <f aca="false">IF($E120="","",$E120&amp;"|"&amp;COUNTIF($E$5:$E120,$E120))</f>
        <v/>
      </c>
      <c r="K120" s="40" t="str">
        <f aca="false">IF($I120="","",LEN($I120))</f>
        <v/>
      </c>
      <c r="L120" s="13"/>
      <c r="M120" s="13"/>
      <c r="N120" s="13"/>
      <c r="O120" s="13"/>
      <c r="P120" s="152"/>
      <c r="Q120" s="149"/>
      <c r="R120" s="152"/>
      <c r="S120" s="152"/>
      <c r="T120" s="62" t="str">
        <f aca="false">IF(OR($C120="",R120=""),"",IF(R120/IF($R$2="",100,$R$2)&gt;=設定!$I$28,設定!$G$8,IF(R120/IF($R$2="",100,$R$2)&lt;設定!$I$29,設定!$G$10,設定!$G$9)))</f>
        <v/>
      </c>
      <c r="U120" s="62" t="str">
        <f aca="false">IF(OR($C120="",S120=""),"",IF(S120/IF($S$2="",100,$S$2)&gt;=設定!$I$28,設定!$G$8,IF(S120/IF($S$2="",100,$S$2)&lt;設定!$I$29,設定!$G$10,設定!$G$9)))</f>
        <v/>
      </c>
    </row>
    <row r="121" customFormat="false" ht="21" hidden="false" customHeight="true" outlineLevel="0" collapsed="false">
      <c r="A121" s="91" t="str">
        <f aca="false">IF(名簿!$D121="","",名簿!$B121&amp;"")</f>
        <v/>
      </c>
      <c r="B121" s="91" t="str">
        <f aca="false">IF(名簿!$D121="","",名簿!$C121)</f>
        <v/>
      </c>
      <c r="C121" s="59" t="str">
        <f aca="false">IF(名簿!$D121="","",名簿!$D121&amp;IF(名簿!$F121="転出","（転出）",""))</f>
        <v/>
      </c>
      <c r="D121" s="149"/>
      <c r="E121" s="61" t="str">
        <f aca="false">IF(OR($C121="",名簿!$F121="転出"),"",IF($C$2="学級ごと",$A121,IF($C$2="前の単元と同じ",単元12!$E121&amp;"",$D121&amp;"")))</f>
        <v/>
      </c>
      <c r="F121" s="150"/>
      <c r="G121" s="150"/>
      <c r="H121" s="150"/>
      <c r="I121" s="151"/>
      <c r="J121" s="41" t="str">
        <f aca="false">IF($E121="","",$E121&amp;"|"&amp;COUNTIF($E$5:$E121,$E121))</f>
        <v/>
      </c>
      <c r="K121" s="40" t="str">
        <f aca="false">IF($I121="","",LEN($I121))</f>
        <v/>
      </c>
      <c r="L121" s="13"/>
      <c r="M121" s="13"/>
      <c r="N121" s="13"/>
      <c r="O121" s="13"/>
      <c r="P121" s="152"/>
      <c r="Q121" s="149"/>
      <c r="R121" s="152"/>
      <c r="S121" s="152"/>
      <c r="T121" s="62" t="str">
        <f aca="false">IF(OR($C121="",R121=""),"",IF(R121/IF($R$2="",100,$R$2)&gt;=設定!$I$28,設定!$G$8,IF(R121/IF($R$2="",100,$R$2)&lt;設定!$I$29,設定!$G$10,設定!$G$9)))</f>
        <v/>
      </c>
      <c r="U121" s="62" t="str">
        <f aca="false">IF(OR($C121="",S121=""),"",IF(S121/IF($S$2="",100,$S$2)&gt;=設定!$I$28,設定!$G$8,IF(S121/IF($S$2="",100,$S$2)&lt;設定!$I$29,設定!$G$10,設定!$G$9)))</f>
        <v/>
      </c>
    </row>
    <row r="122" customFormat="false" ht="21" hidden="false" customHeight="true" outlineLevel="0" collapsed="false">
      <c r="A122" s="91" t="str">
        <f aca="false">IF(名簿!$D122="","",名簿!$B122&amp;"")</f>
        <v/>
      </c>
      <c r="B122" s="91" t="str">
        <f aca="false">IF(名簿!$D122="","",名簿!$C122)</f>
        <v/>
      </c>
      <c r="C122" s="59" t="str">
        <f aca="false">IF(名簿!$D122="","",名簿!$D122&amp;IF(名簿!$F122="転出","（転出）",""))</f>
        <v/>
      </c>
      <c r="D122" s="149"/>
      <c r="E122" s="61" t="str">
        <f aca="false">IF(OR($C122="",名簿!$F122="転出"),"",IF($C$2="学級ごと",$A122,IF($C$2="前の単元と同じ",単元12!$E122&amp;"",$D122&amp;"")))</f>
        <v/>
      </c>
      <c r="F122" s="150"/>
      <c r="G122" s="150"/>
      <c r="H122" s="150"/>
      <c r="I122" s="151"/>
      <c r="J122" s="41" t="str">
        <f aca="false">IF($E122="","",$E122&amp;"|"&amp;COUNTIF($E$5:$E122,$E122))</f>
        <v/>
      </c>
      <c r="K122" s="40" t="str">
        <f aca="false">IF($I122="","",LEN($I122))</f>
        <v/>
      </c>
      <c r="L122" s="13"/>
      <c r="M122" s="13"/>
      <c r="N122" s="13"/>
      <c r="O122" s="13"/>
      <c r="P122" s="152"/>
      <c r="Q122" s="149"/>
      <c r="R122" s="152"/>
      <c r="S122" s="152"/>
      <c r="T122" s="62" t="str">
        <f aca="false">IF(OR($C122="",R122=""),"",IF(R122/IF($R$2="",100,$R$2)&gt;=設定!$I$28,設定!$G$8,IF(R122/IF($R$2="",100,$R$2)&lt;設定!$I$29,設定!$G$10,設定!$G$9)))</f>
        <v/>
      </c>
      <c r="U122" s="62" t="str">
        <f aca="false">IF(OR($C122="",S122=""),"",IF(S122/IF($S$2="",100,$S$2)&gt;=設定!$I$28,設定!$G$8,IF(S122/IF($S$2="",100,$S$2)&lt;設定!$I$29,設定!$G$10,設定!$G$9)))</f>
        <v/>
      </c>
    </row>
    <row r="123" customFormat="false" ht="21" hidden="false" customHeight="true" outlineLevel="0" collapsed="false">
      <c r="A123" s="91" t="str">
        <f aca="false">IF(名簿!$D123="","",名簿!$B123&amp;"")</f>
        <v/>
      </c>
      <c r="B123" s="91" t="str">
        <f aca="false">IF(名簿!$D123="","",名簿!$C123)</f>
        <v/>
      </c>
      <c r="C123" s="59" t="str">
        <f aca="false">IF(名簿!$D123="","",名簿!$D123&amp;IF(名簿!$F123="転出","（転出）",""))</f>
        <v/>
      </c>
      <c r="D123" s="149"/>
      <c r="E123" s="61" t="str">
        <f aca="false">IF(OR($C123="",名簿!$F123="転出"),"",IF($C$2="学級ごと",$A123,IF($C$2="前の単元と同じ",単元12!$E123&amp;"",$D123&amp;"")))</f>
        <v/>
      </c>
      <c r="F123" s="150"/>
      <c r="G123" s="150"/>
      <c r="H123" s="150"/>
      <c r="I123" s="151"/>
      <c r="J123" s="41" t="str">
        <f aca="false">IF($E123="","",$E123&amp;"|"&amp;COUNTIF($E$5:$E123,$E123))</f>
        <v/>
      </c>
      <c r="K123" s="40" t="str">
        <f aca="false">IF($I123="","",LEN($I123))</f>
        <v/>
      </c>
      <c r="L123" s="13"/>
      <c r="M123" s="13"/>
      <c r="N123" s="13"/>
      <c r="O123" s="13"/>
      <c r="P123" s="152"/>
      <c r="Q123" s="149"/>
      <c r="R123" s="152"/>
      <c r="S123" s="152"/>
      <c r="T123" s="62" t="str">
        <f aca="false">IF(OR($C123="",R123=""),"",IF(R123/IF($R$2="",100,$R$2)&gt;=設定!$I$28,設定!$G$8,IF(R123/IF($R$2="",100,$R$2)&lt;設定!$I$29,設定!$G$10,設定!$G$9)))</f>
        <v/>
      </c>
      <c r="U123" s="62" t="str">
        <f aca="false">IF(OR($C123="",S123=""),"",IF(S123/IF($S$2="",100,$S$2)&gt;=設定!$I$28,設定!$G$8,IF(S123/IF($S$2="",100,$S$2)&lt;設定!$I$29,設定!$G$10,設定!$G$9)))</f>
        <v/>
      </c>
    </row>
    <row r="124" customFormat="false" ht="21" hidden="false" customHeight="true" outlineLevel="0" collapsed="false">
      <c r="A124" s="91" t="str">
        <f aca="false">IF(名簿!$D124="","",名簿!$B124&amp;"")</f>
        <v/>
      </c>
      <c r="B124" s="91" t="str">
        <f aca="false">IF(名簿!$D124="","",名簿!$C124)</f>
        <v/>
      </c>
      <c r="C124" s="59" t="str">
        <f aca="false">IF(名簿!$D124="","",名簿!$D124&amp;IF(名簿!$F124="転出","（転出）",""))</f>
        <v/>
      </c>
      <c r="D124" s="149"/>
      <c r="E124" s="61" t="str">
        <f aca="false">IF(OR($C124="",名簿!$F124="転出"),"",IF($C$2="学級ごと",$A124,IF($C$2="前の単元と同じ",単元12!$E124&amp;"",$D124&amp;"")))</f>
        <v/>
      </c>
      <c r="F124" s="150"/>
      <c r="G124" s="150"/>
      <c r="H124" s="150"/>
      <c r="I124" s="151"/>
      <c r="J124" s="41" t="str">
        <f aca="false">IF($E124="","",$E124&amp;"|"&amp;COUNTIF($E$5:$E124,$E124))</f>
        <v/>
      </c>
      <c r="K124" s="40" t="str">
        <f aca="false">IF($I124="","",LEN($I124))</f>
        <v/>
      </c>
      <c r="L124" s="13"/>
      <c r="M124" s="13"/>
      <c r="N124" s="13"/>
      <c r="O124" s="13"/>
      <c r="P124" s="152"/>
      <c r="Q124" s="149"/>
      <c r="R124" s="152"/>
      <c r="S124" s="152"/>
      <c r="T124" s="62" t="str">
        <f aca="false">IF(OR($C124="",R124=""),"",IF(R124/IF($R$2="",100,$R$2)&gt;=設定!$I$28,設定!$G$8,IF(R124/IF($R$2="",100,$R$2)&lt;設定!$I$29,設定!$G$10,設定!$G$9)))</f>
        <v/>
      </c>
      <c r="U124" s="62" t="str">
        <f aca="false">IF(OR($C124="",S124=""),"",IF(S124/IF($S$2="",100,$S$2)&gt;=設定!$I$28,設定!$G$8,IF(S124/IF($S$2="",100,$S$2)&lt;設定!$I$29,設定!$G$10,設定!$G$9)))</f>
        <v/>
      </c>
    </row>
    <row r="125" customFormat="false" ht="21" hidden="false" customHeight="true" outlineLevel="0" collapsed="false">
      <c r="A125" s="91" t="str">
        <f aca="false">IF(名簿!$D125="","",名簿!$B125&amp;"")</f>
        <v/>
      </c>
      <c r="B125" s="91" t="str">
        <f aca="false">IF(名簿!$D125="","",名簿!$C125)</f>
        <v/>
      </c>
      <c r="C125" s="59" t="str">
        <f aca="false">IF(名簿!$D125="","",名簿!$D125&amp;IF(名簿!$F125="転出","（転出）",""))</f>
        <v/>
      </c>
      <c r="D125" s="149"/>
      <c r="E125" s="61" t="str">
        <f aca="false">IF(OR($C125="",名簿!$F125="転出"),"",IF($C$2="学級ごと",$A125,IF($C$2="前の単元と同じ",単元12!$E125&amp;"",$D125&amp;"")))</f>
        <v/>
      </c>
      <c r="F125" s="150"/>
      <c r="G125" s="150"/>
      <c r="H125" s="150"/>
      <c r="I125" s="151"/>
      <c r="J125" s="41" t="str">
        <f aca="false">IF($E125="","",$E125&amp;"|"&amp;COUNTIF($E$5:$E125,$E125))</f>
        <v/>
      </c>
      <c r="K125" s="40" t="str">
        <f aca="false">IF($I125="","",LEN($I125))</f>
        <v/>
      </c>
      <c r="L125" s="13"/>
      <c r="M125" s="13"/>
      <c r="N125" s="13"/>
      <c r="O125" s="13"/>
      <c r="P125" s="152"/>
      <c r="Q125" s="149"/>
      <c r="R125" s="152"/>
      <c r="S125" s="152"/>
      <c r="T125" s="62" t="str">
        <f aca="false">IF(OR($C125="",R125=""),"",IF(R125/IF($R$2="",100,$R$2)&gt;=設定!$I$28,設定!$G$8,IF(R125/IF($R$2="",100,$R$2)&lt;設定!$I$29,設定!$G$10,設定!$G$9)))</f>
        <v/>
      </c>
      <c r="U125" s="62" t="str">
        <f aca="false">IF(OR($C125="",S125=""),"",IF(S125/IF($S$2="",100,$S$2)&gt;=設定!$I$28,設定!$G$8,IF(S125/IF($S$2="",100,$S$2)&lt;設定!$I$29,設定!$G$10,設定!$G$9)))</f>
        <v/>
      </c>
    </row>
    <row r="126" customFormat="false" ht="21" hidden="false" customHeight="true" outlineLevel="0" collapsed="false">
      <c r="A126" s="91" t="str">
        <f aca="false">IF(名簿!$D126="","",名簿!$B126&amp;"")</f>
        <v/>
      </c>
      <c r="B126" s="91" t="str">
        <f aca="false">IF(名簿!$D126="","",名簿!$C126)</f>
        <v/>
      </c>
      <c r="C126" s="59" t="str">
        <f aca="false">IF(名簿!$D126="","",名簿!$D126&amp;IF(名簿!$F126="転出","（転出）",""))</f>
        <v/>
      </c>
      <c r="D126" s="149"/>
      <c r="E126" s="61" t="str">
        <f aca="false">IF(OR($C126="",名簿!$F126="転出"),"",IF($C$2="学級ごと",$A126,IF($C$2="前の単元と同じ",単元12!$E126&amp;"",$D126&amp;"")))</f>
        <v/>
      </c>
      <c r="F126" s="150"/>
      <c r="G126" s="150"/>
      <c r="H126" s="150"/>
      <c r="I126" s="151"/>
      <c r="J126" s="41" t="str">
        <f aca="false">IF($E126="","",$E126&amp;"|"&amp;COUNTIF($E$5:$E126,$E126))</f>
        <v/>
      </c>
      <c r="K126" s="40" t="str">
        <f aca="false">IF($I126="","",LEN($I126))</f>
        <v/>
      </c>
      <c r="L126" s="13"/>
      <c r="M126" s="13"/>
      <c r="N126" s="13"/>
      <c r="O126" s="13"/>
      <c r="P126" s="152"/>
      <c r="Q126" s="149"/>
      <c r="R126" s="152"/>
      <c r="S126" s="152"/>
      <c r="T126" s="62" t="str">
        <f aca="false">IF(OR($C126="",R126=""),"",IF(R126/IF($R$2="",100,$R$2)&gt;=設定!$I$28,設定!$G$8,IF(R126/IF($R$2="",100,$R$2)&lt;設定!$I$29,設定!$G$10,設定!$G$9)))</f>
        <v/>
      </c>
      <c r="U126" s="62" t="str">
        <f aca="false">IF(OR($C126="",S126=""),"",IF(S126/IF($S$2="",100,$S$2)&gt;=設定!$I$28,設定!$G$8,IF(S126/IF($S$2="",100,$S$2)&lt;設定!$I$29,設定!$G$10,設定!$G$9)))</f>
        <v/>
      </c>
    </row>
    <row r="127" customFormat="false" ht="21" hidden="false" customHeight="true" outlineLevel="0" collapsed="false">
      <c r="A127" s="91" t="str">
        <f aca="false">IF(名簿!$D127="","",名簿!$B127&amp;"")</f>
        <v/>
      </c>
      <c r="B127" s="91" t="str">
        <f aca="false">IF(名簿!$D127="","",名簿!$C127)</f>
        <v/>
      </c>
      <c r="C127" s="59" t="str">
        <f aca="false">IF(名簿!$D127="","",名簿!$D127&amp;IF(名簿!$F127="転出","（転出）",""))</f>
        <v/>
      </c>
      <c r="D127" s="149"/>
      <c r="E127" s="61" t="str">
        <f aca="false">IF(OR($C127="",名簿!$F127="転出"),"",IF($C$2="学級ごと",$A127,IF($C$2="前の単元と同じ",単元12!$E127&amp;"",$D127&amp;"")))</f>
        <v/>
      </c>
      <c r="F127" s="150"/>
      <c r="G127" s="150"/>
      <c r="H127" s="150"/>
      <c r="I127" s="151"/>
      <c r="J127" s="41" t="str">
        <f aca="false">IF($E127="","",$E127&amp;"|"&amp;COUNTIF($E$5:$E127,$E127))</f>
        <v/>
      </c>
      <c r="K127" s="40" t="str">
        <f aca="false">IF($I127="","",LEN($I127))</f>
        <v/>
      </c>
      <c r="L127" s="13"/>
      <c r="M127" s="13"/>
      <c r="N127" s="13"/>
      <c r="O127" s="13"/>
      <c r="P127" s="152"/>
      <c r="Q127" s="149"/>
      <c r="R127" s="152"/>
      <c r="S127" s="152"/>
      <c r="T127" s="62" t="str">
        <f aca="false">IF(OR($C127="",R127=""),"",IF(R127/IF($R$2="",100,$R$2)&gt;=設定!$I$28,設定!$G$8,IF(R127/IF($R$2="",100,$R$2)&lt;設定!$I$29,設定!$G$10,設定!$G$9)))</f>
        <v/>
      </c>
      <c r="U127" s="62" t="str">
        <f aca="false">IF(OR($C127="",S127=""),"",IF(S127/IF($S$2="",100,$S$2)&gt;=設定!$I$28,設定!$G$8,IF(S127/IF($S$2="",100,$S$2)&lt;設定!$I$29,設定!$G$10,設定!$G$9)))</f>
        <v/>
      </c>
    </row>
    <row r="128" customFormat="false" ht="21" hidden="false" customHeight="true" outlineLevel="0" collapsed="false">
      <c r="A128" s="91" t="str">
        <f aca="false">IF(名簿!$D128="","",名簿!$B128&amp;"")</f>
        <v/>
      </c>
      <c r="B128" s="91" t="str">
        <f aca="false">IF(名簿!$D128="","",名簿!$C128)</f>
        <v/>
      </c>
      <c r="C128" s="59" t="str">
        <f aca="false">IF(名簿!$D128="","",名簿!$D128&amp;IF(名簿!$F128="転出","（転出）",""))</f>
        <v/>
      </c>
      <c r="D128" s="149"/>
      <c r="E128" s="61" t="str">
        <f aca="false">IF(OR($C128="",名簿!$F128="転出"),"",IF($C$2="学級ごと",$A128,IF($C$2="前の単元と同じ",単元12!$E128&amp;"",$D128&amp;"")))</f>
        <v/>
      </c>
      <c r="F128" s="150"/>
      <c r="G128" s="150"/>
      <c r="H128" s="150"/>
      <c r="I128" s="151"/>
      <c r="J128" s="41" t="str">
        <f aca="false">IF($E128="","",$E128&amp;"|"&amp;COUNTIF($E$5:$E128,$E128))</f>
        <v/>
      </c>
      <c r="K128" s="40" t="str">
        <f aca="false">IF($I128="","",LEN($I128))</f>
        <v/>
      </c>
      <c r="L128" s="13"/>
      <c r="M128" s="13"/>
      <c r="N128" s="13"/>
      <c r="O128" s="13"/>
      <c r="P128" s="152"/>
      <c r="Q128" s="149"/>
      <c r="R128" s="152"/>
      <c r="S128" s="152"/>
      <c r="T128" s="62" t="str">
        <f aca="false">IF(OR($C128="",R128=""),"",IF(R128/IF($R$2="",100,$R$2)&gt;=設定!$I$28,設定!$G$8,IF(R128/IF($R$2="",100,$R$2)&lt;設定!$I$29,設定!$G$10,設定!$G$9)))</f>
        <v/>
      </c>
      <c r="U128" s="62" t="str">
        <f aca="false">IF(OR($C128="",S128=""),"",IF(S128/IF($S$2="",100,$S$2)&gt;=設定!$I$28,設定!$G$8,IF(S128/IF($S$2="",100,$S$2)&lt;設定!$I$29,設定!$G$10,設定!$G$9)))</f>
        <v/>
      </c>
    </row>
    <row r="129" customFormat="false" ht="21" hidden="false" customHeight="true" outlineLevel="0" collapsed="false">
      <c r="A129" s="91" t="str">
        <f aca="false">IF(名簿!$D129="","",名簿!$B129&amp;"")</f>
        <v/>
      </c>
      <c r="B129" s="91" t="str">
        <f aca="false">IF(名簿!$D129="","",名簿!$C129)</f>
        <v/>
      </c>
      <c r="C129" s="59" t="str">
        <f aca="false">IF(名簿!$D129="","",名簿!$D129&amp;IF(名簿!$F129="転出","（転出）",""))</f>
        <v/>
      </c>
      <c r="D129" s="149"/>
      <c r="E129" s="61" t="str">
        <f aca="false">IF(OR($C129="",名簿!$F129="転出"),"",IF($C$2="学級ごと",$A129,IF($C$2="前の単元と同じ",単元12!$E129&amp;"",$D129&amp;"")))</f>
        <v/>
      </c>
      <c r="F129" s="150"/>
      <c r="G129" s="150"/>
      <c r="H129" s="150"/>
      <c r="I129" s="151"/>
      <c r="J129" s="41" t="str">
        <f aca="false">IF($E129="","",$E129&amp;"|"&amp;COUNTIF($E$5:$E129,$E129))</f>
        <v/>
      </c>
      <c r="K129" s="40" t="str">
        <f aca="false">IF($I129="","",LEN($I129))</f>
        <v/>
      </c>
      <c r="L129" s="13"/>
      <c r="M129" s="13"/>
      <c r="N129" s="13"/>
      <c r="O129" s="13"/>
      <c r="P129" s="152"/>
      <c r="Q129" s="149"/>
      <c r="R129" s="152"/>
      <c r="S129" s="152"/>
      <c r="T129" s="62" t="str">
        <f aca="false">IF(OR($C129="",R129=""),"",IF(R129/IF($R$2="",100,$R$2)&gt;=設定!$I$28,設定!$G$8,IF(R129/IF($R$2="",100,$R$2)&lt;設定!$I$29,設定!$G$10,設定!$G$9)))</f>
        <v/>
      </c>
      <c r="U129" s="62" t="str">
        <f aca="false">IF(OR($C129="",S129=""),"",IF(S129/IF($S$2="",100,$S$2)&gt;=設定!$I$28,設定!$G$8,IF(S129/IF($S$2="",100,$S$2)&lt;設定!$I$29,設定!$G$10,設定!$G$9)))</f>
        <v/>
      </c>
    </row>
    <row r="130" customFormat="false" ht="21" hidden="false" customHeight="true" outlineLevel="0" collapsed="false">
      <c r="A130" s="91" t="str">
        <f aca="false">IF(名簿!$D130="","",名簿!$B130&amp;"")</f>
        <v/>
      </c>
      <c r="B130" s="91" t="str">
        <f aca="false">IF(名簿!$D130="","",名簿!$C130)</f>
        <v/>
      </c>
      <c r="C130" s="59" t="str">
        <f aca="false">IF(名簿!$D130="","",名簿!$D130&amp;IF(名簿!$F130="転出","（転出）",""))</f>
        <v/>
      </c>
      <c r="D130" s="149"/>
      <c r="E130" s="61" t="str">
        <f aca="false">IF(OR($C130="",名簿!$F130="転出"),"",IF($C$2="学級ごと",$A130,IF($C$2="前の単元と同じ",単元12!$E130&amp;"",$D130&amp;"")))</f>
        <v/>
      </c>
      <c r="F130" s="150"/>
      <c r="G130" s="150"/>
      <c r="H130" s="150"/>
      <c r="I130" s="151"/>
      <c r="J130" s="41" t="str">
        <f aca="false">IF($E130="","",$E130&amp;"|"&amp;COUNTIF($E$5:$E130,$E130))</f>
        <v/>
      </c>
      <c r="K130" s="40" t="str">
        <f aca="false">IF($I130="","",LEN($I130))</f>
        <v/>
      </c>
      <c r="L130" s="13"/>
      <c r="M130" s="13"/>
      <c r="N130" s="13"/>
      <c r="O130" s="13"/>
      <c r="P130" s="152"/>
      <c r="Q130" s="149"/>
      <c r="R130" s="152"/>
      <c r="S130" s="152"/>
      <c r="T130" s="62" t="str">
        <f aca="false">IF(OR($C130="",R130=""),"",IF(R130/IF($R$2="",100,$R$2)&gt;=設定!$I$28,設定!$G$8,IF(R130/IF($R$2="",100,$R$2)&lt;設定!$I$29,設定!$G$10,設定!$G$9)))</f>
        <v/>
      </c>
      <c r="U130" s="62" t="str">
        <f aca="false">IF(OR($C130="",S130=""),"",IF(S130/IF($S$2="",100,$S$2)&gt;=設定!$I$28,設定!$G$8,IF(S130/IF($S$2="",100,$S$2)&lt;設定!$I$29,設定!$G$10,設定!$G$9)))</f>
        <v/>
      </c>
    </row>
    <row r="131" customFormat="false" ht="21" hidden="false" customHeight="true" outlineLevel="0" collapsed="false">
      <c r="A131" s="91" t="str">
        <f aca="false">IF(名簿!$D131="","",名簿!$B131&amp;"")</f>
        <v/>
      </c>
      <c r="B131" s="91" t="str">
        <f aca="false">IF(名簿!$D131="","",名簿!$C131)</f>
        <v/>
      </c>
      <c r="C131" s="59" t="str">
        <f aca="false">IF(名簿!$D131="","",名簿!$D131&amp;IF(名簿!$F131="転出","（転出）",""))</f>
        <v/>
      </c>
      <c r="D131" s="149"/>
      <c r="E131" s="61" t="str">
        <f aca="false">IF(OR($C131="",名簿!$F131="転出"),"",IF($C$2="学級ごと",$A131,IF($C$2="前の単元と同じ",単元12!$E131&amp;"",$D131&amp;"")))</f>
        <v/>
      </c>
      <c r="F131" s="150"/>
      <c r="G131" s="150"/>
      <c r="H131" s="150"/>
      <c r="I131" s="151"/>
      <c r="J131" s="41" t="str">
        <f aca="false">IF($E131="","",$E131&amp;"|"&amp;COUNTIF($E$5:$E131,$E131))</f>
        <v/>
      </c>
      <c r="K131" s="40" t="str">
        <f aca="false">IF($I131="","",LEN($I131))</f>
        <v/>
      </c>
      <c r="L131" s="13"/>
      <c r="M131" s="13"/>
      <c r="N131" s="13"/>
      <c r="O131" s="13"/>
      <c r="P131" s="152"/>
      <c r="Q131" s="149"/>
      <c r="R131" s="152"/>
      <c r="S131" s="152"/>
      <c r="T131" s="62" t="str">
        <f aca="false">IF(OR($C131="",R131=""),"",IF(R131/IF($R$2="",100,$R$2)&gt;=設定!$I$28,設定!$G$8,IF(R131/IF($R$2="",100,$R$2)&lt;設定!$I$29,設定!$G$10,設定!$G$9)))</f>
        <v/>
      </c>
      <c r="U131" s="62" t="str">
        <f aca="false">IF(OR($C131="",S131=""),"",IF(S131/IF($S$2="",100,$S$2)&gt;=設定!$I$28,設定!$G$8,IF(S131/IF($S$2="",100,$S$2)&lt;設定!$I$29,設定!$G$10,設定!$G$9)))</f>
        <v/>
      </c>
    </row>
    <row r="132" customFormat="false" ht="21" hidden="false" customHeight="true" outlineLevel="0" collapsed="false">
      <c r="A132" s="91" t="str">
        <f aca="false">IF(名簿!$D132="","",名簿!$B132&amp;"")</f>
        <v/>
      </c>
      <c r="B132" s="91" t="str">
        <f aca="false">IF(名簿!$D132="","",名簿!$C132)</f>
        <v/>
      </c>
      <c r="C132" s="59" t="str">
        <f aca="false">IF(名簿!$D132="","",名簿!$D132&amp;IF(名簿!$F132="転出","（転出）",""))</f>
        <v/>
      </c>
      <c r="D132" s="149"/>
      <c r="E132" s="61" t="str">
        <f aca="false">IF(OR($C132="",名簿!$F132="転出"),"",IF($C$2="学級ごと",$A132,IF($C$2="前の単元と同じ",単元12!$E132&amp;"",$D132&amp;"")))</f>
        <v/>
      </c>
      <c r="F132" s="150"/>
      <c r="G132" s="150"/>
      <c r="H132" s="150"/>
      <c r="I132" s="151"/>
      <c r="J132" s="41" t="str">
        <f aca="false">IF($E132="","",$E132&amp;"|"&amp;COUNTIF($E$5:$E132,$E132))</f>
        <v/>
      </c>
      <c r="K132" s="40" t="str">
        <f aca="false">IF($I132="","",LEN($I132))</f>
        <v/>
      </c>
      <c r="L132" s="13"/>
      <c r="M132" s="13"/>
      <c r="N132" s="13"/>
      <c r="O132" s="13"/>
      <c r="P132" s="152"/>
      <c r="Q132" s="149"/>
      <c r="R132" s="152"/>
      <c r="S132" s="152"/>
      <c r="T132" s="62" t="str">
        <f aca="false">IF(OR($C132="",R132=""),"",IF(R132/IF($R$2="",100,$R$2)&gt;=設定!$I$28,設定!$G$8,IF(R132/IF($R$2="",100,$R$2)&lt;設定!$I$29,設定!$G$10,設定!$G$9)))</f>
        <v/>
      </c>
      <c r="U132" s="62" t="str">
        <f aca="false">IF(OR($C132="",S132=""),"",IF(S132/IF($S$2="",100,$S$2)&gt;=設定!$I$28,設定!$G$8,IF(S132/IF($S$2="",100,$S$2)&lt;設定!$I$29,設定!$G$10,設定!$G$9)))</f>
        <v/>
      </c>
    </row>
    <row r="133" customFormat="false" ht="21" hidden="false" customHeight="true" outlineLevel="0" collapsed="false">
      <c r="A133" s="91" t="str">
        <f aca="false">IF(名簿!$D133="","",名簿!$B133&amp;"")</f>
        <v/>
      </c>
      <c r="B133" s="91" t="str">
        <f aca="false">IF(名簿!$D133="","",名簿!$C133)</f>
        <v/>
      </c>
      <c r="C133" s="59" t="str">
        <f aca="false">IF(名簿!$D133="","",名簿!$D133&amp;IF(名簿!$F133="転出","（転出）",""))</f>
        <v/>
      </c>
      <c r="D133" s="149"/>
      <c r="E133" s="61" t="str">
        <f aca="false">IF(OR($C133="",名簿!$F133="転出"),"",IF($C$2="学級ごと",$A133,IF($C$2="前の単元と同じ",単元12!$E133&amp;"",$D133&amp;"")))</f>
        <v/>
      </c>
      <c r="F133" s="150"/>
      <c r="G133" s="150"/>
      <c r="H133" s="150"/>
      <c r="I133" s="151"/>
      <c r="J133" s="41" t="str">
        <f aca="false">IF($E133="","",$E133&amp;"|"&amp;COUNTIF($E$5:$E133,$E133))</f>
        <v/>
      </c>
      <c r="K133" s="40" t="str">
        <f aca="false">IF($I133="","",LEN($I133))</f>
        <v/>
      </c>
      <c r="L133" s="13"/>
      <c r="M133" s="13"/>
      <c r="N133" s="13"/>
      <c r="O133" s="13"/>
      <c r="P133" s="152"/>
      <c r="Q133" s="149"/>
      <c r="R133" s="152"/>
      <c r="S133" s="152"/>
      <c r="T133" s="62" t="str">
        <f aca="false">IF(OR($C133="",R133=""),"",IF(R133/IF($R$2="",100,$R$2)&gt;=設定!$I$28,設定!$G$8,IF(R133/IF($R$2="",100,$R$2)&lt;設定!$I$29,設定!$G$10,設定!$G$9)))</f>
        <v/>
      </c>
      <c r="U133" s="62" t="str">
        <f aca="false">IF(OR($C133="",S133=""),"",IF(S133/IF($S$2="",100,$S$2)&gt;=設定!$I$28,設定!$G$8,IF(S133/IF($S$2="",100,$S$2)&lt;設定!$I$29,設定!$G$10,設定!$G$9)))</f>
        <v/>
      </c>
    </row>
    <row r="134" customFormat="false" ht="21" hidden="false" customHeight="true" outlineLevel="0" collapsed="false">
      <c r="A134" s="91" t="str">
        <f aca="false">IF(名簿!$D134="","",名簿!$B134&amp;"")</f>
        <v/>
      </c>
      <c r="B134" s="91" t="str">
        <f aca="false">IF(名簿!$D134="","",名簿!$C134)</f>
        <v/>
      </c>
      <c r="C134" s="59" t="str">
        <f aca="false">IF(名簿!$D134="","",名簿!$D134&amp;IF(名簿!$F134="転出","（転出）",""))</f>
        <v/>
      </c>
      <c r="D134" s="149"/>
      <c r="E134" s="61" t="str">
        <f aca="false">IF(OR($C134="",名簿!$F134="転出"),"",IF($C$2="学級ごと",$A134,IF($C$2="前の単元と同じ",単元12!$E134&amp;"",$D134&amp;"")))</f>
        <v/>
      </c>
      <c r="F134" s="150"/>
      <c r="G134" s="150"/>
      <c r="H134" s="150"/>
      <c r="I134" s="151"/>
      <c r="J134" s="41" t="str">
        <f aca="false">IF($E134="","",$E134&amp;"|"&amp;COUNTIF($E$5:$E134,$E134))</f>
        <v/>
      </c>
      <c r="K134" s="40" t="str">
        <f aca="false">IF($I134="","",LEN($I134))</f>
        <v/>
      </c>
      <c r="L134" s="13"/>
      <c r="M134" s="13"/>
      <c r="N134" s="13"/>
      <c r="O134" s="13"/>
      <c r="P134" s="152"/>
      <c r="Q134" s="149"/>
      <c r="R134" s="152"/>
      <c r="S134" s="152"/>
      <c r="T134" s="62" t="str">
        <f aca="false">IF(OR($C134="",R134=""),"",IF(R134/IF($R$2="",100,$R$2)&gt;=設定!$I$28,設定!$G$8,IF(R134/IF($R$2="",100,$R$2)&lt;設定!$I$29,設定!$G$10,設定!$G$9)))</f>
        <v/>
      </c>
      <c r="U134" s="62" t="str">
        <f aca="false">IF(OR($C134="",S134=""),"",IF(S134/IF($S$2="",100,$S$2)&gt;=設定!$I$28,設定!$G$8,IF(S134/IF($S$2="",100,$S$2)&lt;設定!$I$29,設定!$G$10,設定!$G$9)))</f>
        <v/>
      </c>
    </row>
    <row r="135" customFormat="false" ht="21" hidden="false" customHeight="true" outlineLevel="0" collapsed="false">
      <c r="A135" s="91" t="str">
        <f aca="false">IF(名簿!$D135="","",名簿!$B135&amp;"")</f>
        <v/>
      </c>
      <c r="B135" s="91" t="str">
        <f aca="false">IF(名簿!$D135="","",名簿!$C135)</f>
        <v/>
      </c>
      <c r="C135" s="59" t="str">
        <f aca="false">IF(名簿!$D135="","",名簿!$D135&amp;IF(名簿!$F135="転出","（転出）",""))</f>
        <v/>
      </c>
      <c r="D135" s="149"/>
      <c r="E135" s="61" t="str">
        <f aca="false">IF(OR($C135="",名簿!$F135="転出"),"",IF($C$2="学級ごと",$A135,IF($C$2="前の単元と同じ",単元12!$E135&amp;"",$D135&amp;"")))</f>
        <v/>
      </c>
      <c r="F135" s="150"/>
      <c r="G135" s="150"/>
      <c r="H135" s="150"/>
      <c r="I135" s="151"/>
      <c r="J135" s="41" t="str">
        <f aca="false">IF($E135="","",$E135&amp;"|"&amp;COUNTIF($E$5:$E135,$E135))</f>
        <v/>
      </c>
      <c r="K135" s="40" t="str">
        <f aca="false">IF($I135="","",LEN($I135))</f>
        <v/>
      </c>
      <c r="L135" s="13"/>
      <c r="M135" s="13"/>
      <c r="N135" s="13"/>
      <c r="O135" s="13"/>
      <c r="P135" s="152"/>
      <c r="Q135" s="149"/>
      <c r="R135" s="152"/>
      <c r="S135" s="152"/>
      <c r="T135" s="62" t="str">
        <f aca="false">IF(OR($C135="",R135=""),"",IF(R135/IF($R$2="",100,$R$2)&gt;=設定!$I$28,設定!$G$8,IF(R135/IF($R$2="",100,$R$2)&lt;設定!$I$29,設定!$G$10,設定!$G$9)))</f>
        <v/>
      </c>
      <c r="U135" s="62" t="str">
        <f aca="false">IF(OR($C135="",S135=""),"",IF(S135/IF($S$2="",100,$S$2)&gt;=設定!$I$28,設定!$G$8,IF(S135/IF($S$2="",100,$S$2)&lt;設定!$I$29,設定!$G$10,設定!$G$9)))</f>
        <v/>
      </c>
    </row>
    <row r="136" customFormat="false" ht="21" hidden="false" customHeight="true" outlineLevel="0" collapsed="false">
      <c r="A136" s="91" t="str">
        <f aca="false">IF(名簿!$D136="","",名簿!$B136&amp;"")</f>
        <v/>
      </c>
      <c r="B136" s="91" t="str">
        <f aca="false">IF(名簿!$D136="","",名簿!$C136)</f>
        <v/>
      </c>
      <c r="C136" s="59" t="str">
        <f aca="false">IF(名簿!$D136="","",名簿!$D136&amp;IF(名簿!$F136="転出","（転出）",""))</f>
        <v/>
      </c>
      <c r="D136" s="149"/>
      <c r="E136" s="61" t="str">
        <f aca="false">IF(OR($C136="",名簿!$F136="転出"),"",IF($C$2="学級ごと",$A136,IF($C$2="前の単元と同じ",単元12!$E136&amp;"",$D136&amp;"")))</f>
        <v/>
      </c>
      <c r="F136" s="150"/>
      <c r="G136" s="150"/>
      <c r="H136" s="150"/>
      <c r="I136" s="151"/>
      <c r="J136" s="41" t="str">
        <f aca="false">IF($E136="","",$E136&amp;"|"&amp;COUNTIF($E$5:$E136,$E136))</f>
        <v/>
      </c>
      <c r="K136" s="40" t="str">
        <f aca="false">IF($I136="","",LEN($I136))</f>
        <v/>
      </c>
      <c r="L136" s="13"/>
      <c r="M136" s="13"/>
      <c r="N136" s="13"/>
      <c r="O136" s="13"/>
      <c r="P136" s="152"/>
      <c r="Q136" s="149"/>
      <c r="R136" s="152"/>
      <c r="S136" s="152"/>
      <c r="T136" s="62" t="str">
        <f aca="false">IF(OR($C136="",R136=""),"",IF(R136/IF($R$2="",100,$R$2)&gt;=設定!$I$28,設定!$G$8,IF(R136/IF($R$2="",100,$R$2)&lt;設定!$I$29,設定!$G$10,設定!$G$9)))</f>
        <v/>
      </c>
      <c r="U136" s="62" t="str">
        <f aca="false">IF(OR($C136="",S136=""),"",IF(S136/IF($S$2="",100,$S$2)&gt;=設定!$I$28,設定!$G$8,IF(S136/IF($S$2="",100,$S$2)&lt;設定!$I$29,設定!$G$10,設定!$G$9)))</f>
        <v/>
      </c>
    </row>
    <row r="137" customFormat="false" ht="21" hidden="false" customHeight="true" outlineLevel="0" collapsed="false">
      <c r="A137" s="91" t="str">
        <f aca="false">IF(名簿!$D137="","",名簿!$B137&amp;"")</f>
        <v/>
      </c>
      <c r="B137" s="91" t="str">
        <f aca="false">IF(名簿!$D137="","",名簿!$C137)</f>
        <v/>
      </c>
      <c r="C137" s="59" t="str">
        <f aca="false">IF(名簿!$D137="","",名簿!$D137&amp;IF(名簿!$F137="転出","（転出）",""))</f>
        <v/>
      </c>
      <c r="D137" s="149"/>
      <c r="E137" s="61" t="str">
        <f aca="false">IF(OR($C137="",名簿!$F137="転出"),"",IF($C$2="学級ごと",$A137,IF($C$2="前の単元と同じ",単元12!$E137&amp;"",$D137&amp;"")))</f>
        <v/>
      </c>
      <c r="F137" s="150"/>
      <c r="G137" s="150"/>
      <c r="H137" s="150"/>
      <c r="I137" s="151"/>
      <c r="J137" s="41" t="str">
        <f aca="false">IF($E137="","",$E137&amp;"|"&amp;COUNTIF($E$5:$E137,$E137))</f>
        <v/>
      </c>
      <c r="K137" s="40" t="str">
        <f aca="false">IF($I137="","",LEN($I137))</f>
        <v/>
      </c>
      <c r="L137" s="13"/>
      <c r="M137" s="13"/>
      <c r="N137" s="13"/>
      <c r="O137" s="13"/>
      <c r="P137" s="152"/>
      <c r="Q137" s="149"/>
      <c r="R137" s="152"/>
      <c r="S137" s="152"/>
      <c r="T137" s="62" t="str">
        <f aca="false">IF(OR($C137="",R137=""),"",IF(R137/IF($R$2="",100,$R$2)&gt;=設定!$I$28,設定!$G$8,IF(R137/IF($R$2="",100,$R$2)&lt;設定!$I$29,設定!$G$10,設定!$G$9)))</f>
        <v/>
      </c>
      <c r="U137" s="62" t="str">
        <f aca="false">IF(OR($C137="",S137=""),"",IF(S137/IF($S$2="",100,$S$2)&gt;=設定!$I$28,設定!$G$8,IF(S137/IF($S$2="",100,$S$2)&lt;設定!$I$29,設定!$G$10,設定!$G$9)))</f>
        <v/>
      </c>
    </row>
    <row r="138" customFormat="false" ht="21" hidden="false" customHeight="true" outlineLevel="0" collapsed="false">
      <c r="A138" s="91" t="str">
        <f aca="false">IF(名簿!$D138="","",名簿!$B138&amp;"")</f>
        <v/>
      </c>
      <c r="B138" s="91" t="str">
        <f aca="false">IF(名簿!$D138="","",名簿!$C138)</f>
        <v/>
      </c>
      <c r="C138" s="59" t="str">
        <f aca="false">IF(名簿!$D138="","",名簿!$D138&amp;IF(名簿!$F138="転出","（転出）",""))</f>
        <v/>
      </c>
      <c r="D138" s="149"/>
      <c r="E138" s="61" t="str">
        <f aca="false">IF(OR($C138="",名簿!$F138="転出"),"",IF($C$2="学級ごと",$A138,IF($C$2="前の単元と同じ",単元12!$E138&amp;"",$D138&amp;"")))</f>
        <v/>
      </c>
      <c r="F138" s="150"/>
      <c r="G138" s="150"/>
      <c r="H138" s="150"/>
      <c r="I138" s="151"/>
      <c r="J138" s="41" t="str">
        <f aca="false">IF($E138="","",$E138&amp;"|"&amp;COUNTIF($E$5:$E138,$E138))</f>
        <v/>
      </c>
      <c r="K138" s="40" t="str">
        <f aca="false">IF($I138="","",LEN($I138))</f>
        <v/>
      </c>
      <c r="L138" s="13"/>
      <c r="M138" s="13"/>
      <c r="N138" s="13"/>
      <c r="O138" s="13"/>
      <c r="P138" s="152"/>
      <c r="Q138" s="149"/>
      <c r="R138" s="152"/>
      <c r="S138" s="152"/>
      <c r="T138" s="62" t="str">
        <f aca="false">IF(OR($C138="",R138=""),"",IF(R138/IF($R$2="",100,$R$2)&gt;=設定!$I$28,設定!$G$8,IF(R138/IF($R$2="",100,$R$2)&lt;設定!$I$29,設定!$G$10,設定!$G$9)))</f>
        <v/>
      </c>
      <c r="U138" s="62" t="str">
        <f aca="false">IF(OR($C138="",S138=""),"",IF(S138/IF($S$2="",100,$S$2)&gt;=設定!$I$28,設定!$G$8,IF(S138/IF($S$2="",100,$S$2)&lt;設定!$I$29,設定!$G$10,設定!$G$9)))</f>
        <v/>
      </c>
    </row>
    <row r="139" customFormat="false" ht="21" hidden="false" customHeight="true" outlineLevel="0" collapsed="false">
      <c r="A139" s="91" t="str">
        <f aca="false">IF(名簿!$D139="","",名簿!$B139&amp;"")</f>
        <v/>
      </c>
      <c r="B139" s="91" t="str">
        <f aca="false">IF(名簿!$D139="","",名簿!$C139)</f>
        <v/>
      </c>
      <c r="C139" s="59" t="str">
        <f aca="false">IF(名簿!$D139="","",名簿!$D139&amp;IF(名簿!$F139="転出","（転出）",""))</f>
        <v/>
      </c>
      <c r="D139" s="149"/>
      <c r="E139" s="61" t="str">
        <f aca="false">IF(OR($C139="",名簿!$F139="転出"),"",IF($C$2="学級ごと",$A139,IF($C$2="前の単元と同じ",単元12!$E139&amp;"",$D139&amp;"")))</f>
        <v/>
      </c>
      <c r="F139" s="150"/>
      <c r="G139" s="150"/>
      <c r="H139" s="150"/>
      <c r="I139" s="151"/>
      <c r="J139" s="41" t="str">
        <f aca="false">IF($E139="","",$E139&amp;"|"&amp;COUNTIF($E$5:$E139,$E139))</f>
        <v/>
      </c>
      <c r="K139" s="40" t="str">
        <f aca="false">IF($I139="","",LEN($I139))</f>
        <v/>
      </c>
      <c r="L139" s="13"/>
      <c r="M139" s="13"/>
      <c r="N139" s="13"/>
      <c r="O139" s="13"/>
      <c r="P139" s="152"/>
      <c r="Q139" s="149"/>
      <c r="R139" s="152"/>
      <c r="S139" s="152"/>
      <c r="T139" s="62" t="str">
        <f aca="false">IF(OR($C139="",R139=""),"",IF(R139/IF($R$2="",100,$R$2)&gt;=設定!$I$28,設定!$G$8,IF(R139/IF($R$2="",100,$R$2)&lt;設定!$I$29,設定!$G$10,設定!$G$9)))</f>
        <v/>
      </c>
      <c r="U139" s="62" t="str">
        <f aca="false">IF(OR($C139="",S139=""),"",IF(S139/IF($S$2="",100,$S$2)&gt;=設定!$I$28,設定!$G$8,IF(S139/IF($S$2="",100,$S$2)&lt;設定!$I$29,設定!$G$10,設定!$G$9)))</f>
        <v/>
      </c>
    </row>
    <row r="140" customFormat="false" ht="21" hidden="false" customHeight="true" outlineLevel="0" collapsed="false">
      <c r="A140" s="91" t="str">
        <f aca="false">IF(名簿!$D140="","",名簿!$B140&amp;"")</f>
        <v/>
      </c>
      <c r="B140" s="91" t="str">
        <f aca="false">IF(名簿!$D140="","",名簿!$C140)</f>
        <v/>
      </c>
      <c r="C140" s="59" t="str">
        <f aca="false">IF(名簿!$D140="","",名簿!$D140&amp;IF(名簿!$F140="転出","（転出）",""))</f>
        <v/>
      </c>
      <c r="D140" s="149"/>
      <c r="E140" s="61" t="str">
        <f aca="false">IF(OR($C140="",名簿!$F140="転出"),"",IF($C$2="学級ごと",$A140,IF($C$2="前の単元と同じ",単元12!$E140&amp;"",$D140&amp;"")))</f>
        <v/>
      </c>
      <c r="F140" s="150"/>
      <c r="G140" s="150"/>
      <c r="H140" s="150"/>
      <c r="I140" s="151"/>
      <c r="J140" s="41" t="str">
        <f aca="false">IF($E140="","",$E140&amp;"|"&amp;COUNTIF($E$5:$E140,$E140))</f>
        <v/>
      </c>
      <c r="K140" s="40" t="str">
        <f aca="false">IF($I140="","",LEN($I140))</f>
        <v/>
      </c>
      <c r="L140" s="13"/>
      <c r="M140" s="13"/>
      <c r="N140" s="13"/>
      <c r="O140" s="13"/>
      <c r="P140" s="152"/>
      <c r="Q140" s="149"/>
      <c r="R140" s="152"/>
      <c r="S140" s="152"/>
      <c r="T140" s="62" t="str">
        <f aca="false">IF(OR($C140="",R140=""),"",IF(R140/IF($R$2="",100,$R$2)&gt;=設定!$I$28,設定!$G$8,IF(R140/IF($R$2="",100,$R$2)&lt;設定!$I$29,設定!$G$10,設定!$G$9)))</f>
        <v/>
      </c>
      <c r="U140" s="62" t="str">
        <f aca="false">IF(OR($C140="",S140=""),"",IF(S140/IF($S$2="",100,$S$2)&gt;=設定!$I$28,設定!$G$8,IF(S140/IF($S$2="",100,$S$2)&lt;設定!$I$29,設定!$G$10,設定!$G$9)))</f>
        <v/>
      </c>
    </row>
    <row r="141" customFormat="false" ht="21" hidden="false" customHeight="true" outlineLevel="0" collapsed="false">
      <c r="A141" s="91" t="str">
        <f aca="false">IF(名簿!$D141="","",名簿!$B141&amp;"")</f>
        <v/>
      </c>
      <c r="B141" s="91" t="str">
        <f aca="false">IF(名簿!$D141="","",名簿!$C141)</f>
        <v/>
      </c>
      <c r="C141" s="59" t="str">
        <f aca="false">IF(名簿!$D141="","",名簿!$D141&amp;IF(名簿!$F141="転出","（転出）",""))</f>
        <v/>
      </c>
      <c r="D141" s="149"/>
      <c r="E141" s="61" t="str">
        <f aca="false">IF(OR($C141="",名簿!$F141="転出"),"",IF($C$2="学級ごと",$A141,IF($C$2="前の単元と同じ",単元12!$E141&amp;"",$D141&amp;"")))</f>
        <v/>
      </c>
      <c r="F141" s="150"/>
      <c r="G141" s="150"/>
      <c r="H141" s="150"/>
      <c r="I141" s="151"/>
      <c r="J141" s="41" t="str">
        <f aca="false">IF($E141="","",$E141&amp;"|"&amp;COUNTIF($E$5:$E141,$E141))</f>
        <v/>
      </c>
      <c r="K141" s="40" t="str">
        <f aca="false">IF($I141="","",LEN($I141))</f>
        <v/>
      </c>
      <c r="L141" s="13"/>
      <c r="M141" s="13"/>
      <c r="N141" s="13"/>
      <c r="O141" s="13"/>
      <c r="P141" s="152"/>
      <c r="Q141" s="149"/>
      <c r="R141" s="152"/>
      <c r="S141" s="152"/>
      <c r="T141" s="62" t="str">
        <f aca="false">IF(OR($C141="",R141=""),"",IF(R141/IF($R$2="",100,$R$2)&gt;=設定!$I$28,設定!$G$8,IF(R141/IF($R$2="",100,$R$2)&lt;設定!$I$29,設定!$G$10,設定!$G$9)))</f>
        <v/>
      </c>
      <c r="U141" s="62" t="str">
        <f aca="false">IF(OR($C141="",S141=""),"",IF(S141/IF($S$2="",100,$S$2)&gt;=設定!$I$28,設定!$G$8,IF(S141/IF($S$2="",100,$S$2)&lt;設定!$I$29,設定!$G$10,設定!$G$9)))</f>
        <v/>
      </c>
    </row>
    <row r="142" customFormat="false" ht="21" hidden="false" customHeight="true" outlineLevel="0" collapsed="false">
      <c r="A142" s="91" t="str">
        <f aca="false">IF(名簿!$D142="","",名簿!$B142&amp;"")</f>
        <v/>
      </c>
      <c r="B142" s="91" t="str">
        <f aca="false">IF(名簿!$D142="","",名簿!$C142)</f>
        <v/>
      </c>
      <c r="C142" s="59" t="str">
        <f aca="false">IF(名簿!$D142="","",名簿!$D142&amp;IF(名簿!$F142="転出","（転出）",""))</f>
        <v/>
      </c>
      <c r="D142" s="149"/>
      <c r="E142" s="61" t="str">
        <f aca="false">IF(OR($C142="",名簿!$F142="転出"),"",IF($C$2="学級ごと",$A142,IF($C$2="前の単元と同じ",単元12!$E142&amp;"",$D142&amp;"")))</f>
        <v/>
      </c>
      <c r="F142" s="150"/>
      <c r="G142" s="150"/>
      <c r="H142" s="150"/>
      <c r="I142" s="151"/>
      <c r="J142" s="41" t="str">
        <f aca="false">IF($E142="","",$E142&amp;"|"&amp;COUNTIF($E$5:$E142,$E142))</f>
        <v/>
      </c>
      <c r="K142" s="40" t="str">
        <f aca="false">IF($I142="","",LEN($I142))</f>
        <v/>
      </c>
      <c r="L142" s="13"/>
      <c r="M142" s="13"/>
      <c r="N142" s="13"/>
      <c r="O142" s="13"/>
      <c r="P142" s="152"/>
      <c r="Q142" s="149"/>
      <c r="R142" s="152"/>
      <c r="S142" s="152"/>
      <c r="T142" s="62" t="str">
        <f aca="false">IF(OR($C142="",R142=""),"",IF(R142/IF($R$2="",100,$R$2)&gt;=設定!$I$28,設定!$G$8,IF(R142/IF($R$2="",100,$R$2)&lt;設定!$I$29,設定!$G$10,設定!$G$9)))</f>
        <v/>
      </c>
      <c r="U142" s="62" t="str">
        <f aca="false">IF(OR($C142="",S142=""),"",IF(S142/IF($S$2="",100,$S$2)&gt;=設定!$I$28,設定!$G$8,IF(S142/IF($S$2="",100,$S$2)&lt;設定!$I$29,設定!$G$10,設定!$G$9)))</f>
        <v/>
      </c>
    </row>
    <row r="143" customFormat="false" ht="21" hidden="false" customHeight="true" outlineLevel="0" collapsed="false">
      <c r="A143" s="91" t="str">
        <f aca="false">IF(名簿!$D143="","",名簿!$B143&amp;"")</f>
        <v/>
      </c>
      <c r="B143" s="91" t="str">
        <f aca="false">IF(名簿!$D143="","",名簿!$C143)</f>
        <v/>
      </c>
      <c r="C143" s="59" t="str">
        <f aca="false">IF(名簿!$D143="","",名簿!$D143&amp;IF(名簿!$F143="転出","（転出）",""))</f>
        <v/>
      </c>
      <c r="D143" s="149"/>
      <c r="E143" s="61" t="str">
        <f aca="false">IF(OR($C143="",名簿!$F143="転出"),"",IF($C$2="学級ごと",$A143,IF($C$2="前の単元と同じ",単元12!$E143&amp;"",$D143&amp;"")))</f>
        <v/>
      </c>
      <c r="F143" s="150"/>
      <c r="G143" s="150"/>
      <c r="H143" s="150"/>
      <c r="I143" s="151"/>
      <c r="J143" s="41" t="str">
        <f aca="false">IF($E143="","",$E143&amp;"|"&amp;COUNTIF($E$5:$E143,$E143))</f>
        <v/>
      </c>
      <c r="K143" s="40" t="str">
        <f aca="false">IF($I143="","",LEN($I143))</f>
        <v/>
      </c>
      <c r="L143" s="13"/>
      <c r="M143" s="13"/>
      <c r="N143" s="13"/>
      <c r="O143" s="13"/>
      <c r="P143" s="152"/>
      <c r="Q143" s="149"/>
      <c r="R143" s="152"/>
      <c r="S143" s="152"/>
      <c r="T143" s="62" t="str">
        <f aca="false">IF(OR($C143="",R143=""),"",IF(R143/IF($R$2="",100,$R$2)&gt;=設定!$I$28,設定!$G$8,IF(R143/IF($R$2="",100,$R$2)&lt;設定!$I$29,設定!$G$10,設定!$G$9)))</f>
        <v/>
      </c>
      <c r="U143" s="62" t="str">
        <f aca="false">IF(OR($C143="",S143=""),"",IF(S143/IF($S$2="",100,$S$2)&gt;=設定!$I$28,設定!$G$8,IF(S143/IF($S$2="",100,$S$2)&lt;設定!$I$29,設定!$G$10,設定!$G$9)))</f>
        <v/>
      </c>
    </row>
    <row r="144" customFormat="false" ht="21" hidden="false" customHeight="true" outlineLevel="0" collapsed="false">
      <c r="A144" s="91" t="str">
        <f aca="false">IF(名簿!$D144="","",名簿!$B144&amp;"")</f>
        <v/>
      </c>
      <c r="B144" s="91" t="str">
        <f aca="false">IF(名簿!$D144="","",名簿!$C144)</f>
        <v/>
      </c>
      <c r="C144" s="59" t="str">
        <f aca="false">IF(名簿!$D144="","",名簿!$D144&amp;IF(名簿!$F144="転出","（転出）",""))</f>
        <v/>
      </c>
      <c r="D144" s="149"/>
      <c r="E144" s="61" t="str">
        <f aca="false">IF(OR($C144="",名簿!$F144="転出"),"",IF($C$2="学級ごと",$A144,IF($C$2="前の単元と同じ",単元12!$E144&amp;"",$D144&amp;"")))</f>
        <v/>
      </c>
      <c r="F144" s="150"/>
      <c r="G144" s="150"/>
      <c r="H144" s="150"/>
      <c r="I144" s="151"/>
      <c r="J144" s="41" t="str">
        <f aca="false">IF($E144="","",$E144&amp;"|"&amp;COUNTIF($E$5:$E144,$E144))</f>
        <v/>
      </c>
      <c r="K144" s="40" t="str">
        <f aca="false">IF($I144="","",LEN($I144))</f>
        <v/>
      </c>
      <c r="L144" s="13"/>
      <c r="M144" s="13"/>
      <c r="N144" s="13"/>
      <c r="O144" s="13"/>
      <c r="P144" s="152"/>
      <c r="Q144" s="149"/>
      <c r="R144" s="152"/>
      <c r="S144" s="152"/>
      <c r="T144" s="62" t="str">
        <f aca="false">IF(OR($C144="",R144=""),"",IF(R144/IF($R$2="",100,$R$2)&gt;=設定!$I$28,設定!$G$8,IF(R144/IF($R$2="",100,$R$2)&lt;設定!$I$29,設定!$G$10,設定!$G$9)))</f>
        <v/>
      </c>
      <c r="U144" s="62" t="str">
        <f aca="false">IF(OR($C144="",S144=""),"",IF(S144/IF($S$2="",100,$S$2)&gt;=設定!$I$28,設定!$G$8,IF(S144/IF($S$2="",100,$S$2)&lt;設定!$I$29,設定!$G$10,設定!$G$9)))</f>
        <v/>
      </c>
    </row>
    <row r="145" customFormat="false" ht="21" hidden="false" customHeight="true" outlineLevel="0" collapsed="false">
      <c r="A145" s="91" t="str">
        <f aca="false">IF(名簿!$D145="","",名簿!$B145&amp;"")</f>
        <v/>
      </c>
      <c r="B145" s="91" t="str">
        <f aca="false">IF(名簿!$D145="","",名簿!$C145)</f>
        <v/>
      </c>
      <c r="C145" s="59" t="str">
        <f aca="false">IF(名簿!$D145="","",名簿!$D145&amp;IF(名簿!$F145="転出","（転出）",""))</f>
        <v/>
      </c>
      <c r="D145" s="149"/>
      <c r="E145" s="61" t="str">
        <f aca="false">IF(OR($C145="",名簿!$F145="転出"),"",IF($C$2="学級ごと",$A145,IF($C$2="前の単元と同じ",単元12!$E145&amp;"",$D145&amp;"")))</f>
        <v/>
      </c>
      <c r="F145" s="150"/>
      <c r="G145" s="150"/>
      <c r="H145" s="150"/>
      <c r="I145" s="151"/>
      <c r="J145" s="41" t="str">
        <f aca="false">IF($E145="","",$E145&amp;"|"&amp;COUNTIF($E$5:$E145,$E145))</f>
        <v/>
      </c>
      <c r="K145" s="40" t="str">
        <f aca="false">IF($I145="","",LEN($I145))</f>
        <v/>
      </c>
      <c r="L145" s="13"/>
      <c r="M145" s="13"/>
      <c r="N145" s="13"/>
      <c r="O145" s="13"/>
      <c r="P145" s="152"/>
      <c r="Q145" s="149"/>
      <c r="R145" s="152"/>
      <c r="S145" s="152"/>
      <c r="T145" s="62" t="str">
        <f aca="false">IF(OR($C145="",R145=""),"",IF(R145/IF($R$2="",100,$R$2)&gt;=設定!$I$28,設定!$G$8,IF(R145/IF($R$2="",100,$R$2)&lt;設定!$I$29,設定!$G$10,設定!$G$9)))</f>
        <v/>
      </c>
      <c r="U145" s="62" t="str">
        <f aca="false">IF(OR($C145="",S145=""),"",IF(S145/IF($S$2="",100,$S$2)&gt;=設定!$I$28,設定!$G$8,IF(S145/IF($S$2="",100,$S$2)&lt;設定!$I$29,設定!$G$10,設定!$G$9)))</f>
        <v/>
      </c>
    </row>
    <row r="146" customFormat="false" ht="21" hidden="false" customHeight="true" outlineLevel="0" collapsed="false">
      <c r="A146" s="91" t="str">
        <f aca="false">IF(名簿!$D146="","",名簿!$B146&amp;"")</f>
        <v/>
      </c>
      <c r="B146" s="91" t="str">
        <f aca="false">IF(名簿!$D146="","",名簿!$C146)</f>
        <v/>
      </c>
      <c r="C146" s="59" t="str">
        <f aca="false">IF(名簿!$D146="","",名簿!$D146&amp;IF(名簿!$F146="転出","（転出）",""))</f>
        <v/>
      </c>
      <c r="D146" s="149"/>
      <c r="E146" s="61" t="str">
        <f aca="false">IF(OR($C146="",名簿!$F146="転出"),"",IF($C$2="学級ごと",$A146,IF($C$2="前の単元と同じ",単元12!$E146&amp;"",$D146&amp;"")))</f>
        <v/>
      </c>
      <c r="F146" s="150"/>
      <c r="G146" s="150"/>
      <c r="H146" s="150"/>
      <c r="I146" s="151"/>
      <c r="J146" s="41" t="str">
        <f aca="false">IF($E146="","",$E146&amp;"|"&amp;COUNTIF($E$5:$E146,$E146))</f>
        <v/>
      </c>
      <c r="K146" s="40" t="str">
        <f aca="false">IF($I146="","",LEN($I146))</f>
        <v/>
      </c>
      <c r="L146" s="13"/>
      <c r="M146" s="13"/>
      <c r="N146" s="13"/>
      <c r="O146" s="13"/>
      <c r="P146" s="152"/>
      <c r="Q146" s="149"/>
      <c r="R146" s="152"/>
      <c r="S146" s="152"/>
      <c r="T146" s="62" t="str">
        <f aca="false">IF(OR($C146="",R146=""),"",IF(R146/IF($R$2="",100,$R$2)&gt;=設定!$I$28,設定!$G$8,IF(R146/IF($R$2="",100,$R$2)&lt;設定!$I$29,設定!$G$10,設定!$G$9)))</f>
        <v/>
      </c>
      <c r="U146" s="62" t="str">
        <f aca="false">IF(OR($C146="",S146=""),"",IF(S146/IF($S$2="",100,$S$2)&gt;=設定!$I$28,設定!$G$8,IF(S146/IF($S$2="",100,$S$2)&lt;設定!$I$29,設定!$G$10,設定!$G$9)))</f>
        <v/>
      </c>
    </row>
    <row r="147" customFormat="false" ht="21" hidden="false" customHeight="true" outlineLevel="0" collapsed="false">
      <c r="A147" s="91" t="str">
        <f aca="false">IF(名簿!$D147="","",名簿!$B147&amp;"")</f>
        <v/>
      </c>
      <c r="B147" s="91" t="str">
        <f aca="false">IF(名簿!$D147="","",名簿!$C147)</f>
        <v/>
      </c>
      <c r="C147" s="59" t="str">
        <f aca="false">IF(名簿!$D147="","",名簿!$D147&amp;IF(名簿!$F147="転出","（転出）",""))</f>
        <v/>
      </c>
      <c r="D147" s="149"/>
      <c r="E147" s="61" t="str">
        <f aca="false">IF(OR($C147="",名簿!$F147="転出"),"",IF($C$2="学級ごと",$A147,IF($C$2="前の単元と同じ",単元12!$E147&amp;"",$D147&amp;"")))</f>
        <v/>
      </c>
      <c r="F147" s="150"/>
      <c r="G147" s="150"/>
      <c r="H147" s="150"/>
      <c r="I147" s="151"/>
      <c r="J147" s="41" t="str">
        <f aca="false">IF($E147="","",$E147&amp;"|"&amp;COUNTIF($E$5:$E147,$E147))</f>
        <v/>
      </c>
      <c r="K147" s="40" t="str">
        <f aca="false">IF($I147="","",LEN($I147))</f>
        <v/>
      </c>
      <c r="L147" s="13"/>
      <c r="M147" s="13"/>
      <c r="N147" s="13"/>
      <c r="O147" s="13"/>
      <c r="P147" s="152"/>
      <c r="Q147" s="149"/>
      <c r="R147" s="152"/>
      <c r="S147" s="152"/>
      <c r="T147" s="62" t="str">
        <f aca="false">IF(OR($C147="",R147=""),"",IF(R147/IF($R$2="",100,$R$2)&gt;=設定!$I$28,設定!$G$8,IF(R147/IF($R$2="",100,$R$2)&lt;設定!$I$29,設定!$G$10,設定!$G$9)))</f>
        <v/>
      </c>
      <c r="U147" s="62" t="str">
        <f aca="false">IF(OR($C147="",S147=""),"",IF(S147/IF($S$2="",100,$S$2)&gt;=設定!$I$28,設定!$G$8,IF(S147/IF($S$2="",100,$S$2)&lt;設定!$I$29,設定!$G$10,設定!$G$9)))</f>
        <v/>
      </c>
    </row>
    <row r="148" customFormat="false" ht="21" hidden="false" customHeight="true" outlineLevel="0" collapsed="false">
      <c r="A148" s="91" t="str">
        <f aca="false">IF(名簿!$D148="","",名簿!$B148&amp;"")</f>
        <v/>
      </c>
      <c r="B148" s="91" t="str">
        <f aca="false">IF(名簿!$D148="","",名簿!$C148)</f>
        <v/>
      </c>
      <c r="C148" s="59" t="str">
        <f aca="false">IF(名簿!$D148="","",名簿!$D148&amp;IF(名簿!$F148="転出","（転出）",""))</f>
        <v/>
      </c>
      <c r="D148" s="149"/>
      <c r="E148" s="61" t="str">
        <f aca="false">IF(OR($C148="",名簿!$F148="転出"),"",IF($C$2="学級ごと",$A148,IF($C$2="前の単元と同じ",単元12!$E148&amp;"",$D148&amp;"")))</f>
        <v/>
      </c>
      <c r="F148" s="150"/>
      <c r="G148" s="150"/>
      <c r="H148" s="150"/>
      <c r="I148" s="151"/>
      <c r="J148" s="41" t="str">
        <f aca="false">IF($E148="","",$E148&amp;"|"&amp;COUNTIF($E$5:$E148,$E148))</f>
        <v/>
      </c>
      <c r="K148" s="40" t="str">
        <f aca="false">IF($I148="","",LEN($I148))</f>
        <v/>
      </c>
      <c r="L148" s="13"/>
      <c r="M148" s="13"/>
      <c r="N148" s="13"/>
      <c r="O148" s="13"/>
      <c r="P148" s="152"/>
      <c r="Q148" s="149"/>
      <c r="R148" s="152"/>
      <c r="S148" s="152"/>
      <c r="T148" s="62" t="str">
        <f aca="false">IF(OR($C148="",R148=""),"",IF(R148/IF($R$2="",100,$R$2)&gt;=設定!$I$28,設定!$G$8,IF(R148/IF($R$2="",100,$R$2)&lt;設定!$I$29,設定!$G$10,設定!$G$9)))</f>
        <v/>
      </c>
      <c r="U148" s="62" t="str">
        <f aca="false">IF(OR($C148="",S148=""),"",IF(S148/IF($S$2="",100,$S$2)&gt;=設定!$I$28,設定!$G$8,IF(S148/IF($S$2="",100,$S$2)&lt;設定!$I$29,設定!$G$10,設定!$G$9)))</f>
        <v/>
      </c>
    </row>
    <row r="149" customFormat="false" ht="21" hidden="false" customHeight="true" outlineLevel="0" collapsed="false">
      <c r="A149" s="91" t="str">
        <f aca="false">IF(名簿!$D149="","",名簿!$B149&amp;"")</f>
        <v/>
      </c>
      <c r="B149" s="91" t="str">
        <f aca="false">IF(名簿!$D149="","",名簿!$C149)</f>
        <v/>
      </c>
      <c r="C149" s="59" t="str">
        <f aca="false">IF(名簿!$D149="","",名簿!$D149&amp;IF(名簿!$F149="転出","（転出）",""))</f>
        <v/>
      </c>
      <c r="D149" s="149"/>
      <c r="E149" s="61" t="str">
        <f aca="false">IF(OR($C149="",名簿!$F149="転出"),"",IF($C$2="学級ごと",$A149,IF($C$2="前の単元と同じ",単元12!$E149&amp;"",$D149&amp;"")))</f>
        <v/>
      </c>
      <c r="F149" s="150"/>
      <c r="G149" s="150"/>
      <c r="H149" s="150"/>
      <c r="I149" s="151"/>
      <c r="J149" s="41" t="str">
        <f aca="false">IF($E149="","",$E149&amp;"|"&amp;COUNTIF($E$5:$E149,$E149))</f>
        <v/>
      </c>
      <c r="K149" s="40" t="str">
        <f aca="false">IF($I149="","",LEN($I149))</f>
        <v/>
      </c>
      <c r="L149" s="13"/>
      <c r="M149" s="13"/>
      <c r="N149" s="13"/>
      <c r="O149" s="13"/>
      <c r="P149" s="152"/>
      <c r="Q149" s="149"/>
      <c r="R149" s="152"/>
      <c r="S149" s="152"/>
      <c r="T149" s="62" t="str">
        <f aca="false">IF(OR($C149="",R149=""),"",IF(R149/IF($R$2="",100,$R$2)&gt;=設定!$I$28,設定!$G$8,IF(R149/IF($R$2="",100,$R$2)&lt;設定!$I$29,設定!$G$10,設定!$G$9)))</f>
        <v/>
      </c>
      <c r="U149" s="62" t="str">
        <f aca="false">IF(OR($C149="",S149=""),"",IF(S149/IF($S$2="",100,$S$2)&gt;=設定!$I$28,設定!$G$8,IF(S149/IF($S$2="",100,$S$2)&lt;設定!$I$29,設定!$G$10,設定!$G$9)))</f>
        <v/>
      </c>
    </row>
    <row r="150" customFormat="false" ht="21" hidden="false" customHeight="true" outlineLevel="0" collapsed="false">
      <c r="A150" s="91" t="str">
        <f aca="false">IF(名簿!$D150="","",名簿!$B150&amp;"")</f>
        <v/>
      </c>
      <c r="B150" s="91" t="str">
        <f aca="false">IF(名簿!$D150="","",名簿!$C150)</f>
        <v/>
      </c>
      <c r="C150" s="59" t="str">
        <f aca="false">IF(名簿!$D150="","",名簿!$D150&amp;IF(名簿!$F150="転出","（転出）",""))</f>
        <v/>
      </c>
      <c r="D150" s="149"/>
      <c r="E150" s="61" t="str">
        <f aca="false">IF(OR($C150="",名簿!$F150="転出"),"",IF($C$2="学級ごと",$A150,IF($C$2="前の単元と同じ",単元12!$E150&amp;"",$D150&amp;"")))</f>
        <v/>
      </c>
      <c r="F150" s="150"/>
      <c r="G150" s="150"/>
      <c r="H150" s="150"/>
      <c r="I150" s="151"/>
      <c r="J150" s="41" t="str">
        <f aca="false">IF($E150="","",$E150&amp;"|"&amp;COUNTIF($E$5:$E150,$E150))</f>
        <v/>
      </c>
      <c r="K150" s="40" t="str">
        <f aca="false">IF($I150="","",LEN($I150))</f>
        <v/>
      </c>
      <c r="L150" s="13"/>
      <c r="M150" s="13"/>
      <c r="N150" s="13"/>
      <c r="O150" s="13"/>
      <c r="P150" s="152"/>
      <c r="Q150" s="149"/>
      <c r="R150" s="152"/>
      <c r="S150" s="152"/>
      <c r="T150" s="62" t="str">
        <f aca="false">IF(OR($C150="",R150=""),"",IF(R150/IF($R$2="",100,$R$2)&gt;=設定!$I$28,設定!$G$8,IF(R150/IF($R$2="",100,$R$2)&lt;設定!$I$29,設定!$G$10,設定!$G$9)))</f>
        <v/>
      </c>
      <c r="U150" s="62" t="str">
        <f aca="false">IF(OR($C150="",S150=""),"",IF(S150/IF($S$2="",100,$S$2)&gt;=設定!$I$28,設定!$G$8,IF(S150/IF($S$2="",100,$S$2)&lt;設定!$I$29,設定!$G$10,設定!$G$9)))</f>
        <v/>
      </c>
    </row>
    <row r="151" customFormat="false" ht="21" hidden="false" customHeight="true" outlineLevel="0" collapsed="false">
      <c r="A151" s="91" t="str">
        <f aca="false">IF(名簿!$D151="","",名簿!$B151&amp;"")</f>
        <v/>
      </c>
      <c r="B151" s="91" t="str">
        <f aca="false">IF(名簿!$D151="","",名簿!$C151)</f>
        <v/>
      </c>
      <c r="C151" s="59" t="str">
        <f aca="false">IF(名簿!$D151="","",名簿!$D151&amp;IF(名簿!$F151="転出","（転出）",""))</f>
        <v/>
      </c>
      <c r="D151" s="149"/>
      <c r="E151" s="61" t="str">
        <f aca="false">IF(OR($C151="",名簿!$F151="転出"),"",IF($C$2="学級ごと",$A151,IF($C$2="前の単元と同じ",単元12!$E151&amp;"",$D151&amp;"")))</f>
        <v/>
      </c>
      <c r="F151" s="150"/>
      <c r="G151" s="150"/>
      <c r="H151" s="150"/>
      <c r="I151" s="151"/>
      <c r="J151" s="41" t="str">
        <f aca="false">IF($E151="","",$E151&amp;"|"&amp;COUNTIF($E$5:$E151,$E151))</f>
        <v/>
      </c>
      <c r="K151" s="40" t="str">
        <f aca="false">IF($I151="","",LEN($I151))</f>
        <v/>
      </c>
      <c r="L151" s="13"/>
      <c r="M151" s="13"/>
      <c r="N151" s="13"/>
      <c r="O151" s="13"/>
      <c r="P151" s="152"/>
      <c r="Q151" s="149"/>
      <c r="R151" s="152"/>
      <c r="S151" s="152"/>
      <c r="T151" s="62" t="str">
        <f aca="false">IF(OR($C151="",R151=""),"",IF(R151/IF($R$2="",100,$R$2)&gt;=設定!$I$28,設定!$G$8,IF(R151/IF($R$2="",100,$R$2)&lt;設定!$I$29,設定!$G$10,設定!$G$9)))</f>
        <v/>
      </c>
      <c r="U151" s="62" t="str">
        <f aca="false">IF(OR($C151="",S151=""),"",IF(S151/IF($S$2="",100,$S$2)&gt;=設定!$I$28,設定!$G$8,IF(S151/IF($S$2="",100,$S$2)&lt;設定!$I$29,設定!$G$10,設定!$G$9)))</f>
        <v/>
      </c>
    </row>
    <row r="152" customFormat="false" ht="21" hidden="false" customHeight="true" outlineLevel="0" collapsed="false">
      <c r="A152" s="91" t="str">
        <f aca="false">IF(名簿!$D152="","",名簿!$B152&amp;"")</f>
        <v/>
      </c>
      <c r="B152" s="91" t="str">
        <f aca="false">IF(名簿!$D152="","",名簿!$C152)</f>
        <v/>
      </c>
      <c r="C152" s="59" t="str">
        <f aca="false">IF(名簿!$D152="","",名簿!$D152&amp;IF(名簿!$F152="転出","（転出）",""))</f>
        <v/>
      </c>
      <c r="D152" s="149"/>
      <c r="E152" s="61" t="str">
        <f aca="false">IF(OR($C152="",名簿!$F152="転出"),"",IF($C$2="学級ごと",$A152,IF($C$2="前の単元と同じ",単元12!$E152&amp;"",$D152&amp;"")))</f>
        <v/>
      </c>
      <c r="F152" s="150"/>
      <c r="G152" s="150"/>
      <c r="H152" s="150"/>
      <c r="I152" s="151"/>
      <c r="J152" s="41" t="str">
        <f aca="false">IF($E152="","",$E152&amp;"|"&amp;COUNTIF($E$5:$E152,$E152))</f>
        <v/>
      </c>
      <c r="K152" s="40" t="str">
        <f aca="false">IF($I152="","",LEN($I152))</f>
        <v/>
      </c>
      <c r="L152" s="13"/>
      <c r="M152" s="13"/>
      <c r="N152" s="13"/>
      <c r="O152" s="13"/>
      <c r="P152" s="152"/>
      <c r="Q152" s="149"/>
      <c r="R152" s="152"/>
      <c r="S152" s="152"/>
      <c r="T152" s="62" t="str">
        <f aca="false">IF(OR($C152="",R152=""),"",IF(R152/IF($R$2="",100,$R$2)&gt;=設定!$I$28,設定!$G$8,IF(R152/IF($R$2="",100,$R$2)&lt;設定!$I$29,設定!$G$10,設定!$G$9)))</f>
        <v/>
      </c>
      <c r="U152" s="62" t="str">
        <f aca="false">IF(OR($C152="",S152=""),"",IF(S152/IF($S$2="",100,$S$2)&gt;=設定!$I$28,設定!$G$8,IF(S152/IF($S$2="",100,$S$2)&lt;設定!$I$29,設定!$G$10,設定!$G$9)))</f>
        <v/>
      </c>
    </row>
    <row r="153" customFormat="false" ht="21" hidden="false" customHeight="true" outlineLevel="0" collapsed="false">
      <c r="A153" s="91" t="str">
        <f aca="false">IF(名簿!$D153="","",名簿!$B153&amp;"")</f>
        <v/>
      </c>
      <c r="B153" s="91" t="str">
        <f aca="false">IF(名簿!$D153="","",名簿!$C153)</f>
        <v/>
      </c>
      <c r="C153" s="59" t="str">
        <f aca="false">IF(名簿!$D153="","",名簿!$D153&amp;IF(名簿!$F153="転出","（転出）",""))</f>
        <v/>
      </c>
      <c r="D153" s="149"/>
      <c r="E153" s="61" t="str">
        <f aca="false">IF(OR($C153="",名簿!$F153="転出"),"",IF($C$2="学級ごと",$A153,IF($C$2="前の単元と同じ",単元12!$E153&amp;"",$D153&amp;"")))</f>
        <v/>
      </c>
      <c r="F153" s="150"/>
      <c r="G153" s="150"/>
      <c r="H153" s="150"/>
      <c r="I153" s="151"/>
      <c r="J153" s="41" t="str">
        <f aca="false">IF($E153="","",$E153&amp;"|"&amp;COUNTIF($E$5:$E153,$E153))</f>
        <v/>
      </c>
      <c r="K153" s="40" t="str">
        <f aca="false">IF($I153="","",LEN($I153))</f>
        <v/>
      </c>
      <c r="L153" s="13"/>
      <c r="M153" s="13"/>
      <c r="N153" s="13"/>
      <c r="O153" s="13"/>
      <c r="P153" s="152"/>
      <c r="Q153" s="149"/>
      <c r="R153" s="152"/>
      <c r="S153" s="152"/>
      <c r="T153" s="62" t="str">
        <f aca="false">IF(OR($C153="",R153=""),"",IF(R153/IF($R$2="",100,$R$2)&gt;=設定!$I$28,設定!$G$8,IF(R153/IF($R$2="",100,$R$2)&lt;設定!$I$29,設定!$G$10,設定!$G$9)))</f>
        <v/>
      </c>
      <c r="U153" s="62" t="str">
        <f aca="false">IF(OR($C153="",S153=""),"",IF(S153/IF($S$2="",100,$S$2)&gt;=設定!$I$28,設定!$G$8,IF(S153/IF($S$2="",100,$S$2)&lt;設定!$I$29,設定!$G$10,設定!$G$9)))</f>
        <v/>
      </c>
    </row>
    <row r="154" customFormat="false" ht="21" hidden="false" customHeight="true" outlineLevel="0" collapsed="false">
      <c r="A154" s="91" t="str">
        <f aca="false">IF(名簿!$D154="","",名簿!$B154&amp;"")</f>
        <v/>
      </c>
      <c r="B154" s="91" t="str">
        <f aca="false">IF(名簿!$D154="","",名簿!$C154)</f>
        <v/>
      </c>
      <c r="C154" s="59" t="str">
        <f aca="false">IF(名簿!$D154="","",名簿!$D154&amp;IF(名簿!$F154="転出","（転出）",""))</f>
        <v/>
      </c>
      <c r="D154" s="149"/>
      <c r="E154" s="61" t="str">
        <f aca="false">IF(OR($C154="",名簿!$F154="転出"),"",IF($C$2="学級ごと",$A154,IF($C$2="前の単元と同じ",単元12!$E154&amp;"",$D154&amp;"")))</f>
        <v/>
      </c>
      <c r="F154" s="150"/>
      <c r="G154" s="150"/>
      <c r="H154" s="150"/>
      <c r="I154" s="151"/>
      <c r="J154" s="41" t="str">
        <f aca="false">IF($E154="","",$E154&amp;"|"&amp;COUNTIF($E$5:$E154,$E154))</f>
        <v/>
      </c>
      <c r="K154" s="40" t="str">
        <f aca="false">IF($I154="","",LEN($I154))</f>
        <v/>
      </c>
      <c r="L154" s="13"/>
      <c r="M154" s="13"/>
      <c r="N154" s="13"/>
      <c r="O154" s="13"/>
      <c r="P154" s="152"/>
      <c r="Q154" s="149"/>
      <c r="R154" s="152"/>
      <c r="S154" s="152"/>
      <c r="T154" s="62" t="str">
        <f aca="false">IF(OR($C154="",R154=""),"",IF(R154/IF($R$2="",100,$R$2)&gt;=設定!$I$28,設定!$G$8,IF(R154/IF($R$2="",100,$R$2)&lt;設定!$I$29,設定!$G$10,設定!$G$9)))</f>
        <v/>
      </c>
      <c r="U154" s="62" t="str">
        <f aca="false">IF(OR($C154="",S154=""),"",IF(S154/IF($S$2="",100,$S$2)&gt;=設定!$I$28,設定!$G$8,IF(S154/IF($S$2="",100,$S$2)&lt;設定!$I$29,設定!$G$10,設定!$G$9)))</f>
        <v/>
      </c>
    </row>
    <row r="155" customFormat="false" ht="21" hidden="false" customHeight="true" outlineLevel="0" collapsed="false">
      <c r="A155" s="91" t="str">
        <f aca="false">IF(名簿!$D155="","",名簿!$B155&amp;"")</f>
        <v/>
      </c>
      <c r="B155" s="91" t="str">
        <f aca="false">IF(名簿!$D155="","",名簿!$C155)</f>
        <v/>
      </c>
      <c r="C155" s="59" t="str">
        <f aca="false">IF(名簿!$D155="","",名簿!$D155&amp;IF(名簿!$F155="転出","（転出）",""))</f>
        <v/>
      </c>
      <c r="D155" s="149"/>
      <c r="E155" s="61" t="str">
        <f aca="false">IF(OR($C155="",名簿!$F155="転出"),"",IF($C$2="学級ごと",$A155,IF($C$2="前の単元と同じ",単元12!$E155&amp;"",$D155&amp;"")))</f>
        <v/>
      </c>
      <c r="F155" s="150"/>
      <c r="G155" s="150"/>
      <c r="H155" s="150"/>
      <c r="I155" s="151"/>
      <c r="J155" s="41" t="str">
        <f aca="false">IF($E155="","",$E155&amp;"|"&amp;COUNTIF($E$5:$E155,$E155))</f>
        <v/>
      </c>
      <c r="K155" s="40" t="str">
        <f aca="false">IF($I155="","",LEN($I155))</f>
        <v/>
      </c>
      <c r="L155" s="13"/>
      <c r="M155" s="13"/>
      <c r="N155" s="13"/>
      <c r="O155" s="13"/>
      <c r="P155" s="152"/>
      <c r="Q155" s="149"/>
      <c r="R155" s="152"/>
      <c r="S155" s="152"/>
      <c r="T155" s="62" t="str">
        <f aca="false">IF(OR($C155="",R155=""),"",IF(R155/IF($R$2="",100,$R$2)&gt;=設定!$I$28,設定!$G$8,IF(R155/IF($R$2="",100,$R$2)&lt;設定!$I$29,設定!$G$10,設定!$G$9)))</f>
        <v/>
      </c>
      <c r="U155" s="62" t="str">
        <f aca="false">IF(OR($C155="",S155=""),"",IF(S155/IF($S$2="",100,$S$2)&gt;=設定!$I$28,設定!$G$8,IF(S155/IF($S$2="",100,$S$2)&lt;設定!$I$29,設定!$G$10,設定!$G$9)))</f>
        <v/>
      </c>
    </row>
    <row r="156" customFormat="false" ht="21" hidden="false" customHeight="true" outlineLevel="0" collapsed="false">
      <c r="A156" s="91" t="str">
        <f aca="false">IF(名簿!$D156="","",名簿!$B156&amp;"")</f>
        <v/>
      </c>
      <c r="B156" s="91" t="str">
        <f aca="false">IF(名簿!$D156="","",名簿!$C156)</f>
        <v/>
      </c>
      <c r="C156" s="59" t="str">
        <f aca="false">IF(名簿!$D156="","",名簿!$D156&amp;IF(名簿!$F156="転出","（転出）",""))</f>
        <v/>
      </c>
      <c r="D156" s="149"/>
      <c r="E156" s="61" t="str">
        <f aca="false">IF(OR($C156="",名簿!$F156="転出"),"",IF($C$2="学級ごと",$A156,IF($C$2="前の単元と同じ",単元12!$E156&amp;"",$D156&amp;"")))</f>
        <v/>
      </c>
      <c r="F156" s="150"/>
      <c r="G156" s="150"/>
      <c r="H156" s="150"/>
      <c r="I156" s="151"/>
      <c r="J156" s="41" t="str">
        <f aca="false">IF($E156="","",$E156&amp;"|"&amp;COUNTIF($E$5:$E156,$E156))</f>
        <v/>
      </c>
      <c r="K156" s="40" t="str">
        <f aca="false">IF($I156="","",LEN($I156))</f>
        <v/>
      </c>
      <c r="L156" s="13"/>
      <c r="M156" s="13"/>
      <c r="N156" s="13"/>
      <c r="O156" s="13"/>
      <c r="P156" s="152"/>
      <c r="Q156" s="149"/>
      <c r="R156" s="152"/>
      <c r="S156" s="152"/>
      <c r="T156" s="62" t="str">
        <f aca="false">IF(OR($C156="",R156=""),"",IF(R156/IF($R$2="",100,$R$2)&gt;=設定!$I$28,設定!$G$8,IF(R156/IF($R$2="",100,$R$2)&lt;設定!$I$29,設定!$G$10,設定!$G$9)))</f>
        <v/>
      </c>
      <c r="U156" s="62" t="str">
        <f aca="false">IF(OR($C156="",S156=""),"",IF(S156/IF($S$2="",100,$S$2)&gt;=設定!$I$28,設定!$G$8,IF(S156/IF($S$2="",100,$S$2)&lt;設定!$I$29,設定!$G$10,設定!$G$9)))</f>
        <v/>
      </c>
    </row>
    <row r="157" customFormat="false" ht="21" hidden="false" customHeight="true" outlineLevel="0" collapsed="false">
      <c r="A157" s="91" t="str">
        <f aca="false">IF(名簿!$D157="","",名簿!$B157&amp;"")</f>
        <v/>
      </c>
      <c r="B157" s="91" t="str">
        <f aca="false">IF(名簿!$D157="","",名簿!$C157)</f>
        <v/>
      </c>
      <c r="C157" s="59" t="str">
        <f aca="false">IF(名簿!$D157="","",名簿!$D157&amp;IF(名簿!$F157="転出","（転出）",""))</f>
        <v/>
      </c>
      <c r="D157" s="149"/>
      <c r="E157" s="61" t="str">
        <f aca="false">IF(OR($C157="",名簿!$F157="転出"),"",IF($C$2="学級ごと",$A157,IF($C$2="前の単元と同じ",単元12!$E157&amp;"",$D157&amp;"")))</f>
        <v/>
      </c>
      <c r="F157" s="150"/>
      <c r="G157" s="150"/>
      <c r="H157" s="150"/>
      <c r="I157" s="151"/>
      <c r="J157" s="41" t="str">
        <f aca="false">IF($E157="","",$E157&amp;"|"&amp;COUNTIF($E$5:$E157,$E157))</f>
        <v/>
      </c>
      <c r="K157" s="40" t="str">
        <f aca="false">IF($I157="","",LEN($I157))</f>
        <v/>
      </c>
      <c r="L157" s="13"/>
      <c r="M157" s="13"/>
      <c r="N157" s="13"/>
      <c r="O157" s="13"/>
      <c r="P157" s="152"/>
      <c r="Q157" s="149"/>
      <c r="R157" s="152"/>
      <c r="S157" s="152"/>
      <c r="T157" s="62" t="str">
        <f aca="false">IF(OR($C157="",R157=""),"",IF(R157/IF($R$2="",100,$R$2)&gt;=設定!$I$28,設定!$G$8,IF(R157/IF($R$2="",100,$R$2)&lt;設定!$I$29,設定!$G$10,設定!$G$9)))</f>
        <v/>
      </c>
      <c r="U157" s="62" t="str">
        <f aca="false">IF(OR($C157="",S157=""),"",IF(S157/IF($S$2="",100,$S$2)&gt;=設定!$I$28,設定!$G$8,IF(S157/IF($S$2="",100,$S$2)&lt;設定!$I$29,設定!$G$10,設定!$G$9)))</f>
        <v/>
      </c>
    </row>
    <row r="158" customFormat="false" ht="21" hidden="false" customHeight="true" outlineLevel="0" collapsed="false">
      <c r="A158" s="91" t="str">
        <f aca="false">IF(名簿!$D158="","",名簿!$B158&amp;"")</f>
        <v/>
      </c>
      <c r="B158" s="91" t="str">
        <f aca="false">IF(名簿!$D158="","",名簿!$C158)</f>
        <v/>
      </c>
      <c r="C158" s="59" t="str">
        <f aca="false">IF(名簿!$D158="","",名簿!$D158&amp;IF(名簿!$F158="転出","（転出）",""))</f>
        <v/>
      </c>
      <c r="D158" s="149"/>
      <c r="E158" s="61" t="str">
        <f aca="false">IF(OR($C158="",名簿!$F158="転出"),"",IF($C$2="学級ごと",$A158,IF($C$2="前の単元と同じ",単元12!$E158&amp;"",$D158&amp;"")))</f>
        <v/>
      </c>
      <c r="F158" s="150"/>
      <c r="G158" s="150"/>
      <c r="H158" s="150"/>
      <c r="I158" s="151"/>
      <c r="J158" s="41" t="str">
        <f aca="false">IF($E158="","",$E158&amp;"|"&amp;COUNTIF($E$5:$E158,$E158))</f>
        <v/>
      </c>
      <c r="K158" s="40" t="str">
        <f aca="false">IF($I158="","",LEN($I158))</f>
        <v/>
      </c>
      <c r="L158" s="13"/>
      <c r="M158" s="13"/>
      <c r="N158" s="13"/>
      <c r="O158" s="13"/>
      <c r="P158" s="152"/>
      <c r="Q158" s="149"/>
      <c r="R158" s="152"/>
      <c r="S158" s="152"/>
      <c r="T158" s="62" t="str">
        <f aca="false">IF(OR($C158="",R158=""),"",IF(R158/IF($R$2="",100,$R$2)&gt;=設定!$I$28,設定!$G$8,IF(R158/IF($R$2="",100,$R$2)&lt;設定!$I$29,設定!$G$10,設定!$G$9)))</f>
        <v/>
      </c>
      <c r="U158" s="62" t="str">
        <f aca="false">IF(OR($C158="",S158=""),"",IF(S158/IF($S$2="",100,$S$2)&gt;=設定!$I$28,設定!$G$8,IF(S158/IF($S$2="",100,$S$2)&lt;設定!$I$29,設定!$G$10,設定!$G$9)))</f>
        <v/>
      </c>
    </row>
    <row r="159" customFormat="false" ht="21" hidden="false" customHeight="true" outlineLevel="0" collapsed="false">
      <c r="A159" s="91" t="str">
        <f aca="false">IF(名簿!$D159="","",名簿!$B159&amp;"")</f>
        <v/>
      </c>
      <c r="B159" s="91" t="str">
        <f aca="false">IF(名簿!$D159="","",名簿!$C159)</f>
        <v/>
      </c>
      <c r="C159" s="59" t="str">
        <f aca="false">IF(名簿!$D159="","",名簿!$D159&amp;IF(名簿!$F159="転出","（転出）",""))</f>
        <v/>
      </c>
      <c r="D159" s="149"/>
      <c r="E159" s="61" t="str">
        <f aca="false">IF(OR($C159="",名簿!$F159="転出"),"",IF($C$2="学級ごと",$A159,IF($C$2="前の単元と同じ",単元12!$E159&amp;"",$D159&amp;"")))</f>
        <v/>
      </c>
      <c r="F159" s="150"/>
      <c r="G159" s="150"/>
      <c r="H159" s="150"/>
      <c r="I159" s="151"/>
      <c r="J159" s="41" t="str">
        <f aca="false">IF($E159="","",$E159&amp;"|"&amp;COUNTIF($E$5:$E159,$E159))</f>
        <v/>
      </c>
      <c r="K159" s="40" t="str">
        <f aca="false">IF($I159="","",LEN($I159))</f>
        <v/>
      </c>
      <c r="L159" s="13"/>
      <c r="M159" s="13"/>
      <c r="N159" s="13"/>
      <c r="O159" s="13"/>
      <c r="P159" s="152"/>
      <c r="Q159" s="149"/>
      <c r="R159" s="152"/>
      <c r="S159" s="152"/>
      <c r="T159" s="62" t="str">
        <f aca="false">IF(OR($C159="",R159=""),"",IF(R159/IF($R$2="",100,$R$2)&gt;=設定!$I$28,設定!$G$8,IF(R159/IF($R$2="",100,$R$2)&lt;設定!$I$29,設定!$G$10,設定!$G$9)))</f>
        <v/>
      </c>
      <c r="U159" s="62" t="str">
        <f aca="false">IF(OR($C159="",S159=""),"",IF(S159/IF($S$2="",100,$S$2)&gt;=設定!$I$28,設定!$G$8,IF(S159/IF($S$2="",100,$S$2)&lt;設定!$I$29,設定!$G$10,設定!$G$9)))</f>
        <v/>
      </c>
    </row>
    <row r="160" customFormat="false" ht="21" hidden="false" customHeight="true" outlineLevel="0" collapsed="false">
      <c r="A160" s="91" t="str">
        <f aca="false">IF(名簿!$D160="","",名簿!$B160&amp;"")</f>
        <v/>
      </c>
      <c r="B160" s="91" t="str">
        <f aca="false">IF(名簿!$D160="","",名簿!$C160)</f>
        <v/>
      </c>
      <c r="C160" s="59" t="str">
        <f aca="false">IF(名簿!$D160="","",名簿!$D160&amp;IF(名簿!$F160="転出","（転出）",""))</f>
        <v/>
      </c>
      <c r="D160" s="149"/>
      <c r="E160" s="61" t="str">
        <f aca="false">IF(OR($C160="",名簿!$F160="転出"),"",IF($C$2="学級ごと",$A160,IF($C$2="前の単元と同じ",単元12!$E160&amp;"",$D160&amp;"")))</f>
        <v/>
      </c>
      <c r="F160" s="150"/>
      <c r="G160" s="150"/>
      <c r="H160" s="150"/>
      <c r="I160" s="151"/>
      <c r="J160" s="41" t="str">
        <f aca="false">IF($E160="","",$E160&amp;"|"&amp;COUNTIF($E$5:$E160,$E160))</f>
        <v/>
      </c>
      <c r="K160" s="40" t="str">
        <f aca="false">IF($I160="","",LEN($I160))</f>
        <v/>
      </c>
      <c r="L160" s="13"/>
      <c r="M160" s="13"/>
      <c r="N160" s="13"/>
      <c r="O160" s="13"/>
      <c r="P160" s="152"/>
      <c r="Q160" s="149"/>
      <c r="R160" s="152"/>
      <c r="S160" s="152"/>
      <c r="T160" s="62" t="str">
        <f aca="false">IF(OR($C160="",R160=""),"",IF(R160/IF($R$2="",100,$R$2)&gt;=設定!$I$28,設定!$G$8,IF(R160/IF($R$2="",100,$R$2)&lt;設定!$I$29,設定!$G$10,設定!$G$9)))</f>
        <v/>
      </c>
      <c r="U160" s="62" t="str">
        <f aca="false">IF(OR($C160="",S160=""),"",IF(S160/IF($S$2="",100,$S$2)&gt;=設定!$I$28,設定!$G$8,IF(S160/IF($S$2="",100,$S$2)&lt;設定!$I$29,設定!$G$10,設定!$G$9)))</f>
        <v/>
      </c>
    </row>
    <row r="161" customFormat="false" ht="21" hidden="false" customHeight="true" outlineLevel="0" collapsed="false">
      <c r="A161" s="91" t="str">
        <f aca="false">IF(名簿!$D161="","",名簿!$B161&amp;"")</f>
        <v/>
      </c>
      <c r="B161" s="91" t="str">
        <f aca="false">IF(名簿!$D161="","",名簿!$C161)</f>
        <v/>
      </c>
      <c r="C161" s="59" t="str">
        <f aca="false">IF(名簿!$D161="","",名簿!$D161&amp;IF(名簿!$F161="転出","（転出）",""))</f>
        <v/>
      </c>
      <c r="D161" s="149"/>
      <c r="E161" s="61" t="str">
        <f aca="false">IF(OR($C161="",名簿!$F161="転出"),"",IF($C$2="学級ごと",$A161,IF($C$2="前の単元と同じ",単元12!$E161&amp;"",$D161&amp;"")))</f>
        <v/>
      </c>
      <c r="F161" s="150"/>
      <c r="G161" s="150"/>
      <c r="H161" s="150"/>
      <c r="I161" s="151"/>
      <c r="J161" s="41" t="str">
        <f aca="false">IF($E161="","",$E161&amp;"|"&amp;COUNTIF($E$5:$E161,$E161))</f>
        <v/>
      </c>
      <c r="K161" s="40" t="str">
        <f aca="false">IF($I161="","",LEN($I161))</f>
        <v/>
      </c>
      <c r="L161" s="13"/>
      <c r="M161" s="13"/>
      <c r="N161" s="13"/>
      <c r="O161" s="13"/>
      <c r="P161" s="152"/>
      <c r="Q161" s="149"/>
      <c r="R161" s="152"/>
      <c r="S161" s="152"/>
      <c r="T161" s="62" t="str">
        <f aca="false">IF(OR($C161="",R161=""),"",IF(R161/IF($R$2="",100,$R$2)&gt;=設定!$I$28,設定!$G$8,IF(R161/IF($R$2="",100,$R$2)&lt;設定!$I$29,設定!$G$10,設定!$G$9)))</f>
        <v/>
      </c>
      <c r="U161" s="62" t="str">
        <f aca="false">IF(OR($C161="",S161=""),"",IF(S161/IF($S$2="",100,$S$2)&gt;=設定!$I$28,設定!$G$8,IF(S161/IF($S$2="",100,$S$2)&lt;設定!$I$29,設定!$G$10,設定!$G$9)))</f>
        <v/>
      </c>
    </row>
    <row r="162" customFormat="false" ht="21" hidden="false" customHeight="true" outlineLevel="0" collapsed="false">
      <c r="A162" s="91" t="str">
        <f aca="false">IF(名簿!$D162="","",名簿!$B162&amp;"")</f>
        <v/>
      </c>
      <c r="B162" s="91" t="str">
        <f aca="false">IF(名簿!$D162="","",名簿!$C162)</f>
        <v/>
      </c>
      <c r="C162" s="59" t="str">
        <f aca="false">IF(名簿!$D162="","",名簿!$D162&amp;IF(名簿!$F162="転出","（転出）",""))</f>
        <v/>
      </c>
      <c r="D162" s="149"/>
      <c r="E162" s="61" t="str">
        <f aca="false">IF(OR($C162="",名簿!$F162="転出"),"",IF($C$2="学級ごと",$A162,IF($C$2="前の単元と同じ",単元12!$E162&amp;"",$D162&amp;"")))</f>
        <v/>
      </c>
      <c r="F162" s="150"/>
      <c r="G162" s="150"/>
      <c r="H162" s="150"/>
      <c r="I162" s="151"/>
      <c r="J162" s="41" t="str">
        <f aca="false">IF($E162="","",$E162&amp;"|"&amp;COUNTIF($E$5:$E162,$E162))</f>
        <v/>
      </c>
      <c r="K162" s="40" t="str">
        <f aca="false">IF($I162="","",LEN($I162))</f>
        <v/>
      </c>
      <c r="L162" s="13"/>
      <c r="M162" s="13"/>
      <c r="N162" s="13"/>
      <c r="O162" s="13"/>
      <c r="P162" s="152"/>
      <c r="Q162" s="149"/>
      <c r="R162" s="152"/>
      <c r="S162" s="152"/>
      <c r="T162" s="62" t="str">
        <f aca="false">IF(OR($C162="",R162=""),"",IF(R162/IF($R$2="",100,$R$2)&gt;=設定!$I$28,設定!$G$8,IF(R162/IF($R$2="",100,$R$2)&lt;設定!$I$29,設定!$G$10,設定!$G$9)))</f>
        <v/>
      </c>
      <c r="U162" s="62" t="str">
        <f aca="false">IF(OR($C162="",S162=""),"",IF(S162/IF($S$2="",100,$S$2)&gt;=設定!$I$28,設定!$G$8,IF(S162/IF($S$2="",100,$S$2)&lt;設定!$I$29,設定!$G$10,設定!$G$9)))</f>
        <v/>
      </c>
    </row>
    <row r="163" customFormat="false" ht="21" hidden="false" customHeight="true" outlineLevel="0" collapsed="false">
      <c r="A163" s="91" t="str">
        <f aca="false">IF(名簿!$D163="","",名簿!$B163&amp;"")</f>
        <v/>
      </c>
      <c r="B163" s="91" t="str">
        <f aca="false">IF(名簿!$D163="","",名簿!$C163)</f>
        <v/>
      </c>
      <c r="C163" s="59" t="str">
        <f aca="false">IF(名簿!$D163="","",名簿!$D163&amp;IF(名簿!$F163="転出","（転出）",""))</f>
        <v/>
      </c>
      <c r="D163" s="149"/>
      <c r="E163" s="61" t="str">
        <f aca="false">IF(OR($C163="",名簿!$F163="転出"),"",IF($C$2="学級ごと",$A163,IF($C$2="前の単元と同じ",単元12!$E163&amp;"",$D163&amp;"")))</f>
        <v/>
      </c>
      <c r="F163" s="150"/>
      <c r="G163" s="150"/>
      <c r="H163" s="150"/>
      <c r="I163" s="151"/>
      <c r="J163" s="41" t="str">
        <f aca="false">IF($E163="","",$E163&amp;"|"&amp;COUNTIF($E$5:$E163,$E163))</f>
        <v/>
      </c>
      <c r="K163" s="40" t="str">
        <f aca="false">IF($I163="","",LEN($I163))</f>
        <v/>
      </c>
      <c r="L163" s="13"/>
      <c r="M163" s="13"/>
      <c r="N163" s="13"/>
      <c r="O163" s="13"/>
      <c r="P163" s="152"/>
      <c r="Q163" s="149"/>
      <c r="R163" s="152"/>
      <c r="S163" s="152"/>
      <c r="T163" s="62" t="str">
        <f aca="false">IF(OR($C163="",R163=""),"",IF(R163/IF($R$2="",100,$R$2)&gt;=設定!$I$28,設定!$G$8,IF(R163/IF($R$2="",100,$R$2)&lt;設定!$I$29,設定!$G$10,設定!$G$9)))</f>
        <v/>
      </c>
      <c r="U163" s="62" t="str">
        <f aca="false">IF(OR($C163="",S163=""),"",IF(S163/IF($S$2="",100,$S$2)&gt;=設定!$I$28,設定!$G$8,IF(S163/IF($S$2="",100,$S$2)&lt;設定!$I$29,設定!$G$10,設定!$G$9)))</f>
        <v/>
      </c>
    </row>
    <row r="164" customFormat="false" ht="21" hidden="false" customHeight="true" outlineLevel="0" collapsed="false">
      <c r="A164" s="91" t="str">
        <f aca="false">IF(名簿!$D164="","",名簿!$B164&amp;"")</f>
        <v/>
      </c>
      <c r="B164" s="91" t="str">
        <f aca="false">IF(名簿!$D164="","",名簿!$C164)</f>
        <v/>
      </c>
      <c r="C164" s="59" t="str">
        <f aca="false">IF(名簿!$D164="","",名簿!$D164&amp;IF(名簿!$F164="転出","（転出）",""))</f>
        <v/>
      </c>
      <c r="D164" s="149"/>
      <c r="E164" s="61" t="str">
        <f aca="false">IF(OR($C164="",名簿!$F164="転出"),"",IF($C$2="学級ごと",$A164,IF($C$2="前の単元と同じ",単元12!$E164&amp;"",$D164&amp;"")))</f>
        <v/>
      </c>
      <c r="F164" s="150"/>
      <c r="G164" s="150"/>
      <c r="H164" s="150"/>
      <c r="I164" s="151"/>
      <c r="J164" s="41" t="str">
        <f aca="false">IF($E164="","",$E164&amp;"|"&amp;COUNTIF($E$5:$E164,$E164))</f>
        <v/>
      </c>
      <c r="K164" s="40" t="str">
        <f aca="false">IF($I164="","",LEN($I164))</f>
        <v/>
      </c>
      <c r="L164" s="13"/>
      <c r="M164" s="13"/>
      <c r="N164" s="13"/>
      <c r="O164" s="13"/>
      <c r="P164" s="152"/>
      <c r="Q164" s="149"/>
      <c r="R164" s="152"/>
      <c r="S164" s="152"/>
      <c r="T164" s="62" t="str">
        <f aca="false">IF(OR($C164="",R164=""),"",IF(R164/IF($R$2="",100,$R$2)&gt;=設定!$I$28,設定!$G$8,IF(R164/IF($R$2="",100,$R$2)&lt;設定!$I$29,設定!$G$10,設定!$G$9)))</f>
        <v/>
      </c>
      <c r="U164" s="62" t="str">
        <f aca="false">IF(OR($C164="",S164=""),"",IF(S164/IF($S$2="",100,$S$2)&gt;=設定!$I$28,設定!$G$8,IF(S164/IF($S$2="",100,$S$2)&lt;設定!$I$29,設定!$G$10,設定!$G$9)))</f>
        <v/>
      </c>
    </row>
  </sheetData>
  <sheetProtection sheet="true" formatColumns="false" formatRows="false" autoFilter="false"/>
  <autoFilter ref="A4:I164"/>
  <mergeCells count="5">
    <mergeCell ref="A1:I1"/>
    <mergeCell ref="R1:U1"/>
    <mergeCell ref="A2:B2"/>
    <mergeCell ref="D2:I2"/>
    <mergeCell ref="T2:U2"/>
  </mergeCells>
  <conditionalFormatting sqref="A5:C164">
    <cfRule type="expression" priority="2" aboveAverage="0" equalAverage="0" bottom="0" percent="0" rank="0" text="" dxfId="37">
      <formula>RIGHT($C5,4)="（転出）"</formula>
    </cfRule>
    <cfRule type="expression" priority="3" aboveAverage="0" equalAverage="0" bottom="0" percent="0" rank="0" text="" dxfId="8">
      <formula>$C5&lt;&gt;""</formula>
    </cfRule>
  </conditionalFormatting>
  <conditionalFormatting sqref="D5:D164">
    <cfRule type="expression" priority="4" aboveAverage="0" equalAverage="0" bottom="0" percent="0" rank="0" text="" dxfId="37">
      <formula>RIGHT($C5,4)="（転出）"</formula>
    </cfRule>
    <cfRule type="expression" priority="5" aboveAverage="0" equalAverage="0" bottom="0" percent="0" rank="0" text="" dxfId="38">
      <formula>AND($C5&lt;&gt;"",$C$2&lt;&gt;"習熟度別")</formula>
    </cfRule>
    <cfRule type="expression" priority="6" aboveAverage="0" equalAverage="0" bottom="0" percent="0" rank="0" text="" dxfId="39">
      <formula>AND($C5&lt;&gt;"",$E5="")</formula>
    </cfRule>
    <cfRule type="expression" priority="7" aboveAverage="0" equalAverage="0" bottom="0" percent="0" rank="0" text="" dxfId="39">
      <formula>AND($C5&lt;&gt;"",$D5&lt;&gt;"",COUNTIF(コース一覧,$D5)=0)</formula>
    </cfRule>
    <cfRule type="expression" priority="8" aboveAverage="0" equalAverage="0" bottom="0" percent="0" rank="0" text="" dxfId="40">
      <formula>AND($C5&lt;&gt;"",$C$2="習熟度別",$Q5&lt;&gt;"",$E5&lt;&gt;"",$Q5&lt;&gt;$E5)</formula>
    </cfRule>
    <cfRule type="expression" priority="9" aboveAverage="0" equalAverage="0" bottom="0" percent="0" rank="0" text="" dxfId="41">
      <formula>$C5&lt;&gt;""</formula>
    </cfRule>
  </conditionalFormatting>
  <conditionalFormatting sqref="E5:E164">
    <cfRule type="expression" priority="10" aboveAverage="0" equalAverage="0" bottom="0" percent="0" rank="0" text="" dxfId="37">
      <formula>RIGHT($C5,4)="（転出）"</formula>
    </cfRule>
    <cfRule type="expression" priority="11" aboveAverage="0" equalAverage="0" bottom="0" percent="0" rank="0" text="" dxfId="42">
      <formula>AND($E5&lt;&gt;"",$E5=$L$2)</formula>
    </cfRule>
    <cfRule type="expression" priority="12" aboveAverage="0" equalAverage="0" bottom="0" percent="0" rank="0" text="" dxfId="43">
      <formula>AND($E5&lt;&gt;"",$E5=$L$3)</formula>
    </cfRule>
    <cfRule type="expression" priority="13" aboveAverage="0" equalAverage="0" bottom="0" percent="0" rank="0" text="" dxfId="44">
      <formula>AND($E5&lt;&gt;"",$E5=$L$4)</formula>
    </cfRule>
    <cfRule type="expression" priority="14" aboveAverage="0" equalAverage="0" bottom="0" percent="0" rank="0" text="" dxfId="45">
      <formula>AND($E5&lt;&gt;"",$E5=$L$5)</formula>
    </cfRule>
    <cfRule type="expression" priority="15" aboveAverage="0" equalAverage="0" bottom="0" percent="0" rank="0" text="" dxfId="46">
      <formula>AND($E5&lt;&gt;"",$E5=$L$6)</formula>
    </cfRule>
    <cfRule type="expression" priority="16" aboveAverage="0" equalAverage="0" bottom="0" percent="0" rank="0" text="" dxfId="8">
      <formula>$C5&lt;&gt;""</formula>
    </cfRule>
  </conditionalFormatting>
  <conditionalFormatting sqref="F5:H164">
    <cfRule type="expression" priority="17" aboveAverage="0" equalAverage="0" bottom="0" percent="0" rank="0" text="" dxfId="37">
      <formula>RIGHT($C5,4)="（転出）"</formula>
    </cfRule>
    <cfRule type="expression" priority="18" aboveAverage="0" equalAverage="0" bottom="0" percent="0" rank="0" text="" dxfId="12">
      <formula>AND(F5&lt;&gt;"",F5=設定!$G$10)</formula>
    </cfRule>
    <cfRule type="expression" priority="19" aboveAverage="0" equalAverage="0" bottom="0" percent="0" rank="0" text="" dxfId="47">
      <formula>AND(F5&lt;&gt;"",F5=設定!$G$8)</formula>
    </cfRule>
    <cfRule type="expression" priority="20" aboveAverage="0" equalAverage="0" bottom="0" percent="0" rank="0" text="" dxfId="41">
      <formula>AND($C5&lt;&gt;"",$E5&lt;&gt;"")</formula>
    </cfRule>
    <cfRule type="expression" priority="21" aboveAverage="0" equalAverage="0" bottom="0" percent="0" rank="0" text="" dxfId="8">
      <formula>$C5&lt;&gt;""</formula>
    </cfRule>
  </conditionalFormatting>
  <conditionalFormatting sqref="I5:I164">
    <cfRule type="expression" priority="22" aboveAverage="0" equalAverage="0" bottom="0" percent="0" rank="0" text="" dxfId="37">
      <formula>RIGHT($C5,4)="（転出）"</formula>
    </cfRule>
    <cfRule type="expression" priority="23" aboveAverage="0" equalAverage="0" bottom="0" percent="0" rank="0" text="" dxfId="48">
      <formula>AND($C5&lt;&gt;"",$I5&lt;&gt;"",ISNUMBER(設定!$I$22),LEN($I5)&gt;設定!$I$22)</formula>
    </cfRule>
    <cfRule type="expression" priority="24" aboveAverage="0" equalAverage="0" bottom="0" percent="0" rank="0" text="" dxfId="41">
      <formula>AND($C5&lt;&gt;"",$E5&lt;&gt;"")</formula>
    </cfRule>
    <cfRule type="expression" priority="25" aboveAverage="0" equalAverage="0" bottom="0" percent="0" rank="0" text="" dxfId="8">
      <formula>$C5&lt;&gt;""</formula>
    </cfRule>
  </conditionalFormatting>
  <conditionalFormatting sqref="K5:K164">
    <cfRule type="expression" priority="26" aboveAverage="0" equalAverage="0" bottom="0" percent="0" rank="0" text="" dxfId="49">
      <formula>AND($K5&lt;&gt;"",ISNUMBER(設定!$I$22),$K5&gt;設定!$I$22)</formula>
    </cfRule>
    <cfRule type="expression" priority="27" aboveAverage="0" equalAverage="0" bottom="0" percent="0" rank="0" text="" dxfId="50">
      <formula>$C5&lt;&gt;""</formula>
    </cfRule>
  </conditionalFormatting>
  <conditionalFormatting sqref="P5:P164">
    <cfRule type="expression" priority="28" aboveAverage="0" equalAverage="0" bottom="0" percent="0" rank="0" text="" dxfId="41">
      <formula>$C5&lt;&gt;""</formula>
    </cfRule>
  </conditionalFormatting>
  <conditionalFormatting sqref="R5:R164">
    <cfRule type="expression" priority="29" aboveAverage="0" equalAverage="0" bottom="0" percent="0" rank="0" text="" dxfId="49">
      <formula>AND($C5&lt;&gt;"",$R5&lt;&gt;"",$R$2&lt;&gt;"",$R5&gt;$R$2)</formula>
    </cfRule>
    <cfRule type="expression" priority="30" aboveAverage="0" equalAverage="0" bottom="0" percent="0" rank="0" text="" dxfId="41">
      <formula>$C5&lt;&gt;""</formula>
    </cfRule>
  </conditionalFormatting>
  <conditionalFormatting sqref="S5:S164">
    <cfRule type="expression" priority="31" aboveAverage="0" equalAverage="0" bottom="0" percent="0" rank="0" text="" dxfId="49">
      <formula>AND($C5&lt;&gt;"",$S5&lt;&gt;"",$S$2&lt;&gt;"",$S5&gt;$S$2)</formula>
    </cfRule>
    <cfRule type="expression" priority="32" aboveAverage="0" equalAverage="0" bottom="0" percent="0" rank="0" text="" dxfId="41">
      <formula>$C5&lt;&gt;""</formula>
    </cfRule>
  </conditionalFormatting>
  <conditionalFormatting sqref="T5:U164">
    <cfRule type="expression" priority="33" aboveAverage="0" equalAverage="0" bottom="0" percent="0" rank="0" text="" dxfId="12">
      <formula>AND(T5&lt;&gt;"",T5=設定!$G$10)</formula>
    </cfRule>
    <cfRule type="expression" priority="34" aboveAverage="0" equalAverage="0" bottom="0" percent="0" rank="0" text="" dxfId="51">
      <formula>AND(T5&lt;&gt;"",T5=設定!$G$8)</formula>
    </cfRule>
    <cfRule type="expression" priority="35" aboveAverage="0" equalAverage="0" bottom="0" percent="0" rank="0" text="" dxfId="19">
      <formula>$C5&lt;&gt;""</formula>
    </cfRule>
  </conditionalFormatting>
  <conditionalFormatting sqref="Q5:Q164">
    <cfRule type="expression" priority="36" aboveAverage="0" equalAverage="0" bottom="0" percent="0" rank="0" text="" dxfId="40">
      <formula>AND($C5&lt;&gt;"",$Q5&lt;&gt;"",$E5&lt;&gt;"",$Q5&lt;&gt;$E5)</formula>
    </cfRule>
    <cfRule type="expression" priority="37" aboveAverage="0" equalAverage="0" bottom="0" percent="0" rank="0" text="" dxfId="41">
      <formula>$C5&lt;&gt;""</formula>
    </cfRule>
  </conditionalFormatting>
  <conditionalFormatting sqref="L2:N2">
    <cfRule type="expression" priority="38" aboveAverage="0" equalAverage="0" bottom="0" percent="0" rank="0" text="" dxfId="14">
      <formula>$L2=""</formula>
    </cfRule>
  </conditionalFormatting>
  <conditionalFormatting sqref="L3:N3">
    <cfRule type="expression" priority="39" aboveAverage="0" equalAverage="0" bottom="0" percent="0" rank="0" text="" dxfId="14">
      <formula>$L3=""</formula>
    </cfRule>
  </conditionalFormatting>
  <conditionalFormatting sqref="L4:N4">
    <cfRule type="expression" priority="40" aboveAverage="0" equalAverage="0" bottom="0" percent="0" rank="0" text="" dxfId="14">
      <formula>$L4=""</formula>
    </cfRule>
  </conditionalFormatting>
  <conditionalFormatting sqref="L5:N5">
    <cfRule type="expression" priority="41" aboveAverage="0" equalAverage="0" bottom="0" percent="0" rank="0" text="" dxfId="14">
      <formula>$L5=""</formula>
    </cfRule>
  </conditionalFormatting>
  <conditionalFormatting sqref="L6:N6">
    <cfRule type="expression" priority="42" aboveAverage="0" equalAverage="0" bottom="0" percent="0" rank="0" text="" dxfId="14">
      <formula>$L6=""</formula>
    </cfRule>
  </conditionalFormatting>
  <conditionalFormatting sqref="N7">
    <cfRule type="expression" priority="43" aboveAverage="0" equalAverage="0" bottom="0" percent="0" rank="0" text="" dxfId="52">
      <formula>$N$7=0</formula>
    </cfRule>
  </conditionalFormatting>
  <dataValidations count="6">
    <dataValidation allowBlank="true" error="点数（数字）を入力してください。" errorStyle="stop" operator="between" showDropDown="false" showErrorMessage="true" showInputMessage="false" sqref="R2:S2 P5:P164 R5:S164" type="decimal">
      <formula1>0</formula1>
      <formula2>1000</formula2>
    </dataValidation>
    <dataValidation allowBlank="false" error="一覧から選んでください。" errorStyle="stop" errorTitle="入力エラー" operator="between" showDropDown="false" showErrorMessage="true" showInputMessage="false" sqref="C2" type="list">
      <formula1>"習熟度別,前の単元と同じ,学級ごと"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D5:D164" type="list">
      <formula1>コース一覧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Q5:Q164" type="list">
      <formula1>コース一覧</formula1>
      <formula2>0</formula2>
    </dataValidation>
    <dataValidation allowBlank="true" error="設定シートの評価記号（A/B/C）から選んでください。" errorStyle="stop" errorTitle="入力エラー" operator="between" showDropDown="false" showErrorMessage="true" showInputMessage="false" sqref="F5:H164" type="list">
      <formula1>評価記号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M2:M6" type="list">
      <formula1>担当者一覧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U16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5"/>
    <col collapsed="false" customWidth="true" hidden="false" outlineLevel="0" max="3" min="3" style="0" width="17"/>
    <col collapsed="false" customWidth="true" hidden="false" outlineLevel="0" max="4" min="4" style="0" width="11"/>
    <col collapsed="false" customWidth="true" hidden="false" outlineLevel="0" max="5" min="5" style="0" width="12"/>
    <col collapsed="false" customWidth="true" hidden="false" outlineLevel="0" max="8" min="6" style="0" width="6"/>
    <col collapsed="false" customWidth="true" hidden="false" outlineLevel="0" max="9" min="9" style="0" width="55"/>
    <col collapsed="false" customWidth="true" hidden="true" outlineLevel="0" max="10" min="10" style="0" width="3"/>
    <col collapsed="false" customWidth="true" hidden="false" outlineLevel="0" max="11" min="11" style="0" width="5"/>
    <col collapsed="false" customWidth="true" hidden="false" outlineLevel="0" max="12" min="12" style="0" width="14"/>
    <col collapsed="false" customWidth="true" hidden="false" outlineLevel="0" max="13" min="13" style="0" width="13"/>
    <col collapsed="false" customWidth="true" hidden="false" outlineLevel="0" max="14" min="14" style="0" width="7"/>
    <col collapsed="false" customWidth="true" hidden="false" outlineLevel="0" max="15" min="15" style="0" width="2"/>
    <col collapsed="false" customWidth="true" hidden="false" outlineLevel="0" max="16" min="16" style="0" width="9"/>
    <col collapsed="false" customWidth="true" hidden="false" outlineLevel="0" max="17" min="17" style="0" width="12"/>
    <col collapsed="false" customWidth="true" hidden="false" outlineLevel="0" max="19" min="18" style="0" width="7"/>
    <col collapsed="false" customWidth="true" hidden="false" outlineLevel="0" max="21" min="20" style="0" width="6"/>
  </cols>
  <sheetData>
    <row r="1" customFormat="false" ht="33.75" hidden="false" customHeight="true" outlineLevel="0" collapsed="false">
      <c r="A1" s="14" t="str">
        <f aca="false">"単元14　"&amp;IF(設定!$D$30="","（設定シートで単元名を入力）",設定!$D$30)&amp;IF(設定!$C$30="","","　／　"&amp;設定!$C$30&amp;IF(ISNUMBER(設定!$C$30),"学期",""))</f>
        <v>単元14　（設定シートで単元名を入力）</v>
      </c>
      <c r="B1" s="14"/>
      <c r="C1" s="14"/>
      <c r="D1" s="14"/>
      <c r="E1" s="14"/>
      <c r="F1" s="14"/>
      <c r="G1" s="14"/>
      <c r="H1" s="14"/>
      <c r="I1" s="14"/>
      <c r="J1" s="13"/>
      <c r="K1" s="13"/>
      <c r="L1" s="16" t="s">
        <v>153</v>
      </c>
      <c r="M1" s="16" t="s">
        <v>68</v>
      </c>
      <c r="N1" s="16" t="s">
        <v>128</v>
      </c>
      <c r="O1" s="13"/>
      <c r="P1" s="13"/>
      <c r="Q1" s="13"/>
      <c r="R1" s="131" t="s">
        <v>154</v>
      </c>
      <c r="S1" s="131"/>
      <c r="T1" s="131"/>
      <c r="U1" s="131"/>
    </row>
    <row r="2" customFormat="false" ht="25.5" hidden="false" customHeight="true" outlineLevel="0" collapsed="false">
      <c r="A2" s="16" t="s">
        <v>131</v>
      </c>
      <c r="B2" s="16"/>
      <c r="C2" s="138" t="s">
        <v>164</v>
      </c>
      <c r="D2" s="139" t="str">
        <f aca="false">IF($C$2="習熟度別","← D列「コース」で一人ずつ選びます",IF($C$2="前の単元と同じ","← 前の単元のコースをそのまま使います","← 在籍学級のまま分かれます"))</f>
        <v>← D列「コース」で一人ずつ選びます</v>
      </c>
      <c r="E2" s="139"/>
      <c r="F2" s="139"/>
      <c r="G2" s="139"/>
      <c r="H2" s="139"/>
      <c r="I2" s="139"/>
      <c r="J2" s="13"/>
      <c r="K2" s="13"/>
      <c r="L2" s="119" t="str">
        <f aca="false">IF($C$2="前の単元と同じ",単元13!$L2&amp;"",IF($C$2="学級ごと",IF(設定!$B$8="","",設定!$B$8&amp;""),IF(設定!$D$8="","",設定!$D$8&amp;"")))</f>
        <v>深める</v>
      </c>
      <c r="M2" s="39"/>
      <c r="N2" s="140" t="n">
        <f aca="false">IF($L2="","",COUNTIF($E$5:$E$164,$L2))</f>
        <v>0</v>
      </c>
      <c r="O2" s="13"/>
      <c r="P2" s="13"/>
      <c r="Q2" s="13"/>
      <c r="R2" s="141" t="n">
        <v>100</v>
      </c>
      <c r="S2" s="141" t="n">
        <v>100</v>
      </c>
      <c r="T2" s="142" t="s">
        <v>165</v>
      </c>
      <c r="U2" s="142"/>
    </row>
    <row r="3" customFormat="false" ht="17.15" hidden="false" customHeight="false" outlineLevel="0" collapsed="false">
      <c r="A3" s="4" t="s">
        <v>166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23" t="str">
        <f aca="false">IF($C$2="前の単元と同じ",単元13!$L3&amp;"",IF($C$2="学級ごと",IF(設定!$B$9="","",設定!$B$9&amp;""),IF(設定!$D$9="","",設定!$D$9&amp;"")))</f>
        <v>広げるA</v>
      </c>
      <c r="M3" s="39"/>
      <c r="N3" s="140" t="n">
        <f aca="false">IF($L3="","",COUNTIF($E$5:$E$164,$L3))</f>
        <v>0</v>
      </c>
      <c r="O3" s="13"/>
      <c r="P3" s="143" t="s">
        <v>167</v>
      </c>
      <c r="Q3" s="13"/>
      <c r="R3" s="144" t="s">
        <v>168</v>
      </c>
      <c r="S3" s="13"/>
      <c r="T3" s="13"/>
      <c r="U3" s="13"/>
    </row>
    <row r="4" customFormat="false" ht="30" hidden="false" customHeight="true" outlineLevel="0" collapsed="false">
      <c r="A4" s="16" t="s">
        <v>121</v>
      </c>
      <c r="B4" s="16" t="s">
        <v>122</v>
      </c>
      <c r="C4" s="16" t="s">
        <v>123</v>
      </c>
      <c r="D4" s="145" t="s">
        <v>153</v>
      </c>
      <c r="E4" s="16" t="s">
        <v>169</v>
      </c>
      <c r="F4" s="146" t="str">
        <f aca="false">設定!$I$8</f>
        <v>知</v>
      </c>
      <c r="G4" s="146" t="str">
        <f aca="false">設定!$I$9</f>
        <v>思</v>
      </c>
      <c r="H4" s="146" t="str">
        <f aca="false">設定!$I$10</f>
        <v>態</v>
      </c>
      <c r="I4" s="146" t="s">
        <v>107</v>
      </c>
      <c r="J4" s="16"/>
      <c r="K4" s="110" t="s">
        <v>170</v>
      </c>
      <c r="L4" s="124" t="str">
        <f aca="false">IF($C$2="前の単元と同じ",単元13!$L4&amp;"",IF($C$2="学級ごと",IF(設定!$B$10="","",設定!$B$10&amp;""),IF(設定!$D$10="","",設定!$D$10&amp;"")))</f>
        <v>広げるB</v>
      </c>
      <c r="M4" s="39"/>
      <c r="N4" s="140" t="n">
        <f aca="false">IF($L4="","",COUNTIF($E$5:$E$164,$L4))</f>
        <v>0</v>
      </c>
      <c r="O4" s="13"/>
      <c r="P4" s="147" t="s">
        <v>171</v>
      </c>
      <c r="Q4" s="147" t="s">
        <v>172</v>
      </c>
      <c r="R4" s="131" t="str">
        <f aca="false">設定!$I$8&amp;"得点"</f>
        <v>知得点</v>
      </c>
      <c r="S4" s="131" t="str">
        <f aca="false">設定!$I$9&amp;"得点"</f>
        <v>思得点</v>
      </c>
      <c r="T4" s="148" t="str">
        <f aca="false">設定!$I$8&amp;"目安"</f>
        <v>知目安</v>
      </c>
      <c r="U4" s="148" t="str">
        <f aca="false">設定!$I$9&amp;"目安"</f>
        <v>思目安</v>
      </c>
    </row>
    <row r="5" customFormat="false" ht="21" hidden="false" customHeight="true" outlineLevel="0" collapsed="false">
      <c r="A5" s="91" t="str">
        <f aca="false">IF(名簿!$D5="","",名簿!$B5&amp;"")</f>
        <v/>
      </c>
      <c r="B5" s="91" t="str">
        <f aca="false">IF(名簿!$D5="","",名簿!$C5)</f>
        <v/>
      </c>
      <c r="C5" s="59" t="str">
        <f aca="false">IF(名簿!$D5="","",名簿!$D5&amp;IF(名簿!$F5="転出","（転出）",""))</f>
        <v/>
      </c>
      <c r="D5" s="149"/>
      <c r="E5" s="61" t="str">
        <f aca="false">IF(OR($C5="",名簿!$F5="転出"),"",IF($C$2="学級ごと",$A5,IF($C$2="前の単元と同じ",単元13!$E5&amp;"",$D5&amp;"")))</f>
        <v/>
      </c>
      <c r="F5" s="150"/>
      <c r="G5" s="150"/>
      <c r="H5" s="150"/>
      <c r="I5" s="151"/>
      <c r="J5" s="41" t="str">
        <f aca="false">IF($E5="","",$E5&amp;"|"&amp;COUNTIF($E$5:$E5,$E5))</f>
        <v/>
      </c>
      <c r="K5" s="40" t="str">
        <f aca="false">IF($I5="","",LEN($I5))</f>
        <v/>
      </c>
      <c r="L5" s="125" t="str">
        <f aca="false">IF($C$2="前の単元と同じ",単元13!$L5&amp;"",IF($C$2="学級ごと",IF(設定!$B$11="","",設定!$B$11&amp;""),IF(設定!$D$11="","",設定!$D$11&amp;"")))</f>
        <v>かためる</v>
      </c>
      <c r="M5" s="39"/>
      <c r="N5" s="140" t="n">
        <f aca="false">IF($L5="","",COUNTIF($E$5:$E$164,$L5))</f>
        <v>0</v>
      </c>
      <c r="O5" s="13"/>
      <c r="P5" s="152"/>
      <c r="Q5" s="149"/>
      <c r="R5" s="152"/>
      <c r="S5" s="152"/>
      <c r="T5" s="62" t="str">
        <f aca="false">IF(OR($C5="",R5=""),"",IF(R5/IF($R$2="",100,$R$2)&gt;=設定!$I$28,設定!$G$8,IF(R5/IF($R$2="",100,$R$2)&lt;設定!$I$29,設定!$G$10,設定!$G$9)))</f>
        <v/>
      </c>
      <c r="U5" s="62" t="str">
        <f aca="false">IF(OR($C5="",S5=""),"",IF(S5/IF($S$2="",100,$S$2)&gt;=設定!$I$28,設定!$G$8,IF(S5/IF($S$2="",100,$S$2)&lt;設定!$I$29,設定!$G$10,設定!$G$9)))</f>
        <v/>
      </c>
    </row>
    <row r="6" customFormat="false" ht="21" hidden="false" customHeight="true" outlineLevel="0" collapsed="false">
      <c r="A6" s="91" t="str">
        <f aca="false">IF(名簿!$D6="","",名簿!$B6&amp;"")</f>
        <v/>
      </c>
      <c r="B6" s="91" t="str">
        <f aca="false">IF(名簿!$D6="","",名簿!$C6)</f>
        <v/>
      </c>
      <c r="C6" s="59" t="str">
        <f aca="false">IF(名簿!$D6="","",名簿!$D6&amp;IF(名簿!$F6="転出","（転出）",""))</f>
        <v/>
      </c>
      <c r="D6" s="149"/>
      <c r="E6" s="61" t="str">
        <f aca="false">IF(OR($C6="",名簿!$F6="転出"),"",IF($C$2="学級ごと",$A6,IF($C$2="前の単元と同じ",単元13!$E6&amp;"",$D6&amp;"")))</f>
        <v/>
      </c>
      <c r="F6" s="150"/>
      <c r="G6" s="150"/>
      <c r="H6" s="150"/>
      <c r="I6" s="151"/>
      <c r="J6" s="41" t="str">
        <f aca="false">IF($E6="","",$E6&amp;"|"&amp;COUNTIF($E$5:$E6,$E6))</f>
        <v/>
      </c>
      <c r="K6" s="40" t="str">
        <f aca="false">IF($I6="","",LEN($I6))</f>
        <v/>
      </c>
      <c r="L6" s="126" t="str">
        <f aca="false">IF($C$2="前の単元と同じ",単元13!$L6&amp;"",IF($C$2="学級ごと",IF(設定!$B$12="","",設定!$B$12&amp;""),IF(設定!$D$12="","",設定!$D$12&amp;"")))</f>
        <v/>
      </c>
      <c r="M6" s="39"/>
      <c r="N6" s="153" t="str">
        <f aca="false">IF($L6="","",COUNTIF($E$5:$E$164,$L6))</f>
        <v/>
      </c>
      <c r="O6" s="13"/>
      <c r="P6" s="152"/>
      <c r="Q6" s="149"/>
      <c r="R6" s="152"/>
      <c r="S6" s="152"/>
      <c r="T6" s="62" t="str">
        <f aca="false">IF(OR($C6="",R6=""),"",IF(R6/IF($R$2="",100,$R$2)&gt;=設定!$I$28,設定!$G$8,IF(R6/IF($R$2="",100,$R$2)&lt;設定!$I$29,設定!$G$10,設定!$G$9)))</f>
        <v/>
      </c>
      <c r="U6" s="62" t="str">
        <f aca="false">IF(OR($C6="",S6=""),"",IF(S6/IF($S$2="",100,$S$2)&gt;=設定!$I$28,設定!$G$8,IF(S6/IF($S$2="",100,$S$2)&lt;設定!$I$29,設定!$G$10,設定!$G$9)))</f>
        <v/>
      </c>
    </row>
    <row r="7" customFormat="false" ht="21" hidden="false" customHeight="true" outlineLevel="0" collapsed="false">
      <c r="A7" s="91" t="str">
        <f aca="false">IF(名簿!$D7="","",名簿!$B7&amp;"")</f>
        <v/>
      </c>
      <c r="B7" s="91" t="str">
        <f aca="false">IF(名簿!$D7="","",名簿!$C7)</f>
        <v/>
      </c>
      <c r="C7" s="59" t="str">
        <f aca="false">IF(名簿!$D7="","",名簿!$D7&amp;IF(名簿!$F7="転出","（転出）",""))</f>
        <v/>
      </c>
      <c r="D7" s="149"/>
      <c r="E7" s="61" t="str">
        <f aca="false">IF(OR($C7="",名簿!$F7="転出"),"",IF($C$2="学級ごと",$A7,IF($C$2="前の単元と同じ",単元13!$E7&amp;"",$D7&amp;"")))</f>
        <v/>
      </c>
      <c r="F7" s="150"/>
      <c r="G7" s="150"/>
      <c r="H7" s="150"/>
      <c r="I7" s="151"/>
      <c r="J7" s="41" t="str">
        <f aca="false">IF($E7="","",$E7&amp;"|"&amp;COUNTIF($E$5:$E7,$E7))</f>
        <v/>
      </c>
      <c r="K7" s="40" t="str">
        <f aca="false">IF($I7="","",LEN($I7))</f>
        <v/>
      </c>
      <c r="L7" s="154" t="s">
        <v>133</v>
      </c>
      <c r="M7" s="155" t="s">
        <v>173</v>
      </c>
      <c r="N7" s="156" t="n">
        <f aca="false">SUMPRODUCT(($C$5:$C$164&lt;&gt;"")*(名簿!$F$5:$F$164&lt;&gt;"転出")*($E$5:$E$164=""))</f>
        <v>0</v>
      </c>
      <c r="O7" s="13"/>
      <c r="P7" s="152"/>
      <c r="Q7" s="149"/>
      <c r="R7" s="152"/>
      <c r="S7" s="152"/>
      <c r="T7" s="62" t="str">
        <f aca="false">IF(OR($C7="",R7=""),"",IF(R7/IF($R$2="",100,$R$2)&gt;=設定!$I$28,設定!$G$8,IF(R7/IF($R$2="",100,$R$2)&lt;設定!$I$29,設定!$G$10,設定!$G$9)))</f>
        <v/>
      </c>
      <c r="U7" s="62" t="str">
        <f aca="false">IF(OR($C7="",S7=""),"",IF(S7/IF($S$2="",100,$S$2)&gt;=設定!$I$28,設定!$G$8,IF(S7/IF($S$2="",100,$S$2)&lt;設定!$I$29,設定!$G$10,設定!$G$9)))</f>
        <v/>
      </c>
    </row>
    <row r="8" customFormat="false" ht="21" hidden="false" customHeight="true" outlineLevel="0" collapsed="false">
      <c r="A8" s="91" t="str">
        <f aca="false">IF(名簿!$D8="","",名簿!$B8&amp;"")</f>
        <v/>
      </c>
      <c r="B8" s="91" t="str">
        <f aca="false">IF(名簿!$D8="","",名簿!$C8)</f>
        <v/>
      </c>
      <c r="C8" s="59" t="str">
        <f aca="false">IF(名簿!$D8="","",名簿!$D8&amp;IF(名簿!$F8="転出","（転出）",""))</f>
        <v/>
      </c>
      <c r="D8" s="149"/>
      <c r="E8" s="61" t="str">
        <f aca="false">IF(OR($C8="",名簿!$F8="転出"),"",IF($C$2="学級ごと",$A8,IF($C$2="前の単元と同じ",単元13!$E8&amp;"",$D8&amp;"")))</f>
        <v/>
      </c>
      <c r="F8" s="150"/>
      <c r="G8" s="150"/>
      <c r="H8" s="150"/>
      <c r="I8" s="151"/>
      <c r="J8" s="41" t="str">
        <f aca="false">IF($E8="","",$E8&amp;"|"&amp;COUNTIF($E$5:$E8,$E8))</f>
        <v/>
      </c>
      <c r="K8" s="40" t="str">
        <f aca="false">IF($I8="","",LEN($I8))</f>
        <v/>
      </c>
      <c r="L8" s="157" t="s">
        <v>174</v>
      </c>
      <c r="M8" s="158" t="s">
        <v>175</v>
      </c>
      <c r="N8" s="159" t="n">
        <f aca="false">SUMPRODUCT(($E$5:$E$164&lt;&gt;"")*(($F$5:$F$164="")+($G$5:$G$164="")+($H$5:$H$164="")&gt;0))</f>
        <v>0</v>
      </c>
      <c r="O8" s="13"/>
      <c r="P8" s="152"/>
      <c r="Q8" s="149"/>
      <c r="R8" s="152"/>
      <c r="S8" s="152"/>
      <c r="T8" s="62" t="str">
        <f aca="false">IF(OR($C8="",R8=""),"",IF(R8/IF($R$2="",100,$R$2)&gt;=設定!$I$28,設定!$G$8,IF(R8/IF($R$2="",100,$R$2)&lt;設定!$I$29,設定!$G$10,設定!$G$9)))</f>
        <v/>
      </c>
      <c r="U8" s="62" t="str">
        <f aca="false">IF(OR($C8="",S8=""),"",IF(S8/IF($S$2="",100,$S$2)&gt;=設定!$I$28,設定!$G$8,IF(S8/IF($S$2="",100,$S$2)&lt;設定!$I$29,設定!$G$10,設定!$G$9)))</f>
        <v/>
      </c>
    </row>
    <row r="9" customFormat="false" ht="21" hidden="false" customHeight="true" outlineLevel="0" collapsed="false">
      <c r="A9" s="91" t="str">
        <f aca="false">IF(名簿!$D9="","",名簿!$B9&amp;"")</f>
        <v/>
      </c>
      <c r="B9" s="91" t="str">
        <f aca="false">IF(名簿!$D9="","",名簿!$C9)</f>
        <v/>
      </c>
      <c r="C9" s="59" t="str">
        <f aca="false">IF(名簿!$D9="","",名簿!$D9&amp;IF(名簿!$F9="転出","（転出）",""))</f>
        <v/>
      </c>
      <c r="D9" s="149"/>
      <c r="E9" s="61" t="str">
        <f aca="false">IF(OR($C9="",名簿!$F9="転出"),"",IF($C$2="学級ごと",$A9,IF($C$2="前の単元と同じ",単元13!$E9&amp;"",$D9&amp;"")))</f>
        <v/>
      </c>
      <c r="F9" s="150"/>
      <c r="G9" s="150"/>
      <c r="H9" s="150"/>
      <c r="I9" s="151"/>
      <c r="J9" s="41" t="str">
        <f aca="false">IF($E9="","",$E9&amp;"|"&amp;COUNTIF($E$5:$E9,$E9))</f>
        <v/>
      </c>
      <c r="K9" s="40" t="str">
        <f aca="false">IF($I9="","",LEN($I9))</f>
        <v/>
      </c>
      <c r="L9" s="13"/>
      <c r="M9" s="13"/>
      <c r="N9" s="13"/>
      <c r="O9" s="13"/>
      <c r="P9" s="152"/>
      <c r="Q9" s="149"/>
      <c r="R9" s="152"/>
      <c r="S9" s="152"/>
      <c r="T9" s="62" t="str">
        <f aca="false">IF(OR($C9="",R9=""),"",IF(R9/IF($R$2="",100,$R$2)&gt;=設定!$I$28,設定!$G$8,IF(R9/IF($R$2="",100,$R$2)&lt;設定!$I$29,設定!$G$10,設定!$G$9)))</f>
        <v/>
      </c>
      <c r="U9" s="62" t="str">
        <f aca="false">IF(OR($C9="",S9=""),"",IF(S9/IF($S$2="",100,$S$2)&gt;=設定!$I$28,設定!$G$8,IF(S9/IF($S$2="",100,$S$2)&lt;設定!$I$29,設定!$G$10,設定!$G$9)))</f>
        <v/>
      </c>
    </row>
    <row r="10" customFormat="false" ht="21" hidden="false" customHeight="true" outlineLevel="0" collapsed="false">
      <c r="A10" s="91" t="str">
        <f aca="false">IF(名簿!$D10="","",名簿!$B10&amp;"")</f>
        <v/>
      </c>
      <c r="B10" s="91" t="str">
        <f aca="false">IF(名簿!$D10="","",名簿!$C10)</f>
        <v/>
      </c>
      <c r="C10" s="59" t="str">
        <f aca="false">IF(名簿!$D10="","",名簿!$D10&amp;IF(名簿!$F10="転出","（転出）",""))</f>
        <v/>
      </c>
      <c r="D10" s="149"/>
      <c r="E10" s="61" t="str">
        <f aca="false">IF(OR($C10="",名簿!$F10="転出"),"",IF($C$2="学級ごと",$A10,IF($C$2="前の単元と同じ",単元13!$E10&amp;"",$D10&amp;"")))</f>
        <v/>
      </c>
      <c r="F10" s="150"/>
      <c r="G10" s="150"/>
      <c r="H10" s="150"/>
      <c r="I10" s="151"/>
      <c r="J10" s="41" t="str">
        <f aca="false">IF($E10="","",$E10&amp;"|"&amp;COUNTIF($E$5:$E10,$E10))</f>
        <v/>
      </c>
      <c r="K10" s="40" t="str">
        <f aca="false">IF($I10="","",LEN($I10))</f>
        <v/>
      </c>
      <c r="L10" s="13"/>
      <c r="M10" s="13"/>
      <c r="N10" s="13"/>
      <c r="O10" s="13"/>
      <c r="P10" s="152"/>
      <c r="Q10" s="149"/>
      <c r="R10" s="152"/>
      <c r="S10" s="152"/>
      <c r="T10" s="62" t="str">
        <f aca="false">IF(OR($C10="",R10=""),"",IF(R10/IF($R$2="",100,$R$2)&gt;=設定!$I$28,設定!$G$8,IF(R10/IF($R$2="",100,$R$2)&lt;設定!$I$29,設定!$G$10,設定!$G$9)))</f>
        <v/>
      </c>
      <c r="U10" s="62" t="str">
        <f aca="false">IF(OR($C10="",S10=""),"",IF(S10/IF($S$2="",100,$S$2)&gt;=設定!$I$28,設定!$G$8,IF(S10/IF($S$2="",100,$S$2)&lt;設定!$I$29,設定!$G$10,設定!$G$9)))</f>
        <v/>
      </c>
    </row>
    <row r="11" customFormat="false" ht="21" hidden="false" customHeight="true" outlineLevel="0" collapsed="false">
      <c r="A11" s="91" t="str">
        <f aca="false">IF(名簿!$D11="","",名簿!$B11&amp;"")</f>
        <v/>
      </c>
      <c r="B11" s="91" t="str">
        <f aca="false">IF(名簿!$D11="","",名簿!$C11)</f>
        <v/>
      </c>
      <c r="C11" s="59" t="str">
        <f aca="false">IF(名簿!$D11="","",名簿!$D11&amp;IF(名簿!$F11="転出","（転出）",""))</f>
        <v/>
      </c>
      <c r="D11" s="149"/>
      <c r="E11" s="61" t="str">
        <f aca="false">IF(OR($C11="",名簿!$F11="転出"),"",IF($C$2="学級ごと",$A11,IF($C$2="前の単元と同じ",単元13!$E11&amp;"",$D11&amp;"")))</f>
        <v/>
      </c>
      <c r="F11" s="150"/>
      <c r="G11" s="150"/>
      <c r="H11" s="150"/>
      <c r="I11" s="151"/>
      <c r="J11" s="41" t="str">
        <f aca="false">IF($E11="","",$E11&amp;"|"&amp;COUNTIF($E$5:$E11,$E11))</f>
        <v/>
      </c>
      <c r="K11" s="40" t="str">
        <f aca="false">IF($I11="","",LEN($I11))</f>
        <v/>
      </c>
      <c r="L11" s="13"/>
      <c r="M11" s="13"/>
      <c r="N11" s="13"/>
      <c r="O11" s="13"/>
      <c r="P11" s="152"/>
      <c r="Q11" s="149"/>
      <c r="R11" s="152"/>
      <c r="S11" s="152"/>
      <c r="T11" s="62" t="str">
        <f aca="false">IF(OR($C11="",R11=""),"",IF(R11/IF($R$2="",100,$R$2)&gt;=設定!$I$28,設定!$G$8,IF(R11/IF($R$2="",100,$R$2)&lt;設定!$I$29,設定!$G$10,設定!$G$9)))</f>
        <v/>
      </c>
      <c r="U11" s="62" t="str">
        <f aca="false">IF(OR($C11="",S11=""),"",IF(S11/IF($S$2="",100,$S$2)&gt;=設定!$I$28,設定!$G$8,IF(S11/IF($S$2="",100,$S$2)&lt;設定!$I$29,設定!$G$10,設定!$G$9)))</f>
        <v/>
      </c>
    </row>
    <row r="12" customFormat="false" ht="21" hidden="false" customHeight="true" outlineLevel="0" collapsed="false">
      <c r="A12" s="91" t="str">
        <f aca="false">IF(名簿!$D12="","",名簿!$B12&amp;"")</f>
        <v/>
      </c>
      <c r="B12" s="91" t="str">
        <f aca="false">IF(名簿!$D12="","",名簿!$C12)</f>
        <v/>
      </c>
      <c r="C12" s="59" t="str">
        <f aca="false">IF(名簿!$D12="","",名簿!$D12&amp;IF(名簿!$F12="転出","（転出）",""))</f>
        <v/>
      </c>
      <c r="D12" s="149"/>
      <c r="E12" s="61" t="str">
        <f aca="false">IF(OR($C12="",名簿!$F12="転出"),"",IF($C$2="学級ごと",$A12,IF($C$2="前の単元と同じ",単元13!$E12&amp;"",$D12&amp;"")))</f>
        <v/>
      </c>
      <c r="F12" s="150"/>
      <c r="G12" s="150"/>
      <c r="H12" s="150"/>
      <c r="I12" s="151"/>
      <c r="J12" s="41" t="str">
        <f aca="false">IF($E12="","",$E12&amp;"|"&amp;COUNTIF($E$5:$E12,$E12))</f>
        <v/>
      </c>
      <c r="K12" s="40" t="str">
        <f aca="false">IF($I12="","",LEN($I12))</f>
        <v/>
      </c>
      <c r="L12" s="13"/>
      <c r="M12" s="13"/>
      <c r="N12" s="13"/>
      <c r="O12" s="13"/>
      <c r="P12" s="152"/>
      <c r="Q12" s="149"/>
      <c r="R12" s="152"/>
      <c r="S12" s="152"/>
      <c r="T12" s="62" t="str">
        <f aca="false">IF(OR($C12="",R12=""),"",IF(R12/IF($R$2="",100,$R$2)&gt;=設定!$I$28,設定!$G$8,IF(R12/IF($R$2="",100,$R$2)&lt;設定!$I$29,設定!$G$10,設定!$G$9)))</f>
        <v/>
      </c>
      <c r="U12" s="62" t="str">
        <f aca="false">IF(OR($C12="",S12=""),"",IF(S12/IF($S$2="",100,$S$2)&gt;=設定!$I$28,設定!$G$8,IF(S12/IF($S$2="",100,$S$2)&lt;設定!$I$29,設定!$G$10,設定!$G$9)))</f>
        <v/>
      </c>
    </row>
    <row r="13" customFormat="false" ht="21" hidden="false" customHeight="true" outlineLevel="0" collapsed="false">
      <c r="A13" s="91" t="str">
        <f aca="false">IF(名簿!$D13="","",名簿!$B13&amp;"")</f>
        <v/>
      </c>
      <c r="B13" s="91" t="str">
        <f aca="false">IF(名簿!$D13="","",名簿!$C13)</f>
        <v/>
      </c>
      <c r="C13" s="59" t="str">
        <f aca="false">IF(名簿!$D13="","",名簿!$D13&amp;IF(名簿!$F13="転出","（転出）",""))</f>
        <v/>
      </c>
      <c r="D13" s="149"/>
      <c r="E13" s="61" t="str">
        <f aca="false">IF(OR($C13="",名簿!$F13="転出"),"",IF($C$2="学級ごと",$A13,IF($C$2="前の単元と同じ",単元13!$E13&amp;"",$D13&amp;"")))</f>
        <v/>
      </c>
      <c r="F13" s="150"/>
      <c r="G13" s="150"/>
      <c r="H13" s="150"/>
      <c r="I13" s="151"/>
      <c r="J13" s="41" t="str">
        <f aca="false">IF($E13="","",$E13&amp;"|"&amp;COUNTIF($E$5:$E13,$E13))</f>
        <v/>
      </c>
      <c r="K13" s="40" t="str">
        <f aca="false">IF($I13="","",LEN($I13))</f>
        <v/>
      </c>
      <c r="L13" s="13"/>
      <c r="M13" s="13"/>
      <c r="N13" s="13"/>
      <c r="O13" s="13"/>
      <c r="P13" s="152"/>
      <c r="Q13" s="149"/>
      <c r="R13" s="152"/>
      <c r="S13" s="152"/>
      <c r="T13" s="62" t="str">
        <f aca="false">IF(OR($C13="",R13=""),"",IF(R13/IF($R$2="",100,$R$2)&gt;=設定!$I$28,設定!$G$8,IF(R13/IF($R$2="",100,$R$2)&lt;設定!$I$29,設定!$G$10,設定!$G$9)))</f>
        <v/>
      </c>
      <c r="U13" s="62" t="str">
        <f aca="false">IF(OR($C13="",S13=""),"",IF(S13/IF($S$2="",100,$S$2)&gt;=設定!$I$28,設定!$G$8,IF(S13/IF($S$2="",100,$S$2)&lt;設定!$I$29,設定!$G$10,設定!$G$9)))</f>
        <v/>
      </c>
    </row>
    <row r="14" customFormat="false" ht="21" hidden="false" customHeight="true" outlineLevel="0" collapsed="false">
      <c r="A14" s="91" t="str">
        <f aca="false">IF(名簿!$D14="","",名簿!$B14&amp;"")</f>
        <v/>
      </c>
      <c r="B14" s="91" t="str">
        <f aca="false">IF(名簿!$D14="","",名簿!$C14)</f>
        <v/>
      </c>
      <c r="C14" s="59" t="str">
        <f aca="false">IF(名簿!$D14="","",名簿!$D14&amp;IF(名簿!$F14="転出","（転出）",""))</f>
        <v/>
      </c>
      <c r="D14" s="149"/>
      <c r="E14" s="61" t="str">
        <f aca="false">IF(OR($C14="",名簿!$F14="転出"),"",IF($C$2="学級ごと",$A14,IF($C$2="前の単元と同じ",単元13!$E14&amp;"",$D14&amp;"")))</f>
        <v/>
      </c>
      <c r="F14" s="150"/>
      <c r="G14" s="150"/>
      <c r="H14" s="150"/>
      <c r="I14" s="151"/>
      <c r="J14" s="41" t="str">
        <f aca="false">IF($E14="","",$E14&amp;"|"&amp;COUNTIF($E$5:$E14,$E14))</f>
        <v/>
      </c>
      <c r="K14" s="40" t="str">
        <f aca="false">IF($I14="","",LEN($I14))</f>
        <v/>
      </c>
      <c r="L14" s="13"/>
      <c r="M14" s="13"/>
      <c r="N14" s="13"/>
      <c r="O14" s="13"/>
      <c r="P14" s="152"/>
      <c r="Q14" s="149"/>
      <c r="R14" s="152"/>
      <c r="S14" s="152"/>
      <c r="T14" s="62" t="str">
        <f aca="false">IF(OR($C14="",R14=""),"",IF(R14/IF($R$2="",100,$R$2)&gt;=設定!$I$28,設定!$G$8,IF(R14/IF($R$2="",100,$R$2)&lt;設定!$I$29,設定!$G$10,設定!$G$9)))</f>
        <v/>
      </c>
      <c r="U14" s="62" t="str">
        <f aca="false">IF(OR($C14="",S14=""),"",IF(S14/IF($S$2="",100,$S$2)&gt;=設定!$I$28,設定!$G$8,IF(S14/IF($S$2="",100,$S$2)&lt;設定!$I$29,設定!$G$10,設定!$G$9)))</f>
        <v/>
      </c>
    </row>
    <row r="15" customFormat="false" ht="21" hidden="false" customHeight="true" outlineLevel="0" collapsed="false">
      <c r="A15" s="91" t="str">
        <f aca="false">IF(名簿!$D15="","",名簿!$B15&amp;"")</f>
        <v/>
      </c>
      <c r="B15" s="91" t="str">
        <f aca="false">IF(名簿!$D15="","",名簿!$C15)</f>
        <v/>
      </c>
      <c r="C15" s="59" t="str">
        <f aca="false">IF(名簿!$D15="","",名簿!$D15&amp;IF(名簿!$F15="転出","（転出）",""))</f>
        <v/>
      </c>
      <c r="D15" s="149"/>
      <c r="E15" s="61" t="str">
        <f aca="false">IF(OR($C15="",名簿!$F15="転出"),"",IF($C$2="学級ごと",$A15,IF($C$2="前の単元と同じ",単元13!$E15&amp;"",$D15&amp;"")))</f>
        <v/>
      </c>
      <c r="F15" s="150"/>
      <c r="G15" s="150"/>
      <c r="H15" s="150"/>
      <c r="I15" s="151"/>
      <c r="J15" s="41" t="str">
        <f aca="false">IF($E15="","",$E15&amp;"|"&amp;COUNTIF($E$5:$E15,$E15))</f>
        <v/>
      </c>
      <c r="K15" s="40" t="str">
        <f aca="false">IF($I15="","",LEN($I15))</f>
        <v/>
      </c>
      <c r="L15" s="13"/>
      <c r="M15" s="13"/>
      <c r="N15" s="13"/>
      <c r="O15" s="13"/>
      <c r="P15" s="152"/>
      <c r="Q15" s="149"/>
      <c r="R15" s="152"/>
      <c r="S15" s="152"/>
      <c r="T15" s="62" t="str">
        <f aca="false">IF(OR($C15="",R15=""),"",IF(R15/IF($R$2="",100,$R$2)&gt;=設定!$I$28,設定!$G$8,IF(R15/IF($R$2="",100,$R$2)&lt;設定!$I$29,設定!$G$10,設定!$G$9)))</f>
        <v/>
      </c>
      <c r="U15" s="62" t="str">
        <f aca="false">IF(OR($C15="",S15=""),"",IF(S15/IF($S$2="",100,$S$2)&gt;=設定!$I$28,設定!$G$8,IF(S15/IF($S$2="",100,$S$2)&lt;設定!$I$29,設定!$G$10,設定!$G$9)))</f>
        <v/>
      </c>
    </row>
    <row r="16" customFormat="false" ht="21" hidden="false" customHeight="true" outlineLevel="0" collapsed="false">
      <c r="A16" s="91" t="str">
        <f aca="false">IF(名簿!$D16="","",名簿!$B16&amp;"")</f>
        <v/>
      </c>
      <c r="B16" s="91" t="str">
        <f aca="false">IF(名簿!$D16="","",名簿!$C16)</f>
        <v/>
      </c>
      <c r="C16" s="59" t="str">
        <f aca="false">IF(名簿!$D16="","",名簿!$D16&amp;IF(名簿!$F16="転出","（転出）",""))</f>
        <v/>
      </c>
      <c r="D16" s="149"/>
      <c r="E16" s="61" t="str">
        <f aca="false">IF(OR($C16="",名簿!$F16="転出"),"",IF($C$2="学級ごと",$A16,IF($C$2="前の単元と同じ",単元13!$E16&amp;"",$D16&amp;"")))</f>
        <v/>
      </c>
      <c r="F16" s="150"/>
      <c r="G16" s="150"/>
      <c r="H16" s="150"/>
      <c r="I16" s="151"/>
      <c r="J16" s="41" t="str">
        <f aca="false">IF($E16="","",$E16&amp;"|"&amp;COUNTIF($E$5:$E16,$E16))</f>
        <v/>
      </c>
      <c r="K16" s="40" t="str">
        <f aca="false">IF($I16="","",LEN($I16))</f>
        <v/>
      </c>
      <c r="L16" s="13"/>
      <c r="M16" s="13"/>
      <c r="N16" s="13"/>
      <c r="O16" s="13"/>
      <c r="P16" s="152"/>
      <c r="Q16" s="149"/>
      <c r="R16" s="152"/>
      <c r="S16" s="152"/>
      <c r="T16" s="62" t="str">
        <f aca="false">IF(OR($C16="",R16=""),"",IF(R16/IF($R$2="",100,$R$2)&gt;=設定!$I$28,設定!$G$8,IF(R16/IF($R$2="",100,$R$2)&lt;設定!$I$29,設定!$G$10,設定!$G$9)))</f>
        <v/>
      </c>
      <c r="U16" s="62" t="str">
        <f aca="false">IF(OR($C16="",S16=""),"",IF(S16/IF($S$2="",100,$S$2)&gt;=設定!$I$28,設定!$G$8,IF(S16/IF($S$2="",100,$S$2)&lt;設定!$I$29,設定!$G$10,設定!$G$9)))</f>
        <v/>
      </c>
    </row>
    <row r="17" customFormat="false" ht="21" hidden="false" customHeight="true" outlineLevel="0" collapsed="false">
      <c r="A17" s="91" t="str">
        <f aca="false">IF(名簿!$D17="","",名簿!$B17&amp;"")</f>
        <v/>
      </c>
      <c r="B17" s="91" t="str">
        <f aca="false">IF(名簿!$D17="","",名簿!$C17)</f>
        <v/>
      </c>
      <c r="C17" s="59" t="str">
        <f aca="false">IF(名簿!$D17="","",名簿!$D17&amp;IF(名簿!$F17="転出","（転出）",""))</f>
        <v/>
      </c>
      <c r="D17" s="149"/>
      <c r="E17" s="61" t="str">
        <f aca="false">IF(OR($C17="",名簿!$F17="転出"),"",IF($C$2="学級ごと",$A17,IF($C$2="前の単元と同じ",単元13!$E17&amp;"",$D17&amp;"")))</f>
        <v/>
      </c>
      <c r="F17" s="150"/>
      <c r="G17" s="150"/>
      <c r="H17" s="150"/>
      <c r="I17" s="151"/>
      <c r="J17" s="41" t="str">
        <f aca="false">IF($E17="","",$E17&amp;"|"&amp;COUNTIF($E$5:$E17,$E17))</f>
        <v/>
      </c>
      <c r="K17" s="40" t="str">
        <f aca="false">IF($I17="","",LEN($I17))</f>
        <v/>
      </c>
      <c r="L17" s="13"/>
      <c r="M17" s="13"/>
      <c r="N17" s="13"/>
      <c r="O17" s="13"/>
      <c r="P17" s="152"/>
      <c r="Q17" s="149"/>
      <c r="R17" s="152"/>
      <c r="S17" s="152"/>
      <c r="T17" s="62" t="str">
        <f aca="false">IF(OR($C17="",R17=""),"",IF(R17/IF($R$2="",100,$R$2)&gt;=設定!$I$28,設定!$G$8,IF(R17/IF($R$2="",100,$R$2)&lt;設定!$I$29,設定!$G$10,設定!$G$9)))</f>
        <v/>
      </c>
      <c r="U17" s="62" t="str">
        <f aca="false">IF(OR($C17="",S17=""),"",IF(S17/IF($S$2="",100,$S$2)&gt;=設定!$I$28,設定!$G$8,IF(S17/IF($S$2="",100,$S$2)&lt;設定!$I$29,設定!$G$10,設定!$G$9)))</f>
        <v/>
      </c>
    </row>
    <row r="18" customFormat="false" ht="21" hidden="false" customHeight="true" outlineLevel="0" collapsed="false">
      <c r="A18" s="91" t="str">
        <f aca="false">IF(名簿!$D18="","",名簿!$B18&amp;"")</f>
        <v/>
      </c>
      <c r="B18" s="91" t="str">
        <f aca="false">IF(名簿!$D18="","",名簿!$C18)</f>
        <v/>
      </c>
      <c r="C18" s="59" t="str">
        <f aca="false">IF(名簿!$D18="","",名簿!$D18&amp;IF(名簿!$F18="転出","（転出）",""))</f>
        <v/>
      </c>
      <c r="D18" s="149"/>
      <c r="E18" s="61" t="str">
        <f aca="false">IF(OR($C18="",名簿!$F18="転出"),"",IF($C$2="学級ごと",$A18,IF($C$2="前の単元と同じ",単元13!$E18&amp;"",$D18&amp;"")))</f>
        <v/>
      </c>
      <c r="F18" s="150"/>
      <c r="G18" s="150"/>
      <c r="H18" s="150"/>
      <c r="I18" s="151"/>
      <c r="J18" s="41" t="str">
        <f aca="false">IF($E18="","",$E18&amp;"|"&amp;COUNTIF($E$5:$E18,$E18))</f>
        <v/>
      </c>
      <c r="K18" s="40" t="str">
        <f aca="false">IF($I18="","",LEN($I18))</f>
        <v/>
      </c>
      <c r="L18" s="13"/>
      <c r="M18" s="13"/>
      <c r="N18" s="13"/>
      <c r="O18" s="13"/>
      <c r="P18" s="152"/>
      <c r="Q18" s="149"/>
      <c r="R18" s="152"/>
      <c r="S18" s="152"/>
      <c r="T18" s="62" t="str">
        <f aca="false">IF(OR($C18="",R18=""),"",IF(R18/IF($R$2="",100,$R$2)&gt;=設定!$I$28,設定!$G$8,IF(R18/IF($R$2="",100,$R$2)&lt;設定!$I$29,設定!$G$10,設定!$G$9)))</f>
        <v/>
      </c>
      <c r="U18" s="62" t="str">
        <f aca="false">IF(OR($C18="",S18=""),"",IF(S18/IF($S$2="",100,$S$2)&gt;=設定!$I$28,設定!$G$8,IF(S18/IF($S$2="",100,$S$2)&lt;設定!$I$29,設定!$G$10,設定!$G$9)))</f>
        <v/>
      </c>
    </row>
    <row r="19" customFormat="false" ht="21" hidden="false" customHeight="true" outlineLevel="0" collapsed="false">
      <c r="A19" s="91" t="str">
        <f aca="false">IF(名簿!$D19="","",名簿!$B19&amp;"")</f>
        <v/>
      </c>
      <c r="B19" s="91" t="str">
        <f aca="false">IF(名簿!$D19="","",名簿!$C19)</f>
        <v/>
      </c>
      <c r="C19" s="59" t="str">
        <f aca="false">IF(名簿!$D19="","",名簿!$D19&amp;IF(名簿!$F19="転出","（転出）",""))</f>
        <v/>
      </c>
      <c r="D19" s="149"/>
      <c r="E19" s="61" t="str">
        <f aca="false">IF(OR($C19="",名簿!$F19="転出"),"",IF($C$2="学級ごと",$A19,IF($C$2="前の単元と同じ",単元13!$E19&amp;"",$D19&amp;"")))</f>
        <v/>
      </c>
      <c r="F19" s="150"/>
      <c r="G19" s="150"/>
      <c r="H19" s="150"/>
      <c r="I19" s="151"/>
      <c r="J19" s="41" t="str">
        <f aca="false">IF($E19="","",$E19&amp;"|"&amp;COUNTIF($E$5:$E19,$E19))</f>
        <v/>
      </c>
      <c r="K19" s="40" t="str">
        <f aca="false">IF($I19="","",LEN($I19))</f>
        <v/>
      </c>
      <c r="L19" s="13"/>
      <c r="M19" s="13"/>
      <c r="N19" s="13"/>
      <c r="O19" s="13"/>
      <c r="P19" s="152"/>
      <c r="Q19" s="149"/>
      <c r="R19" s="152"/>
      <c r="S19" s="152"/>
      <c r="T19" s="62" t="str">
        <f aca="false">IF(OR($C19="",R19=""),"",IF(R19/IF($R$2="",100,$R$2)&gt;=設定!$I$28,設定!$G$8,IF(R19/IF($R$2="",100,$R$2)&lt;設定!$I$29,設定!$G$10,設定!$G$9)))</f>
        <v/>
      </c>
      <c r="U19" s="62" t="str">
        <f aca="false">IF(OR($C19="",S19=""),"",IF(S19/IF($S$2="",100,$S$2)&gt;=設定!$I$28,設定!$G$8,IF(S19/IF($S$2="",100,$S$2)&lt;設定!$I$29,設定!$G$10,設定!$G$9)))</f>
        <v/>
      </c>
    </row>
    <row r="20" customFormat="false" ht="21" hidden="false" customHeight="true" outlineLevel="0" collapsed="false">
      <c r="A20" s="91" t="str">
        <f aca="false">IF(名簿!$D20="","",名簿!$B20&amp;"")</f>
        <v/>
      </c>
      <c r="B20" s="91" t="str">
        <f aca="false">IF(名簿!$D20="","",名簿!$C20)</f>
        <v/>
      </c>
      <c r="C20" s="59" t="str">
        <f aca="false">IF(名簿!$D20="","",名簿!$D20&amp;IF(名簿!$F20="転出","（転出）",""))</f>
        <v/>
      </c>
      <c r="D20" s="149"/>
      <c r="E20" s="61" t="str">
        <f aca="false">IF(OR($C20="",名簿!$F20="転出"),"",IF($C$2="学級ごと",$A20,IF($C$2="前の単元と同じ",単元13!$E20&amp;"",$D20&amp;"")))</f>
        <v/>
      </c>
      <c r="F20" s="150"/>
      <c r="G20" s="150"/>
      <c r="H20" s="150"/>
      <c r="I20" s="151"/>
      <c r="J20" s="41" t="str">
        <f aca="false">IF($E20="","",$E20&amp;"|"&amp;COUNTIF($E$5:$E20,$E20))</f>
        <v/>
      </c>
      <c r="K20" s="40" t="str">
        <f aca="false">IF($I20="","",LEN($I20))</f>
        <v/>
      </c>
      <c r="L20" s="13"/>
      <c r="M20" s="13"/>
      <c r="N20" s="13"/>
      <c r="O20" s="13"/>
      <c r="P20" s="152"/>
      <c r="Q20" s="149"/>
      <c r="R20" s="152"/>
      <c r="S20" s="152"/>
      <c r="T20" s="62" t="str">
        <f aca="false">IF(OR($C20="",R20=""),"",IF(R20/IF($R$2="",100,$R$2)&gt;=設定!$I$28,設定!$G$8,IF(R20/IF($R$2="",100,$R$2)&lt;設定!$I$29,設定!$G$10,設定!$G$9)))</f>
        <v/>
      </c>
      <c r="U20" s="62" t="str">
        <f aca="false">IF(OR($C20="",S20=""),"",IF(S20/IF($S$2="",100,$S$2)&gt;=設定!$I$28,設定!$G$8,IF(S20/IF($S$2="",100,$S$2)&lt;設定!$I$29,設定!$G$10,設定!$G$9)))</f>
        <v/>
      </c>
    </row>
    <row r="21" customFormat="false" ht="21" hidden="false" customHeight="true" outlineLevel="0" collapsed="false">
      <c r="A21" s="91" t="str">
        <f aca="false">IF(名簿!$D21="","",名簿!$B21&amp;"")</f>
        <v/>
      </c>
      <c r="B21" s="91" t="str">
        <f aca="false">IF(名簿!$D21="","",名簿!$C21)</f>
        <v/>
      </c>
      <c r="C21" s="59" t="str">
        <f aca="false">IF(名簿!$D21="","",名簿!$D21&amp;IF(名簿!$F21="転出","（転出）",""))</f>
        <v/>
      </c>
      <c r="D21" s="149"/>
      <c r="E21" s="61" t="str">
        <f aca="false">IF(OR($C21="",名簿!$F21="転出"),"",IF($C$2="学級ごと",$A21,IF($C$2="前の単元と同じ",単元13!$E21&amp;"",$D21&amp;"")))</f>
        <v/>
      </c>
      <c r="F21" s="150"/>
      <c r="G21" s="150"/>
      <c r="H21" s="150"/>
      <c r="I21" s="151"/>
      <c r="J21" s="41" t="str">
        <f aca="false">IF($E21="","",$E21&amp;"|"&amp;COUNTIF($E$5:$E21,$E21))</f>
        <v/>
      </c>
      <c r="K21" s="40" t="str">
        <f aca="false">IF($I21="","",LEN($I21))</f>
        <v/>
      </c>
      <c r="L21" s="13"/>
      <c r="M21" s="13"/>
      <c r="N21" s="13"/>
      <c r="O21" s="13"/>
      <c r="P21" s="152"/>
      <c r="Q21" s="149"/>
      <c r="R21" s="152"/>
      <c r="S21" s="152"/>
      <c r="T21" s="62" t="str">
        <f aca="false">IF(OR($C21="",R21=""),"",IF(R21/IF($R$2="",100,$R$2)&gt;=設定!$I$28,設定!$G$8,IF(R21/IF($R$2="",100,$R$2)&lt;設定!$I$29,設定!$G$10,設定!$G$9)))</f>
        <v/>
      </c>
      <c r="U21" s="62" t="str">
        <f aca="false">IF(OR($C21="",S21=""),"",IF(S21/IF($S$2="",100,$S$2)&gt;=設定!$I$28,設定!$G$8,IF(S21/IF($S$2="",100,$S$2)&lt;設定!$I$29,設定!$G$10,設定!$G$9)))</f>
        <v/>
      </c>
    </row>
    <row r="22" customFormat="false" ht="21" hidden="false" customHeight="true" outlineLevel="0" collapsed="false">
      <c r="A22" s="91" t="str">
        <f aca="false">IF(名簿!$D22="","",名簿!$B22&amp;"")</f>
        <v/>
      </c>
      <c r="B22" s="91" t="str">
        <f aca="false">IF(名簿!$D22="","",名簿!$C22)</f>
        <v/>
      </c>
      <c r="C22" s="59" t="str">
        <f aca="false">IF(名簿!$D22="","",名簿!$D22&amp;IF(名簿!$F22="転出","（転出）",""))</f>
        <v/>
      </c>
      <c r="D22" s="149"/>
      <c r="E22" s="61" t="str">
        <f aca="false">IF(OR($C22="",名簿!$F22="転出"),"",IF($C$2="学級ごと",$A22,IF($C$2="前の単元と同じ",単元13!$E22&amp;"",$D22&amp;"")))</f>
        <v/>
      </c>
      <c r="F22" s="150"/>
      <c r="G22" s="150"/>
      <c r="H22" s="150"/>
      <c r="I22" s="151"/>
      <c r="J22" s="41" t="str">
        <f aca="false">IF($E22="","",$E22&amp;"|"&amp;COUNTIF($E$5:$E22,$E22))</f>
        <v/>
      </c>
      <c r="K22" s="40" t="str">
        <f aca="false">IF($I22="","",LEN($I22))</f>
        <v/>
      </c>
      <c r="L22" s="13"/>
      <c r="M22" s="13"/>
      <c r="N22" s="13"/>
      <c r="O22" s="13"/>
      <c r="P22" s="152"/>
      <c r="Q22" s="149"/>
      <c r="R22" s="152"/>
      <c r="S22" s="152"/>
      <c r="T22" s="62" t="str">
        <f aca="false">IF(OR($C22="",R22=""),"",IF(R22/IF($R$2="",100,$R$2)&gt;=設定!$I$28,設定!$G$8,IF(R22/IF($R$2="",100,$R$2)&lt;設定!$I$29,設定!$G$10,設定!$G$9)))</f>
        <v/>
      </c>
      <c r="U22" s="62" t="str">
        <f aca="false">IF(OR($C22="",S22=""),"",IF(S22/IF($S$2="",100,$S$2)&gt;=設定!$I$28,設定!$G$8,IF(S22/IF($S$2="",100,$S$2)&lt;設定!$I$29,設定!$G$10,設定!$G$9)))</f>
        <v/>
      </c>
    </row>
    <row r="23" customFormat="false" ht="21" hidden="false" customHeight="true" outlineLevel="0" collapsed="false">
      <c r="A23" s="91" t="str">
        <f aca="false">IF(名簿!$D23="","",名簿!$B23&amp;"")</f>
        <v/>
      </c>
      <c r="B23" s="91" t="str">
        <f aca="false">IF(名簿!$D23="","",名簿!$C23)</f>
        <v/>
      </c>
      <c r="C23" s="59" t="str">
        <f aca="false">IF(名簿!$D23="","",名簿!$D23&amp;IF(名簿!$F23="転出","（転出）",""))</f>
        <v/>
      </c>
      <c r="D23" s="149"/>
      <c r="E23" s="61" t="str">
        <f aca="false">IF(OR($C23="",名簿!$F23="転出"),"",IF($C$2="学級ごと",$A23,IF($C$2="前の単元と同じ",単元13!$E23&amp;"",$D23&amp;"")))</f>
        <v/>
      </c>
      <c r="F23" s="150"/>
      <c r="G23" s="150"/>
      <c r="H23" s="150"/>
      <c r="I23" s="151"/>
      <c r="J23" s="41" t="str">
        <f aca="false">IF($E23="","",$E23&amp;"|"&amp;COUNTIF($E$5:$E23,$E23))</f>
        <v/>
      </c>
      <c r="K23" s="40" t="str">
        <f aca="false">IF($I23="","",LEN($I23))</f>
        <v/>
      </c>
      <c r="L23" s="13"/>
      <c r="M23" s="13"/>
      <c r="N23" s="13"/>
      <c r="O23" s="13"/>
      <c r="P23" s="152"/>
      <c r="Q23" s="149"/>
      <c r="R23" s="152"/>
      <c r="S23" s="152"/>
      <c r="T23" s="62" t="str">
        <f aca="false">IF(OR($C23="",R23=""),"",IF(R23/IF($R$2="",100,$R$2)&gt;=設定!$I$28,設定!$G$8,IF(R23/IF($R$2="",100,$R$2)&lt;設定!$I$29,設定!$G$10,設定!$G$9)))</f>
        <v/>
      </c>
      <c r="U23" s="62" t="str">
        <f aca="false">IF(OR($C23="",S23=""),"",IF(S23/IF($S$2="",100,$S$2)&gt;=設定!$I$28,設定!$G$8,IF(S23/IF($S$2="",100,$S$2)&lt;設定!$I$29,設定!$G$10,設定!$G$9)))</f>
        <v/>
      </c>
    </row>
    <row r="24" customFormat="false" ht="21" hidden="false" customHeight="true" outlineLevel="0" collapsed="false">
      <c r="A24" s="91" t="str">
        <f aca="false">IF(名簿!$D24="","",名簿!$B24&amp;"")</f>
        <v/>
      </c>
      <c r="B24" s="91" t="str">
        <f aca="false">IF(名簿!$D24="","",名簿!$C24)</f>
        <v/>
      </c>
      <c r="C24" s="59" t="str">
        <f aca="false">IF(名簿!$D24="","",名簿!$D24&amp;IF(名簿!$F24="転出","（転出）",""))</f>
        <v/>
      </c>
      <c r="D24" s="149"/>
      <c r="E24" s="61" t="str">
        <f aca="false">IF(OR($C24="",名簿!$F24="転出"),"",IF($C$2="学級ごと",$A24,IF($C$2="前の単元と同じ",単元13!$E24&amp;"",$D24&amp;"")))</f>
        <v/>
      </c>
      <c r="F24" s="150"/>
      <c r="G24" s="150"/>
      <c r="H24" s="150"/>
      <c r="I24" s="151"/>
      <c r="J24" s="41" t="str">
        <f aca="false">IF($E24="","",$E24&amp;"|"&amp;COUNTIF($E$5:$E24,$E24))</f>
        <v/>
      </c>
      <c r="K24" s="40" t="str">
        <f aca="false">IF($I24="","",LEN($I24))</f>
        <v/>
      </c>
      <c r="L24" s="13"/>
      <c r="M24" s="13"/>
      <c r="N24" s="13"/>
      <c r="O24" s="13"/>
      <c r="P24" s="152"/>
      <c r="Q24" s="149"/>
      <c r="R24" s="152"/>
      <c r="S24" s="152"/>
      <c r="T24" s="62" t="str">
        <f aca="false">IF(OR($C24="",R24=""),"",IF(R24/IF($R$2="",100,$R$2)&gt;=設定!$I$28,設定!$G$8,IF(R24/IF($R$2="",100,$R$2)&lt;設定!$I$29,設定!$G$10,設定!$G$9)))</f>
        <v/>
      </c>
      <c r="U24" s="62" t="str">
        <f aca="false">IF(OR($C24="",S24=""),"",IF(S24/IF($S$2="",100,$S$2)&gt;=設定!$I$28,設定!$G$8,IF(S24/IF($S$2="",100,$S$2)&lt;設定!$I$29,設定!$G$10,設定!$G$9)))</f>
        <v/>
      </c>
    </row>
    <row r="25" customFormat="false" ht="21" hidden="false" customHeight="true" outlineLevel="0" collapsed="false">
      <c r="A25" s="91" t="str">
        <f aca="false">IF(名簿!$D25="","",名簿!$B25&amp;"")</f>
        <v/>
      </c>
      <c r="B25" s="91" t="str">
        <f aca="false">IF(名簿!$D25="","",名簿!$C25)</f>
        <v/>
      </c>
      <c r="C25" s="59" t="str">
        <f aca="false">IF(名簿!$D25="","",名簿!$D25&amp;IF(名簿!$F25="転出","（転出）",""))</f>
        <v/>
      </c>
      <c r="D25" s="149"/>
      <c r="E25" s="61" t="str">
        <f aca="false">IF(OR($C25="",名簿!$F25="転出"),"",IF($C$2="学級ごと",$A25,IF($C$2="前の単元と同じ",単元13!$E25&amp;"",$D25&amp;"")))</f>
        <v/>
      </c>
      <c r="F25" s="150"/>
      <c r="G25" s="150"/>
      <c r="H25" s="150"/>
      <c r="I25" s="151"/>
      <c r="J25" s="41" t="str">
        <f aca="false">IF($E25="","",$E25&amp;"|"&amp;COUNTIF($E$5:$E25,$E25))</f>
        <v/>
      </c>
      <c r="K25" s="40" t="str">
        <f aca="false">IF($I25="","",LEN($I25))</f>
        <v/>
      </c>
      <c r="L25" s="13"/>
      <c r="M25" s="13"/>
      <c r="N25" s="13"/>
      <c r="O25" s="13"/>
      <c r="P25" s="152"/>
      <c r="Q25" s="149"/>
      <c r="R25" s="152"/>
      <c r="S25" s="152"/>
      <c r="T25" s="62" t="str">
        <f aca="false">IF(OR($C25="",R25=""),"",IF(R25/IF($R$2="",100,$R$2)&gt;=設定!$I$28,設定!$G$8,IF(R25/IF($R$2="",100,$R$2)&lt;設定!$I$29,設定!$G$10,設定!$G$9)))</f>
        <v/>
      </c>
      <c r="U25" s="62" t="str">
        <f aca="false">IF(OR($C25="",S25=""),"",IF(S25/IF($S$2="",100,$S$2)&gt;=設定!$I$28,設定!$G$8,IF(S25/IF($S$2="",100,$S$2)&lt;設定!$I$29,設定!$G$10,設定!$G$9)))</f>
        <v/>
      </c>
    </row>
    <row r="26" customFormat="false" ht="21" hidden="false" customHeight="true" outlineLevel="0" collapsed="false">
      <c r="A26" s="91" t="str">
        <f aca="false">IF(名簿!$D26="","",名簿!$B26&amp;"")</f>
        <v/>
      </c>
      <c r="B26" s="91" t="str">
        <f aca="false">IF(名簿!$D26="","",名簿!$C26)</f>
        <v/>
      </c>
      <c r="C26" s="59" t="str">
        <f aca="false">IF(名簿!$D26="","",名簿!$D26&amp;IF(名簿!$F26="転出","（転出）",""))</f>
        <v/>
      </c>
      <c r="D26" s="149"/>
      <c r="E26" s="61" t="str">
        <f aca="false">IF(OR($C26="",名簿!$F26="転出"),"",IF($C$2="学級ごと",$A26,IF($C$2="前の単元と同じ",単元13!$E26&amp;"",$D26&amp;"")))</f>
        <v/>
      </c>
      <c r="F26" s="150"/>
      <c r="G26" s="150"/>
      <c r="H26" s="150"/>
      <c r="I26" s="151"/>
      <c r="J26" s="41" t="str">
        <f aca="false">IF($E26="","",$E26&amp;"|"&amp;COUNTIF($E$5:$E26,$E26))</f>
        <v/>
      </c>
      <c r="K26" s="40" t="str">
        <f aca="false">IF($I26="","",LEN($I26))</f>
        <v/>
      </c>
      <c r="L26" s="13"/>
      <c r="M26" s="13"/>
      <c r="N26" s="13"/>
      <c r="O26" s="13"/>
      <c r="P26" s="152"/>
      <c r="Q26" s="149"/>
      <c r="R26" s="152"/>
      <c r="S26" s="152"/>
      <c r="T26" s="62" t="str">
        <f aca="false">IF(OR($C26="",R26=""),"",IF(R26/IF($R$2="",100,$R$2)&gt;=設定!$I$28,設定!$G$8,IF(R26/IF($R$2="",100,$R$2)&lt;設定!$I$29,設定!$G$10,設定!$G$9)))</f>
        <v/>
      </c>
      <c r="U26" s="62" t="str">
        <f aca="false">IF(OR($C26="",S26=""),"",IF(S26/IF($S$2="",100,$S$2)&gt;=設定!$I$28,設定!$G$8,IF(S26/IF($S$2="",100,$S$2)&lt;設定!$I$29,設定!$G$10,設定!$G$9)))</f>
        <v/>
      </c>
    </row>
    <row r="27" customFormat="false" ht="21" hidden="false" customHeight="true" outlineLevel="0" collapsed="false">
      <c r="A27" s="91" t="str">
        <f aca="false">IF(名簿!$D27="","",名簿!$B27&amp;"")</f>
        <v/>
      </c>
      <c r="B27" s="91" t="str">
        <f aca="false">IF(名簿!$D27="","",名簿!$C27)</f>
        <v/>
      </c>
      <c r="C27" s="59" t="str">
        <f aca="false">IF(名簿!$D27="","",名簿!$D27&amp;IF(名簿!$F27="転出","（転出）",""))</f>
        <v/>
      </c>
      <c r="D27" s="149"/>
      <c r="E27" s="61" t="str">
        <f aca="false">IF(OR($C27="",名簿!$F27="転出"),"",IF($C$2="学級ごと",$A27,IF($C$2="前の単元と同じ",単元13!$E27&amp;"",$D27&amp;"")))</f>
        <v/>
      </c>
      <c r="F27" s="150"/>
      <c r="G27" s="150"/>
      <c r="H27" s="150"/>
      <c r="I27" s="151"/>
      <c r="J27" s="41" t="str">
        <f aca="false">IF($E27="","",$E27&amp;"|"&amp;COUNTIF($E$5:$E27,$E27))</f>
        <v/>
      </c>
      <c r="K27" s="40" t="str">
        <f aca="false">IF($I27="","",LEN($I27))</f>
        <v/>
      </c>
      <c r="L27" s="13"/>
      <c r="M27" s="13"/>
      <c r="N27" s="13"/>
      <c r="O27" s="13"/>
      <c r="P27" s="152"/>
      <c r="Q27" s="149"/>
      <c r="R27" s="152"/>
      <c r="S27" s="152"/>
      <c r="T27" s="62" t="str">
        <f aca="false">IF(OR($C27="",R27=""),"",IF(R27/IF($R$2="",100,$R$2)&gt;=設定!$I$28,設定!$G$8,IF(R27/IF($R$2="",100,$R$2)&lt;設定!$I$29,設定!$G$10,設定!$G$9)))</f>
        <v/>
      </c>
      <c r="U27" s="62" t="str">
        <f aca="false">IF(OR($C27="",S27=""),"",IF(S27/IF($S$2="",100,$S$2)&gt;=設定!$I$28,設定!$G$8,IF(S27/IF($S$2="",100,$S$2)&lt;設定!$I$29,設定!$G$10,設定!$G$9)))</f>
        <v/>
      </c>
    </row>
    <row r="28" customFormat="false" ht="21" hidden="false" customHeight="true" outlineLevel="0" collapsed="false">
      <c r="A28" s="91" t="str">
        <f aca="false">IF(名簿!$D28="","",名簿!$B28&amp;"")</f>
        <v/>
      </c>
      <c r="B28" s="91" t="str">
        <f aca="false">IF(名簿!$D28="","",名簿!$C28)</f>
        <v/>
      </c>
      <c r="C28" s="59" t="str">
        <f aca="false">IF(名簿!$D28="","",名簿!$D28&amp;IF(名簿!$F28="転出","（転出）",""))</f>
        <v/>
      </c>
      <c r="D28" s="149"/>
      <c r="E28" s="61" t="str">
        <f aca="false">IF(OR($C28="",名簿!$F28="転出"),"",IF($C$2="学級ごと",$A28,IF($C$2="前の単元と同じ",単元13!$E28&amp;"",$D28&amp;"")))</f>
        <v/>
      </c>
      <c r="F28" s="150"/>
      <c r="G28" s="150"/>
      <c r="H28" s="150"/>
      <c r="I28" s="151"/>
      <c r="J28" s="41" t="str">
        <f aca="false">IF($E28="","",$E28&amp;"|"&amp;COUNTIF($E$5:$E28,$E28))</f>
        <v/>
      </c>
      <c r="K28" s="40" t="str">
        <f aca="false">IF($I28="","",LEN($I28))</f>
        <v/>
      </c>
      <c r="L28" s="13"/>
      <c r="M28" s="13"/>
      <c r="N28" s="13"/>
      <c r="O28" s="13"/>
      <c r="P28" s="152"/>
      <c r="Q28" s="149"/>
      <c r="R28" s="152"/>
      <c r="S28" s="152"/>
      <c r="T28" s="62" t="str">
        <f aca="false">IF(OR($C28="",R28=""),"",IF(R28/IF($R$2="",100,$R$2)&gt;=設定!$I$28,設定!$G$8,IF(R28/IF($R$2="",100,$R$2)&lt;設定!$I$29,設定!$G$10,設定!$G$9)))</f>
        <v/>
      </c>
      <c r="U28" s="62" t="str">
        <f aca="false">IF(OR($C28="",S28=""),"",IF(S28/IF($S$2="",100,$S$2)&gt;=設定!$I$28,設定!$G$8,IF(S28/IF($S$2="",100,$S$2)&lt;設定!$I$29,設定!$G$10,設定!$G$9)))</f>
        <v/>
      </c>
    </row>
    <row r="29" customFormat="false" ht="21" hidden="false" customHeight="true" outlineLevel="0" collapsed="false">
      <c r="A29" s="91" t="str">
        <f aca="false">IF(名簿!$D29="","",名簿!$B29&amp;"")</f>
        <v/>
      </c>
      <c r="B29" s="91" t="str">
        <f aca="false">IF(名簿!$D29="","",名簿!$C29)</f>
        <v/>
      </c>
      <c r="C29" s="59" t="str">
        <f aca="false">IF(名簿!$D29="","",名簿!$D29&amp;IF(名簿!$F29="転出","（転出）",""))</f>
        <v/>
      </c>
      <c r="D29" s="149"/>
      <c r="E29" s="61" t="str">
        <f aca="false">IF(OR($C29="",名簿!$F29="転出"),"",IF($C$2="学級ごと",$A29,IF($C$2="前の単元と同じ",単元13!$E29&amp;"",$D29&amp;"")))</f>
        <v/>
      </c>
      <c r="F29" s="150"/>
      <c r="G29" s="150"/>
      <c r="H29" s="150"/>
      <c r="I29" s="151"/>
      <c r="J29" s="41" t="str">
        <f aca="false">IF($E29="","",$E29&amp;"|"&amp;COUNTIF($E$5:$E29,$E29))</f>
        <v/>
      </c>
      <c r="K29" s="40" t="str">
        <f aca="false">IF($I29="","",LEN($I29))</f>
        <v/>
      </c>
      <c r="L29" s="13"/>
      <c r="M29" s="13"/>
      <c r="N29" s="13"/>
      <c r="O29" s="13"/>
      <c r="P29" s="152"/>
      <c r="Q29" s="149"/>
      <c r="R29" s="152"/>
      <c r="S29" s="152"/>
      <c r="T29" s="62" t="str">
        <f aca="false">IF(OR($C29="",R29=""),"",IF(R29/IF($R$2="",100,$R$2)&gt;=設定!$I$28,設定!$G$8,IF(R29/IF($R$2="",100,$R$2)&lt;設定!$I$29,設定!$G$10,設定!$G$9)))</f>
        <v/>
      </c>
      <c r="U29" s="62" t="str">
        <f aca="false">IF(OR($C29="",S29=""),"",IF(S29/IF($S$2="",100,$S$2)&gt;=設定!$I$28,設定!$G$8,IF(S29/IF($S$2="",100,$S$2)&lt;設定!$I$29,設定!$G$10,設定!$G$9)))</f>
        <v/>
      </c>
    </row>
    <row r="30" customFormat="false" ht="21" hidden="false" customHeight="true" outlineLevel="0" collapsed="false">
      <c r="A30" s="91" t="str">
        <f aca="false">IF(名簿!$D30="","",名簿!$B30&amp;"")</f>
        <v/>
      </c>
      <c r="B30" s="91" t="str">
        <f aca="false">IF(名簿!$D30="","",名簿!$C30)</f>
        <v/>
      </c>
      <c r="C30" s="59" t="str">
        <f aca="false">IF(名簿!$D30="","",名簿!$D30&amp;IF(名簿!$F30="転出","（転出）",""))</f>
        <v/>
      </c>
      <c r="D30" s="149"/>
      <c r="E30" s="61" t="str">
        <f aca="false">IF(OR($C30="",名簿!$F30="転出"),"",IF($C$2="学級ごと",$A30,IF($C$2="前の単元と同じ",単元13!$E30&amp;"",$D30&amp;"")))</f>
        <v/>
      </c>
      <c r="F30" s="150"/>
      <c r="G30" s="150"/>
      <c r="H30" s="150"/>
      <c r="I30" s="151"/>
      <c r="J30" s="41" t="str">
        <f aca="false">IF($E30="","",$E30&amp;"|"&amp;COUNTIF($E$5:$E30,$E30))</f>
        <v/>
      </c>
      <c r="K30" s="40" t="str">
        <f aca="false">IF($I30="","",LEN($I30))</f>
        <v/>
      </c>
      <c r="L30" s="13"/>
      <c r="M30" s="13"/>
      <c r="N30" s="13"/>
      <c r="O30" s="13"/>
      <c r="P30" s="152"/>
      <c r="Q30" s="149"/>
      <c r="R30" s="152"/>
      <c r="S30" s="152"/>
      <c r="T30" s="62" t="str">
        <f aca="false">IF(OR($C30="",R30=""),"",IF(R30/IF($R$2="",100,$R$2)&gt;=設定!$I$28,設定!$G$8,IF(R30/IF($R$2="",100,$R$2)&lt;設定!$I$29,設定!$G$10,設定!$G$9)))</f>
        <v/>
      </c>
      <c r="U30" s="62" t="str">
        <f aca="false">IF(OR($C30="",S30=""),"",IF(S30/IF($S$2="",100,$S$2)&gt;=設定!$I$28,設定!$G$8,IF(S30/IF($S$2="",100,$S$2)&lt;設定!$I$29,設定!$G$10,設定!$G$9)))</f>
        <v/>
      </c>
    </row>
    <row r="31" customFormat="false" ht="21" hidden="false" customHeight="true" outlineLevel="0" collapsed="false">
      <c r="A31" s="91" t="str">
        <f aca="false">IF(名簿!$D31="","",名簿!$B31&amp;"")</f>
        <v/>
      </c>
      <c r="B31" s="91" t="str">
        <f aca="false">IF(名簿!$D31="","",名簿!$C31)</f>
        <v/>
      </c>
      <c r="C31" s="59" t="str">
        <f aca="false">IF(名簿!$D31="","",名簿!$D31&amp;IF(名簿!$F31="転出","（転出）",""))</f>
        <v/>
      </c>
      <c r="D31" s="149"/>
      <c r="E31" s="61" t="str">
        <f aca="false">IF(OR($C31="",名簿!$F31="転出"),"",IF($C$2="学級ごと",$A31,IF($C$2="前の単元と同じ",単元13!$E31&amp;"",$D31&amp;"")))</f>
        <v/>
      </c>
      <c r="F31" s="150"/>
      <c r="G31" s="150"/>
      <c r="H31" s="150"/>
      <c r="I31" s="151"/>
      <c r="J31" s="41" t="str">
        <f aca="false">IF($E31="","",$E31&amp;"|"&amp;COUNTIF($E$5:$E31,$E31))</f>
        <v/>
      </c>
      <c r="K31" s="40" t="str">
        <f aca="false">IF($I31="","",LEN($I31))</f>
        <v/>
      </c>
      <c r="L31" s="13"/>
      <c r="M31" s="13"/>
      <c r="N31" s="13"/>
      <c r="O31" s="13"/>
      <c r="P31" s="152"/>
      <c r="Q31" s="149"/>
      <c r="R31" s="152"/>
      <c r="S31" s="152"/>
      <c r="T31" s="62" t="str">
        <f aca="false">IF(OR($C31="",R31=""),"",IF(R31/IF($R$2="",100,$R$2)&gt;=設定!$I$28,設定!$G$8,IF(R31/IF($R$2="",100,$R$2)&lt;設定!$I$29,設定!$G$10,設定!$G$9)))</f>
        <v/>
      </c>
      <c r="U31" s="62" t="str">
        <f aca="false">IF(OR($C31="",S31=""),"",IF(S31/IF($S$2="",100,$S$2)&gt;=設定!$I$28,設定!$G$8,IF(S31/IF($S$2="",100,$S$2)&lt;設定!$I$29,設定!$G$10,設定!$G$9)))</f>
        <v/>
      </c>
    </row>
    <row r="32" customFormat="false" ht="21" hidden="false" customHeight="true" outlineLevel="0" collapsed="false">
      <c r="A32" s="91" t="str">
        <f aca="false">IF(名簿!$D32="","",名簿!$B32&amp;"")</f>
        <v/>
      </c>
      <c r="B32" s="91" t="str">
        <f aca="false">IF(名簿!$D32="","",名簿!$C32)</f>
        <v/>
      </c>
      <c r="C32" s="59" t="str">
        <f aca="false">IF(名簿!$D32="","",名簿!$D32&amp;IF(名簿!$F32="転出","（転出）",""))</f>
        <v/>
      </c>
      <c r="D32" s="149"/>
      <c r="E32" s="61" t="str">
        <f aca="false">IF(OR($C32="",名簿!$F32="転出"),"",IF($C$2="学級ごと",$A32,IF($C$2="前の単元と同じ",単元13!$E32&amp;"",$D32&amp;"")))</f>
        <v/>
      </c>
      <c r="F32" s="150"/>
      <c r="G32" s="150"/>
      <c r="H32" s="150"/>
      <c r="I32" s="151"/>
      <c r="J32" s="41" t="str">
        <f aca="false">IF($E32="","",$E32&amp;"|"&amp;COUNTIF($E$5:$E32,$E32))</f>
        <v/>
      </c>
      <c r="K32" s="40" t="str">
        <f aca="false">IF($I32="","",LEN($I32))</f>
        <v/>
      </c>
      <c r="L32" s="13"/>
      <c r="M32" s="13"/>
      <c r="N32" s="13"/>
      <c r="O32" s="13"/>
      <c r="P32" s="152"/>
      <c r="Q32" s="149"/>
      <c r="R32" s="152"/>
      <c r="S32" s="152"/>
      <c r="T32" s="62" t="str">
        <f aca="false">IF(OR($C32="",R32=""),"",IF(R32/IF($R$2="",100,$R$2)&gt;=設定!$I$28,設定!$G$8,IF(R32/IF($R$2="",100,$R$2)&lt;設定!$I$29,設定!$G$10,設定!$G$9)))</f>
        <v/>
      </c>
      <c r="U32" s="62" t="str">
        <f aca="false">IF(OR($C32="",S32=""),"",IF(S32/IF($S$2="",100,$S$2)&gt;=設定!$I$28,設定!$G$8,IF(S32/IF($S$2="",100,$S$2)&lt;設定!$I$29,設定!$G$10,設定!$G$9)))</f>
        <v/>
      </c>
    </row>
    <row r="33" customFormat="false" ht="21" hidden="false" customHeight="true" outlineLevel="0" collapsed="false">
      <c r="A33" s="91" t="str">
        <f aca="false">IF(名簿!$D33="","",名簿!$B33&amp;"")</f>
        <v/>
      </c>
      <c r="B33" s="91" t="str">
        <f aca="false">IF(名簿!$D33="","",名簿!$C33)</f>
        <v/>
      </c>
      <c r="C33" s="59" t="str">
        <f aca="false">IF(名簿!$D33="","",名簿!$D33&amp;IF(名簿!$F33="転出","（転出）",""))</f>
        <v/>
      </c>
      <c r="D33" s="149"/>
      <c r="E33" s="61" t="str">
        <f aca="false">IF(OR($C33="",名簿!$F33="転出"),"",IF($C$2="学級ごと",$A33,IF($C$2="前の単元と同じ",単元13!$E33&amp;"",$D33&amp;"")))</f>
        <v/>
      </c>
      <c r="F33" s="150"/>
      <c r="G33" s="150"/>
      <c r="H33" s="150"/>
      <c r="I33" s="151"/>
      <c r="J33" s="41" t="str">
        <f aca="false">IF($E33="","",$E33&amp;"|"&amp;COUNTIF($E$5:$E33,$E33))</f>
        <v/>
      </c>
      <c r="K33" s="40" t="str">
        <f aca="false">IF($I33="","",LEN($I33))</f>
        <v/>
      </c>
      <c r="L33" s="13"/>
      <c r="M33" s="13"/>
      <c r="N33" s="13"/>
      <c r="O33" s="13"/>
      <c r="P33" s="152"/>
      <c r="Q33" s="149"/>
      <c r="R33" s="152"/>
      <c r="S33" s="152"/>
      <c r="T33" s="62" t="str">
        <f aca="false">IF(OR($C33="",R33=""),"",IF(R33/IF($R$2="",100,$R$2)&gt;=設定!$I$28,設定!$G$8,IF(R33/IF($R$2="",100,$R$2)&lt;設定!$I$29,設定!$G$10,設定!$G$9)))</f>
        <v/>
      </c>
      <c r="U33" s="62" t="str">
        <f aca="false">IF(OR($C33="",S33=""),"",IF(S33/IF($S$2="",100,$S$2)&gt;=設定!$I$28,設定!$G$8,IF(S33/IF($S$2="",100,$S$2)&lt;設定!$I$29,設定!$G$10,設定!$G$9)))</f>
        <v/>
      </c>
    </row>
    <row r="34" customFormat="false" ht="21" hidden="false" customHeight="true" outlineLevel="0" collapsed="false">
      <c r="A34" s="91" t="str">
        <f aca="false">IF(名簿!$D34="","",名簿!$B34&amp;"")</f>
        <v/>
      </c>
      <c r="B34" s="91" t="str">
        <f aca="false">IF(名簿!$D34="","",名簿!$C34)</f>
        <v/>
      </c>
      <c r="C34" s="59" t="str">
        <f aca="false">IF(名簿!$D34="","",名簿!$D34&amp;IF(名簿!$F34="転出","（転出）",""))</f>
        <v/>
      </c>
      <c r="D34" s="149"/>
      <c r="E34" s="61" t="str">
        <f aca="false">IF(OR($C34="",名簿!$F34="転出"),"",IF($C$2="学級ごと",$A34,IF($C$2="前の単元と同じ",単元13!$E34&amp;"",$D34&amp;"")))</f>
        <v/>
      </c>
      <c r="F34" s="150"/>
      <c r="G34" s="150"/>
      <c r="H34" s="150"/>
      <c r="I34" s="151"/>
      <c r="J34" s="41" t="str">
        <f aca="false">IF($E34="","",$E34&amp;"|"&amp;COUNTIF($E$5:$E34,$E34))</f>
        <v/>
      </c>
      <c r="K34" s="40" t="str">
        <f aca="false">IF($I34="","",LEN($I34))</f>
        <v/>
      </c>
      <c r="L34" s="13"/>
      <c r="M34" s="13"/>
      <c r="N34" s="13"/>
      <c r="O34" s="13"/>
      <c r="P34" s="152"/>
      <c r="Q34" s="149"/>
      <c r="R34" s="152"/>
      <c r="S34" s="152"/>
      <c r="T34" s="62" t="str">
        <f aca="false">IF(OR($C34="",R34=""),"",IF(R34/IF($R$2="",100,$R$2)&gt;=設定!$I$28,設定!$G$8,IF(R34/IF($R$2="",100,$R$2)&lt;設定!$I$29,設定!$G$10,設定!$G$9)))</f>
        <v/>
      </c>
      <c r="U34" s="62" t="str">
        <f aca="false">IF(OR($C34="",S34=""),"",IF(S34/IF($S$2="",100,$S$2)&gt;=設定!$I$28,設定!$G$8,IF(S34/IF($S$2="",100,$S$2)&lt;設定!$I$29,設定!$G$10,設定!$G$9)))</f>
        <v/>
      </c>
    </row>
    <row r="35" customFormat="false" ht="21" hidden="false" customHeight="true" outlineLevel="0" collapsed="false">
      <c r="A35" s="91" t="str">
        <f aca="false">IF(名簿!$D35="","",名簿!$B35&amp;"")</f>
        <v/>
      </c>
      <c r="B35" s="91" t="str">
        <f aca="false">IF(名簿!$D35="","",名簿!$C35)</f>
        <v/>
      </c>
      <c r="C35" s="59" t="str">
        <f aca="false">IF(名簿!$D35="","",名簿!$D35&amp;IF(名簿!$F35="転出","（転出）",""))</f>
        <v/>
      </c>
      <c r="D35" s="149"/>
      <c r="E35" s="61" t="str">
        <f aca="false">IF(OR($C35="",名簿!$F35="転出"),"",IF($C$2="学級ごと",$A35,IF($C$2="前の単元と同じ",単元13!$E35&amp;"",$D35&amp;"")))</f>
        <v/>
      </c>
      <c r="F35" s="150"/>
      <c r="G35" s="150"/>
      <c r="H35" s="150"/>
      <c r="I35" s="151"/>
      <c r="J35" s="41" t="str">
        <f aca="false">IF($E35="","",$E35&amp;"|"&amp;COUNTIF($E$5:$E35,$E35))</f>
        <v/>
      </c>
      <c r="K35" s="40" t="str">
        <f aca="false">IF($I35="","",LEN($I35))</f>
        <v/>
      </c>
      <c r="L35" s="13"/>
      <c r="M35" s="13"/>
      <c r="N35" s="13"/>
      <c r="O35" s="13"/>
      <c r="P35" s="152"/>
      <c r="Q35" s="149"/>
      <c r="R35" s="152"/>
      <c r="S35" s="152"/>
      <c r="T35" s="62" t="str">
        <f aca="false">IF(OR($C35="",R35=""),"",IF(R35/IF($R$2="",100,$R$2)&gt;=設定!$I$28,設定!$G$8,IF(R35/IF($R$2="",100,$R$2)&lt;設定!$I$29,設定!$G$10,設定!$G$9)))</f>
        <v/>
      </c>
      <c r="U35" s="62" t="str">
        <f aca="false">IF(OR($C35="",S35=""),"",IF(S35/IF($S$2="",100,$S$2)&gt;=設定!$I$28,設定!$G$8,IF(S35/IF($S$2="",100,$S$2)&lt;設定!$I$29,設定!$G$10,設定!$G$9)))</f>
        <v/>
      </c>
    </row>
    <row r="36" customFormat="false" ht="21" hidden="false" customHeight="true" outlineLevel="0" collapsed="false">
      <c r="A36" s="91" t="str">
        <f aca="false">IF(名簿!$D36="","",名簿!$B36&amp;"")</f>
        <v/>
      </c>
      <c r="B36" s="91" t="str">
        <f aca="false">IF(名簿!$D36="","",名簿!$C36)</f>
        <v/>
      </c>
      <c r="C36" s="59" t="str">
        <f aca="false">IF(名簿!$D36="","",名簿!$D36&amp;IF(名簿!$F36="転出","（転出）",""))</f>
        <v/>
      </c>
      <c r="D36" s="149"/>
      <c r="E36" s="61" t="str">
        <f aca="false">IF(OR($C36="",名簿!$F36="転出"),"",IF($C$2="学級ごと",$A36,IF($C$2="前の単元と同じ",単元13!$E36&amp;"",$D36&amp;"")))</f>
        <v/>
      </c>
      <c r="F36" s="150"/>
      <c r="G36" s="150"/>
      <c r="H36" s="150"/>
      <c r="I36" s="151"/>
      <c r="J36" s="41" t="str">
        <f aca="false">IF($E36="","",$E36&amp;"|"&amp;COUNTIF($E$5:$E36,$E36))</f>
        <v/>
      </c>
      <c r="K36" s="40" t="str">
        <f aca="false">IF($I36="","",LEN($I36))</f>
        <v/>
      </c>
      <c r="L36" s="13"/>
      <c r="M36" s="13"/>
      <c r="N36" s="13"/>
      <c r="O36" s="13"/>
      <c r="P36" s="152"/>
      <c r="Q36" s="149"/>
      <c r="R36" s="152"/>
      <c r="S36" s="152"/>
      <c r="T36" s="62" t="str">
        <f aca="false">IF(OR($C36="",R36=""),"",IF(R36/IF($R$2="",100,$R$2)&gt;=設定!$I$28,設定!$G$8,IF(R36/IF($R$2="",100,$R$2)&lt;設定!$I$29,設定!$G$10,設定!$G$9)))</f>
        <v/>
      </c>
      <c r="U36" s="62" t="str">
        <f aca="false">IF(OR($C36="",S36=""),"",IF(S36/IF($S$2="",100,$S$2)&gt;=設定!$I$28,設定!$G$8,IF(S36/IF($S$2="",100,$S$2)&lt;設定!$I$29,設定!$G$10,設定!$G$9)))</f>
        <v/>
      </c>
    </row>
    <row r="37" customFormat="false" ht="21" hidden="false" customHeight="true" outlineLevel="0" collapsed="false">
      <c r="A37" s="91" t="str">
        <f aca="false">IF(名簿!$D37="","",名簿!$B37&amp;"")</f>
        <v/>
      </c>
      <c r="B37" s="91" t="str">
        <f aca="false">IF(名簿!$D37="","",名簿!$C37)</f>
        <v/>
      </c>
      <c r="C37" s="59" t="str">
        <f aca="false">IF(名簿!$D37="","",名簿!$D37&amp;IF(名簿!$F37="転出","（転出）",""))</f>
        <v/>
      </c>
      <c r="D37" s="149"/>
      <c r="E37" s="61" t="str">
        <f aca="false">IF(OR($C37="",名簿!$F37="転出"),"",IF($C$2="学級ごと",$A37,IF($C$2="前の単元と同じ",単元13!$E37&amp;"",$D37&amp;"")))</f>
        <v/>
      </c>
      <c r="F37" s="150"/>
      <c r="G37" s="150"/>
      <c r="H37" s="150"/>
      <c r="I37" s="151"/>
      <c r="J37" s="41" t="str">
        <f aca="false">IF($E37="","",$E37&amp;"|"&amp;COUNTIF($E$5:$E37,$E37))</f>
        <v/>
      </c>
      <c r="K37" s="40" t="str">
        <f aca="false">IF($I37="","",LEN($I37))</f>
        <v/>
      </c>
      <c r="L37" s="13"/>
      <c r="M37" s="13"/>
      <c r="N37" s="13"/>
      <c r="O37" s="13"/>
      <c r="P37" s="152"/>
      <c r="Q37" s="149"/>
      <c r="R37" s="152"/>
      <c r="S37" s="152"/>
      <c r="T37" s="62" t="str">
        <f aca="false">IF(OR($C37="",R37=""),"",IF(R37/IF($R$2="",100,$R$2)&gt;=設定!$I$28,設定!$G$8,IF(R37/IF($R$2="",100,$R$2)&lt;設定!$I$29,設定!$G$10,設定!$G$9)))</f>
        <v/>
      </c>
      <c r="U37" s="62" t="str">
        <f aca="false">IF(OR($C37="",S37=""),"",IF(S37/IF($S$2="",100,$S$2)&gt;=設定!$I$28,設定!$G$8,IF(S37/IF($S$2="",100,$S$2)&lt;設定!$I$29,設定!$G$10,設定!$G$9)))</f>
        <v/>
      </c>
    </row>
    <row r="38" customFormat="false" ht="21" hidden="false" customHeight="true" outlineLevel="0" collapsed="false">
      <c r="A38" s="91" t="str">
        <f aca="false">IF(名簿!$D38="","",名簿!$B38&amp;"")</f>
        <v/>
      </c>
      <c r="B38" s="91" t="str">
        <f aca="false">IF(名簿!$D38="","",名簿!$C38)</f>
        <v/>
      </c>
      <c r="C38" s="59" t="str">
        <f aca="false">IF(名簿!$D38="","",名簿!$D38&amp;IF(名簿!$F38="転出","（転出）",""))</f>
        <v/>
      </c>
      <c r="D38" s="149"/>
      <c r="E38" s="61" t="str">
        <f aca="false">IF(OR($C38="",名簿!$F38="転出"),"",IF($C$2="学級ごと",$A38,IF($C$2="前の単元と同じ",単元13!$E38&amp;"",$D38&amp;"")))</f>
        <v/>
      </c>
      <c r="F38" s="150"/>
      <c r="G38" s="150"/>
      <c r="H38" s="150"/>
      <c r="I38" s="151"/>
      <c r="J38" s="41" t="str">
        <f aca="false">IF($E38="","",$E38&amp;"|"&amp;COUNTIF($E$5:$E38,$E38))</f>
        <v/>
      </c>
      <c r="K38" s="40" t="str">
        <f aca="false">IF($I38="","",LEN($I38))</f>
        <v/>
      </c>
      <c r="L38" s="13"/>
      <c r="M38" s="13"/>
      <c r="N38" s="13"/>
      <c r="O38" s="13"/>
      <c r="P38" s="152"/>
      <c r="Q38" s="149"/>
      <c r="R38" s="152"/>
      <c r="S38" s="152"/>
      <c r="T38" s="62" t="str">
        <f aca="false">IF(OR($C38="",R38=""),"",IF(R38/IF($R$2="",100,$R$2)&gt;=設定!$I$28,設定!$G$8,IF(R38/IF($R$2="",100,$R$2)&lt;設定!$I$29,設定!$G$10,設定!$G$9)))</f>
        <v/>
      </c>
      <c r="U38" s="62" t="str">
        <f aca="false">IF(OR($C38="",S38=""),"",IF(S38/IF($S$2="",100,$S$2)&gt;=設定!$I$28,設定!$G$8,IF(S38/IF($S$2="",100,$S$2)&lt;設定!$I$29,設定!$G$10,設定!$G$9)))</f>
        <v/>
      </c>
    </row>
    <row r="39" customFormat="false" ht="21" hidden="false" customHeight="true" outlineLevel="0" collapsed="false">
      <c r="A39" s="91" t="str">
        <f aca="false">IF(名簿!$D39="","",名簿!$B39&amp;"")</f>
        <v/>
      </c>
      <c r="B39" s="91" t="str">
        <f aca="false">IF(名簿!$D39="","",名簿!$C39)</f>
        <v/>
      </c>
      <c r="C39" s="59" t="str">
        <f aca="false">IF(名簿!$D39="","",名簿!$D39&amp;IF(名簿!$F39="転出","（転出）",""))</f>
        <v/>
      </c>
      <c r="D39" s="149"/>
      <c r="E39" s="61" t="str">
        <f aca="false">IF(OR($C39="",名簿!$F39="転出"),"",IF($C$2="学級ごと",$A39,IF($C$2="前の単元と同じ",単元13!$E39&amp;"",$D39&amp;"")))</f>
        <v/>
      </c>
      <c r="F39" s="150"/>
      <c r="G39" s="150"/>
      <c r="H39" s="150"/>
      <c r="I39" s="151"/>
      <c r="J39" s="41" t="str">
        <f aca="false">IF($E39="","",$E39&amp;"|"&amp;COUNTIF($E$5:$E39,$E39))</f>
        <v/>
      </c>
      <c r="K39" s="40" t="str">
        <f aca="false">IF($I39="","",LEN($I39))</f>
        <v/>
      </c>
      <c r="L39" s="13"/>
      <c r="M39" s="13"/>
      <c r="N39" s="13"/>
      <c r="O39" s="13"/>
      <c r="P39" s="152"/>
      <c r="Q39" s="149"/>
      <c r="R39" s="152"/>
      <c r="S39" s="152"/>
      <c r="T39" s="62" t="str">
        <f aca="false">IF(OR($C39="",R39=""),"",IF(R39/IF($R$2="",100,$R$2)&gt;=設定!$I$28,設定!$G$8,IF(R39/IF($R$2="",100,$R$2)&lt;設定!$I$29,設定!$G$10,設定!$G$9)))</f>
        <v/>
      </c>
      <c r="U39" s="62" t="str">
        <f aca="false">IF(OR($C39="",S39=""),"",IF(S39/IF($S$2="",100,$S$2)&gt;=設定!$I$28,設定!$G$8,IF(S39/IF($S$2="",100,$S$2)&lt;設定!$I$29,設定!$G$10,設定!$G$9)))</f>
        <v/>
      </c>
    </row>
    <row r="40" customFormat="false" ht="21" hidden="false" customHeight="true" outlineLevel="0" collapsed="false">
      <c r="A40" s="91" t="str">
        <f aca="false">IF(名簿!$D40="","",名簿!$B40&amp;"")</f>
        <v/>
      </c>
      <c r="B40" s="91" t="str">
        <f aca="false">IF(名簿!$D40="","",名簿!$C40)</f>
        <v/>
      </c>
      <c r="C40" s="59" t="str">
        <f aca="false">IF(名簿!$D40="","",名簿!$D40&amp;IF(名簿!$F40="転出","（転出）",""))</f>
        <v/>
      </c>
      <c r="D40" s="149"/>
      <c r="E40" s="61" t="str">
        <f aca="false">IF(OR($C40="",名簿!$F40="転出"),"",IF($C$2="学級ごと",$A40,IF($C$2="前の単元と同じ",単元13!$E40&amp;"",$D40&amp;"")))</f>
        <v/>
      </c>
      <c r="F40" s="150"/>
      <c r="G40" s="150"/>
      <c r="H40" s="150"/>
      <c r="I40" s="151"/>
      <c r="J40" s="41" t="str">
        <f aca="false">IF($E40="","",$E40&amp;"|"&amp;COUNTIF($E$5:$E40,$E40))</f>
        <v/>
      </c>
      <c r="K40" s="40" t="str">
        <f aca="false">IF($I40="","",LEN($I40))</f>
        <v/>
      </c>
      <c r="L40" s="13"/>
      <c r="M40" s="13"/>
      <c r="N40" s="13"/>
      <c r="O40" s="13"/>
      <c r="P40" s="152"/>
      <c r="Q40" s="149"/>
      <c r="R40" s="152"/>
      <c r="S40" s="152"/>
      <c r="T40" s="62" t="str">
        <f aca="false">IF(OR($C40="",R40=""),"",IF(R40/IF($R$2="",100,$R$2)&gt;=設定!$I$28,設定!$G$8,IF(R40/IF($R$2="",100,$R$2)&lt;設定!$I$29,設定!$G$10,設定!$G$9)))</f>
        <v/>
      </c>
      <c r="U40" s="62" t="str">
        <f aca="false">IF(OR($C40="",S40=""),"",IF(S40/IF($S$2="",100,$S$2)&gt;=設定!$I$28,設定!$G$8,IF(S40/IF($S$2="",100,$S$2)&lt;設定!$I$29,設定!$G$10,設定!$G$9)))</f>
        <v/>
      </c>
    </row>
    <row r="41" customFormat="false" ht="21" hidden="false" customHeight="true" outlineLevel="0" collapsed="false">
      <c r="A41" s="91" t="str">
        <f aca="false">IF(名簿!$D41="","",名簿!$B41&amp;"")</f>
        <v/>
      </c>
      <c r="B41" s="91" t="str">
        <f aca="false">IF(名簿!$D41="","",名簿!$C41)</f>
        <v/>
      </c>
      <c r="C41" s="59" t="str">
        <f aca="false">IF(名簿!$D41="","",名簿!$D41&amp;IF(名簿!$F41="転出","（転出）",""))</f>
        <v/>
      </c>
      <c r="D41" s="149"/>
      <c r="E41" s="61" t="str">
        <f aca="false">IF(OR($C41="",名簿!$F41="転出"),"",IF($C$2="学級ごと",$A41,IF($C$2="前の単元と同じ",単元13!$E41&amp;"",$D41&amp;"")))</f>
        <v/>
      </c>
      <c r="F41" s="150"/>
      <c r="G41" s="150"/>
      <c r="H41" s="150"/>
      <c r="I41" s="151"/>
      <c r="J41" s="41" t="str">
        <f aca="false">IF($E41="","",$E41&amp;"|"&amp;COUNTIF($E$5:$E41,$E41))</f>
        <v/>
      </c>
      <c r="K41" s="40" t="str">
        <f aca="false">IF($I41="","",LEN($I41))</f>
        <v/>
      </c>
      <c r="L41" s="13"/>
      <c r="M41" s="13"/>
      <c r="N41" s="13"/>
      <c r="O41" s="13"/>
      <c r="P41" s="152"/>
      <c r="Q41" s="149"/>
      <c r="R41" s="152"/>
      <c r="S41" s="152"/>
      <c r="T41" s="62" t="str">
        <f aca="false">IF(OR($C41="",R41=""),"",IF(R41/IF($R$2="",100,$R$2)&gt;=設定!$I$28,設定!$G$8,IF(R41/IF($R$2="",100,$R$2)&lt;設定!$I$29,設定!$G$10,設定!$G$9)))</f>
        <v/>
      </c>
      <c r="U41" s="62" t="str">
        <f aca="false">IF(OR($C41="",S41=""),"",IF(S41/IF($S$2="",100,$S$2)&gt;=設定!$I$28,設定!$G$8,IF(S41/IF($S$2="",100,$S$2)&lt;設定!$I$29,設定!$G$10,設定!$G$9)))</f>
        <v/>
      </c>
    </row>
    <row r="42" customFormat="false" ht="21" hidden="false" customHeight="true" outlineLevel="0" collapsed="false">
      <c r="A42" s="91" t="str">
        <f aca="false">IF(名簿!$D42="","",名簿!$B42&amp;"")</f>
        <v/>
      </c>
      <c r="B42" s="91" t="str">
        <f aca="false">IF(名簿!$D42="","",名簿!$C42)</f>
        <v/>
      </c>
      <c r="C42" s="59" t="str">
        <f aca="false">IF(名簿!$D42="","",名簿!$D42&amp;IF(名簿!$F42="転出","（転出）",""))</f>
        <v/>
      </c>
      <c r="D42" s="149"/>
      <c r="E42" s="61" t="str">
        <f aca="false">IF(OR($C42="",名簿!$F42="転出"),"",IF($C$2="学級ごと",$A42,IF($C$2="前の単元と同じ",単元13!$E42&amp;"",$D42&amp;"")))</f>
        <v/>
      </c>
      <c r="F42" s="150"/>
      <c r="G42" s="150"/>
      <c r="H42" s="150"/>
      <c r="I42" s="151"/>
      <c r="J42" s="41" t="str">
        <f aca="false">IF($E42="","",$E42&amp;"|"&amp;COUNTIF($E$5:$E42,$E42))</f>
        <v/>
      </c>
      <c r="K42" s="40" t="str">
        <f aca="false">IF($I42="","",LEN($I42))</f>
        <v/>
      </c>
      <c r="L42" s="13"/>
      <c r="M42" s="13"/>
      <c r="N42" s="13"/>
      <c r="O42" s="13"/>
      <c r="P42" s="152"/>
      <c r="Q42" s="149"/>
      <c r="R42" s="152"/>
      <c r="S42" s="152"/>
      <c r="T42" s="62" t="str">
        <f aca="false">IF(OR($C42="",R42=""),"",IF(R42/IF($R$2="",100,$R$2)&gt;=設定!$I$28,設定!$G$8,IF(R42/IF($R$2="",100,$R$2)&lt;設定!$I$29,設定!$G$10,設定!$G$9)))</f>
        <v/>
      </c>
      <c r="U42" s="62" t="str">
        <f aca="false">IF(OR($C42="",S42=""),"",IF(S42/IF($S$2="",100,$S$2)&gt;=設定!$I$28,設定!$G$8,IF(S42/IF($S$2="",100,$S$2)&lt;設定!$I$29,設定!$G$10,設定!$G$9)))</f>
        <v/>
      </c>
    </row>
    <row r="43" customFormat="false" ht="21" hidden="false" customHeight="true" outlineLevel="0" collapsed="false">
      <c r="A43" s="91" t="str">
        <f aca="false">IF(名簿!$D43="","",名簿!$B43&amp;"")</f>
        <v/>
      </c>
      <c r="B43" s="91" t="str">
        <f aca="false">IF(名簿!$D43="","",名簿!$C43)</f>
        <v/>
      </c>
      <c r="C43" s="59" t="str">
        <f aca="false">IF(名簿!$D43="","",名簿!$D43&amp;IF(名簿!$F43="転出","（転出）",""))</f>
        <v/>
      </c>
      <c r="D43" s="149"/>
      <c r="E43" s="61" t="str">
        <f aca="false">IF(OR($C43="",名簿!$F43="転出"),"",IF($C$2="学級ごと",$A43,IF($C$2="前の単元と同じ",単元13!$E43&amp;"",$D43&amp;"")))</f>
        <v/>
      </c>
      <c r="F43" s="150"/>
      <c r="G43" s="150"/>
      <c r="H43" s="150"/>
      <c r="I43" s="151"/>
      <c r="J43" s="41" t="str">
        <f aca="false">IF($E43="","",$E43&amp;"|"&amp;COUNTIF($E$5:$E43,$E43))</f>
        <v/>
      </c>
      <c r="K43" s="40" t="str">
        <f aca="false">IF($I43="","",LEN($I43))</f>
        <v/>
      </c>
      <c r="L43" s="13"/>
      <c r="M43" s="13"/>
      <c r="N43" s="13"/>
      <c r="O43" s="13"/>
      <c r="P43" s="152"/>
      <c r="Q43" s="149"/>
      <c r="R43" s="152"/>
      <c r="S43" s="152"/>
      <c r="T43" s="62" t="str">
        <f aca="false">IF(OR($C43="",R43=""),"",IF(R43/IF($R$2="",100,$R$2)&gt;=設定!$I$28,設定!$G$8,IF(R43/IF($R$2="",100,$R$2)&lt;設定!$I$29,設定!$G$10,設定!$G$9)))</f>
        <v/>
      </c>
      <c r="U43" s="62" t="str">
        <f aca="false">IF(OR($C43="",S43=""),"",IF(S43/IF($S$2="",100,$S$2)&gt;=設定!$I$28,設定!$G$8,IF(S43/IF($S$2="",100,$S$2)&lt;設定!$I$29,設定!$G$10,設定!$G$9)))</f>
        <v/>
      </c>
    </row>
    <row r="44" customFormat="false" ht="21" hidden="false" customHeight="true" outlineLevel="0" collapsed="false">
      <c r="A44" s="91" t="str">
        <f aca="false">IF(名簿!$D44="","",名簿!$B44&amp;"")</f>
        <v/>
      </c>
      <c r="B44" s="91" t="str">
        <f aca="false">IF(名簿!$D44="","",名簿!$C44)</f>
        <v/>
      </c>
      <c r="C44" s="59" t="str">
        <f aca="false">IF(名簿!$D44="","",名簿!$D44&amp;IF(名簿!$F44="転出","（転出）",""))</f>
        <v/>
      </c>
      <c r="D44" s="149"/>
      <c r="E44" s="61" t="str">
        <f aca="false">IF(OR($C44="",名簿!$F44="転出"),"",IF($C$2="学級ごと",$A44,IF($C$2="前の単元と同じ",単元13!$E44&amp;"",$D44&amp;"")))</f>
        <v/>
      </c>
      <c r="F44" s="150"/>
      <c r="G44" s="150"/>
      <c r="H44" s="150"/>
      <c r="I44" s="151"/>
      <c r="J44" s="41" t="str">
        <f aca="false">IF($E44="","",$E44&amp;"|"&amp;COUNTIF($E$5:$E44,$E44))</f>
        <v/>
      </c>
      <c r="K44" s="40" t="str">
        <f aca="false">IF($I44="","",LEN($I44))</f>
        <v/>
      </c>
      <c r="L44" s="13"/>
      <c r="M44" s="13"/>
      <c r="N44" s="13"/>
      <c r="O44" s="13"/>
      <c r="P44" s="152"/>
      <c r="Q44" s="149"/>
      <c r="R44" s="152"/>
      <c r="S44" s="152"/>
      <c r="T44" s="62" t="str">
        <f aca="false">IF(OR($C44="",R44=""),"",IF(R44/IF($R$2="",100,$R$2)&gt;=設定!$I$28,設定!$G$8,IF(R44/IF($R$2="",100,$R$2)&lt;設定!$I$29,設定!$G$10,設定!$G$9)))</f>
        <v/>
      </c>
      <c r="U44" s="62" t="str">
        <f aca="false">IF(OR($C44="",S44=""),"",IF(S44/IF($S$2="",100,$S$2)&gt;=設定!$I$28,設定!$G$8,IF(S44/IF($S$2="",100,$S$2)&lt;設定!$I$29,設定!$G$10,設定!$G$9)))</f>
        <v/>
      </c>
    </row>
    <row r="45" customFormat="false" ht="21" hidden="false" customHeight="true" outlineLevel="0" collapsed="false">
      <c r="A45" s="91" t="str">
        <f aca="false">IF(名簿!$D45="","",名簿!$B45&amp;"")</f>
        <v/>
      </c>
      <c r="B45" s="91" t="str">
        <f aca="false">IF(名簿!$D45="","",名簿!$C45)</f>
        <v/>
      </c>
      <c r="C45" s="59" t="str">
        <f aca="false">IF(名簿!$D45="","",名簿!$D45&amp;IF(名簿!$F45="転出","（転出）",""))</f>
        <v/>
      </c>
      <c r="D45" s="149"/>
      <c r="E45" s="61" t="str">
        <f aca="false">IF(OR($C45="",名簿!$F45="転出"),"",IF($C$2="学級ごと",$A45,IF($C$2="前の単元と同じ",単元13!$E45&amp;"",$D45&amp;"")))</f>
        <v/>
      </c>
      <c r="F45" s="150"/>
      <c r="G45" s="150"/>
      <c r="H45" s="150"/>
      <c r="I45" s="151"/>
      <c r="J45" s="41" t="str">
        <f aca="false">IF($E45="","",$E45&amp;"|"&amp;COUNTIF($E$5:$E45,$E45))</f>
        <v/>
      </c>
      <c r="K45" s="40" t="str">
        <f aca="false">IF($I45="","",LEN($I45))</f>
        <v/>
      </c>
      <c r="L45" s="13"/>
      <c r="M45" s="13"/>
      <c r="N45" s="13"/>
      <c r="O45" s="13"/>
      <c r="P45" s="152"/>
      <c r="Q45" s="149"/>
      <c r="R45" s="152"/>
      <c r="S45" s="152"/>
      <c r="T45" s="62" t="str">
        <f aca="false">IF(OR($C45="",R45=""),"",IF(R45/IF($R$2="",100,$R$2)&gt;=設定!$I$28,設定!$G$8,IF(R45/IF($R$2="",100,$R$2)&lt;設定!$I$29,設定!$G$10,設定!$G$9)))</f>
        <v/>
      </c>
      <c r="U45" s="62" t="str">
        <f aca="false">IF(OR($C45="",S45=""),"",IF(S45/IF($S$2="",100,$S$2)&gt;=設定!$I$28,設定!$G$8,IF(S45/IF($S$2="",100,$S$2)&lt;設定!$I$29,設定!$G$10,設定!$G$9)))</f>
        <v/>
      </c>
    </row>
    <row r="46" customFormat="false" ht="21" hidden="false" customHeight="true" outlineLevel="0" collapsed="false">
      <c r="A46" s="91" t="str">
        <f aca="false">IF(名簿!$D46="","",名簿!$B46&amp;"")</f>
        <v/>
      </c>
      <c r="B46" s="91" t="str">
        <f aca="false">IF(名簿!$D46="","",名簿!$C46)</f>
        <v/>
      </c>
      <c r="C46" s="59" t="str">
        <f aca="false">IF(名簿!$D46="","",名簿!$D46&amp;IF(名簿!$F46="転出","（転出）",""))</f>
        <v/>
      </c>
      <c r="D46" s="149"/>
      <c r="E46" s="61" t="str">
        <f aca="false">IF(OR($C46="",名簿!$F46="転出"),"",IF($C$2="学級ごと",$A46,IF($C$2="前の単元と同じ",単元13!$E46&amp;"",$D46&amp;"")))</f>
        <v/>
      </c>
      <c r="F46" s="150"/>
      <c r="G46" s="150"/>
      <c r="H46" s="150"/>
      <c r="I46" s="151"/>
      <c r="J46" s="41" t="str">
        <f aca="false">IF($E46="","",$E46&amp;"|"&amp;COUNTIF($E$5:$E46,$E46))</f>
        <v/>
      </c>
      <c r="K46" s="40" t="str">
        <f aca="false">IF($I46="","",LEN($I46))</f>
        <v/>
      </c>
      <c r="L46" s="13"/>
      <c r="M46" s="13"/>
      <c r="N46" s="13"/>
      <c r="O46" s="13"/>
      <c r="P46" s="152"/>
      <c r="Q46" s="149"/>
      <c r="R46" s="152"/>
      <c r="S46" s="152"/>
      <c r="T46" s="62" t="str">
        <f aca="false">IF(OR($C46="",R46=""),"",IF(R46/IF($R$2="",100,$R$2)&gt;=設定!$I$28,設定!$G$8,IF(R46/IF($R$2="",100,$R$2)&lt;設定!$I$29,設定!$G$10,設定!$G$9)))</f>
        <v/>
      </c>
      <c r="U46" s="62" t="str">
        <f aca="false">IF(OR($C46="",S46=""),"",IF(S46/IF($S$2="",100,$S$2)&gt;=設定!$I$28,設定!$G$8,IF(S46/IF($S$2="",100,$S$2)&lt;設定!$I$29,設定!$G$10,設定!$G$9)))</f>
        <v/>
      </c>
    </row>
    <row r="47" customFormat="false" ht="21" hidden="false" customHeight="true" outlineLevel="0" collapsed="false">
      <c r="A47" s="91" t="str">
        <f aca="false">IF(名簿!$D47="","",名簿!$B47&amp;"")</f>
        <v/>
      </c>
      <c r="B47" s="91" t="str">
        <f aca="false">IF(名簿!$D47="","",名簿!$C47)</f>
        <v/>
      </c>
      <c r="C47" s="59" t="str">
        <f aca="false">IF(名簿!$D47="","",名簿!$D47&amp;IF(名簿!$F47="転出","（転出）",""))</f>
        <v/>
      </c>
      <c r="D47" s="149"/>
      <c r="E47" s="61" t="str">
        <f aca="false">IF(OR($C47="",名簿!$F47="転出"),"",IF($C$2="学級ごと",$A47,IF($C$2="前の単元と同じ",単元13!$E47&amp;"",$D47&amp;"")))</f>
        <v/>
      </c>
      <c r="F47" s="150"/>
      <c r="G47" s="150"/>
      <c r="H47" s="150"/>
      <c r="I47" s="151"/>
      <c r="J47" s="41" t="str">
        <f aca="false">IF($E47="","",$E47&amp;"|"&amp;COUNTIF($E$5:$E47,$E47))</f>
        <v/>
      </c>
      <c r="K47" s="40" t="str">
        <f aca="false">IF($I47="","",LEN($I47))</f>
        <v/>
      </c>
      <c r="L47" s="13"/>
      <c r="M47" s="13"/>
      <c r="N47" s="13"/>
      <c r="O47" s="13"/>
      <c r="P47" s="152"/>
      <c r="Q47" s="149"/>
      <c r="R47" s="152"/>
      <c r="S47" s="152"/>
      <c r="T47" s="62" t="str">
        <f aca="false">IF(OR($C47="",R47=""),"",IF(R47/IF($R$2="",100,$R$2)&gt;=設定!$I$28,設定!$G$8,IF(R47/IF($R$2="",100,$R$2)&lt;設定!$I$29,設定!$G$10,設定!$G$9)))</f>
        <v/>
      </c>
      <c r="U47" s="62" t="str">
        <f aca="false">IF(OR($C47="",S47=""),"",IF(S47/IF($S$2="",100,$S$2)&gt;=設定!$I$28,設定!$G$8,IF(S47/IF($S$2="",100,$S$2)&lt;設定!$I$29,設定!$G$10,設定!$G$9)))</f>
        <v/>
      </c>
    </row>
    <row r="48" customFormat="false" ht="21" hidden="false" customHeight="true" outlineLevel="0" collapsed="false">
      <c r="A48" s="91" t="str">
        <f aca="false">IF(名簿!$D48="","",名簿!$B48&amp;"")</f>
        <v/>
      </c>
      <c r="B48" s="91" t="str">
        <f aca="false">IF(名簿!$D48="","",名簿!$C48)</f>
        <v/>
      </c>
      <c r="C48" s="59" t="str">
        <f aca="false">IF(名簿!$D48="","",名簿!$D48&amp;IF(名簿!$F48="転出","（転出）",""))</f>
        <v/>
      </c>
      <c r="D48" s="149"/>
      <c r="E48" s="61" t="str">
        <f aca="false">IF(OR($C48="",名簿!$F48="転出"),"",IF($C$2="学級ごと",$A48,IF($C$2="前の単元と同じ",単元13!$E48&amp;"",$D48&amp;"")))</f>
        <v/>
      </c>
      <c r="F48" s="150"/>
      <c r="G48" s="150"/>
      <c r="H48" s="150"/>
      <c r="I48" s="151"/>
      <c r="J48" s="41" t="str">
        <f aca="false">IF($E48="","",$E48&amp;"|"&amp;COUNTIF($E$5:$E48,$E48))</f>
        <v/>
      </c>
      <c r="K48" s="40" t="str">
        <f aca="false">IF($I48="","",LEN($I48))</f>
        <v/>
      </c>
      <c r="L48" s="13"/>
      <c r="M48" s="13"/>
      <c r="N48" s="13"/>
      <c r="O48" s="13"/>
      <c r="P48" s="152"/>
      <c r="Q48" s="149"/>
      <c r="R48" s="152"/>
      <c r="S48" s="152"/>
      <c r="T48" s="62" t="str">
        <f aca="false">IF(OR($C48="",R48=""),"",IF(R48/IF($R$2="",100,$R$2)&gt;=設定!$I$28,設定!$G$8,IF(R48/IF($R$2="",100,$R$2)&lt;設定!$I$29,設定!$G$10,設定!$G$9)))</f>
        <v/>
      </c>
      <c r="U48" s="62" t="str">
        <f aca="false">IF(OR($C48="",S48=""),"",IF(S48/IF($S$2="",100,$S$2)&gt;=設定!$I$28,設定!$G$8,IF(S48/IF($S$2="",100,$S$2)&lt;設定!$I$29,設定!$G$10,設定!$G$9)))</f>
        <v/>
      </c>
    </row>
    <row r="49" customFormat="false" ht="21" hidden="false" customHeight="true" outlineLevel="0" collapsed="false">
      <c r="A49" s="91" t="str">
        <f aca="false">IF(名簿!$D49="","",名簿!$B49&amp;"")</f>
        <v/>
      </c>
      <c r="B49" s="91" t="str">
        <f aca="false">IF(名簿!$D49="","",名簿!$C49)</f>
        <v/>
      </c>
      <c r="C49" s="59" t="str">
        <f aca="false">IF(名簿!$D49="","",名簿!$D49&amp;IF(名簿!$F49="転出","（転出）",""))</f>
        <v/>
      </c>
      <c r="D49" s="149"/>
      <c r="E49" s="61" t="str">
        <f aca="false">IF(OR($C49="",名簿!$F49="転出"),"",IF($C$2="学級ごと",$A49,IF($C$2="前の単元と同じ",単元13!$E49&amp;"",$D49&amp;"")))</f>
        <v/>
      </c>
      <c r="F49" s="150"/>
      <c r="G49" s="150"/>
      <c r="H49" s="150"/>
      <c r="I49" s="151"/>
      <c r="J49" s="41" t="str">
        <f aca="false">IF($E49="","",$E49&amp;"|"&amp;COUNTIF($E$5:$E49,$E49))</f>
        <v/>
      </c>
      <c r="K49" s="40" t="str">
        <f aca="false">IF($I49="","",LEN($I49))</f>
        <v/>
      </c>
      <c r="L49" s="13"/>
      <c r="M49" s="13"/>
      <c r="N49" s="13"/>
      <c r="O49" s="13"/>
      <c r="P49" s="152"/>
      <c r="Q49" s="149"/>
      <c r="R49" s="152"/>
      <c r="S49" s="152"/>
      <c r="T49" s="62" t="str">
        <f aca="false">IF(OR($C49="",R49=""),"",IF(R49/IF($R$2="",100,$R$2)&gt;=設定!$I$28,設定!$G$8,IF(R49/IF($R$2="",100,$R$2)&lt;設定!$I$29,設定!$G$10,設定!$G$9)))</f>
        <v/>
      </c>
      <c r="U49" s="62" t="str">
        <f aca="false">IF(OR($C49="",S49=""),"",IF(S49/IF($S$2="",100,$S$2)&gt;=設定!$I$28,設定!$G$8,IF(S49/IF($S$2="",100,$S$2)&lt;設定!$I$29,設定!$G$10,設定!$G$9)))</f>
        <v/>
      </c>
    </row>
    <row r="50" customFormat="false" ht="21" hidden="false" customHeight="true" outlineLevel="0" collapsed="false">
      <c r="A50" s="91" t="str">
        <f aca="false">IF(名簿!$D50="","",名簿!$B50&amp;"")</f>
        <v/>
      </c>
      <c r="B50" s="91" t="str">
        <f aca="false">IF(名簿!$D50="","",名簿!$C50)</f>
        <v/>
      </c>
      <c r="C50" s="59" t="str">
        <f aca="false">IF(名簿!$D50="","",名簿!$D50&amp;IF(名簿!$F50="転出","（転出）",""))</f>
        <v/>
      </c>
      <c r="D50" s="149"/>
      <c r="E50" s="61" t="str">
        <f aca="false">IF(OR($C50="",名簿!$F50="転出"),"",IF($C$2="学級ごと",$A50,IF($C$2="前の単元と同じ",単元13!$E50&amp;"",$D50&amp;"")))</f>
        <v/>
      </c>
      <c r="F50" s="150"/>
      <c r="G50" s="150"/>
      <c r="H50" s="150"/>
      <c r="I50" s="151"/>
      <c r="J50" s="41" t="str">
        <f aca="false">IF($E50="","",$E50&amp;"|"&amp;COUNTIF($E$5:$E50,$E50))</f>
        <v/>
      </c>
      <c r="K50" s="40" t="str">
        <f aca="false">IF($I50="","",LEN($I50))</f>
        <v/>
      </c>
      <c r="L50" s="13"/>
      <c r="M50" s="13"/>
      <c r="N50" s="13"/>
      <c r="O50" s="13"/>
      <c r="P50" s="152"/>
      <c r="Q50" s="149"/>
      <c r="R50" s="152"/>
      <c r="S50" s="152"/>
      <c r="T50" s="62" t="str">
        <f aca="false">IF(OR($C50="",R50=""),"",IF(R50/IF($R$2="",100,$R$2)&gt;=設定!$I$28,設定!$G$8,IF(R50/IF($R$2="",100,$R$2)&lt;設定!$I$29,設定!$G$10,設定!$G$9)))</f>
        <v/>
      </c>
      <c r="U50" s="62" t="str">
        <f aca="false">IF(OR($C50="",S50=""),"",IF(S50/IF($S$2="",100,$S$2)&gt;=設定!$I$28,設定!$G$8,IF(S50/IF($S$2="",100,$S$2)&lt;設定!$I$29,設定!$G$10,設定!$G$9)))</f>
        <v/>
      </c>
    </row>
    <row r="51" customFormat="false" ht="21" hidden="false" customHeight="true" outlineLevel="0" collapsed="false">
      <c r="A51" s="91" t="str">
        <f aca="false">IF(名簿!$D51="","",名簿!$B51&amp;"")</f>
        <v/>
      </c>
      <c r="B51" s="91" t="str">
        <f aca="false">IF(名簿!$D51="","",名簿!$C51)</f>
        <v/>
      </c>
      <c r="C51" s="59" t="str">
        <f aca="false">IF(名簿!$D51="","",名簿!$D51&amp;IF(名簿!$F51="転出","（転出）",""))</f>
        <v/>
      </c>
      <c r="D51" s="149"/>
      <c r="E51" s="61" t="str">
        <f aca="false">IF(OR($C51="",名簿!$F51="転出"),"",IF($C$2="学級ごと",$A51,IF($C$2="前の単元と同じ",単元13!$E51&amp;"",$D51&amp;"")))</f>
        <v/>
      </c>
      <c r="F51" s="150"/>
      <c r="G51" s="150"/>
      <c r="H51" s="150"/>
      <c r="I51" s="151"/>
      <c r="J51" s="41" t="str">
        <f aca="false">IF($E51="","",$E51&amp;"|"&amp;COUNTIF($E$5:$E51,$E51))</f>
        <v/>
      </c>
      <c r="K51" s="40" t="str">
        <f aca="false">IF($I51="","",LEN($I51))</f>
        <v/>
      </c>
      <c r="L51" s="13"/>
      <c r="M51" s="13"/>
      <c r="N51" s="13"/>
      <c r="O51" s="13"/>
      <c r="P51" s="152"/>
      <c r="Q51" s="149"/>
      <c r="R51" s="152"/>
      <c r="S51" s="152"/>
      <c r="T51" s="62" t="str">
        <f aca="false">IF(OR($C51="",R51=""),"",IF(R51/IF($R$2="",100,$R$2)&gt;=設定!$I$28,設定!$G$8,IF(R51/IF($R$2="",100,$R$2)&lt;設定!$I$29,設定!$G$10,設定!$G$9)))</f>
        <v/>
      </c>
      <c r="U51" s="62" t="str">
        <f aca="false">IF(OR($C51="",S51=""),"",IF(S51/IF($S$2="",100,$S$2)&gt;=設定!$I$28,設定!$G$8,IF(S51/IF($S$2="",100,$S$2)&lt;設定!$I$29,設定!$G$10,設定!$G$9)))</f>
        <v/>
      </c>
    </row>
    <row r="52" customFormat="false" ht="21" hidden="false" customHeight="true" outlineLevel="0" collapsed="false">
      <c r="A52" s="91" t="str">
        <f aca="false">IF(名簿!$D52="","",名簿!$B52&amp;"")</f>
        <v/>
      </c>
      <c r="B52" s="91" t="str">
        <f aca="false">IF(名簿!$D52="","",名簿!$C52)</f>
        <v/>
      </c>
      <c r="C52" s="59" t="str">
        <f aca="false">IF(名簿!$D52="","",名簿!$D52&amp;IF(名簿!$F52="転出","（転出）",""))</f>
        <v/>
      </c>
      <c r="D52" s="149"/>
      <c r="E52" s="61" t="str">
        <f aca="false">IF(OR($C52="",名簿!$F52="転出"),"",IF($C$2="学級ごと",$A52,IF($C$2="前の単元と同じ",単元13!$E52&amp;"",$D52&amp;"")))</f>
        <v/>
      </c>
      <c r="F52" s="150"/>
      <c r="G52" s="150"/>
      <c r="H52" s="150"/>
      <c r="I52" s="151"/>
      <c r="J52" s="41" t="str">
        <f aca="false">IF($E52="","",$E52&amp;"|"&amp;COUNTIF($E$5:$E52,$E52))</f>
        <v/>
      </c>
      <c r="K52" s="40" t="str">
        <f aca="false">IF($I52="","",LEN($I52))</f>
        <v/>
      </c>
      <c r="L52" s="13"/>
      <c r="M52" s="13"/>
      <c r="N52" s="13"/>
      <c r="O52" s="13"/>
      <c r="P52" s="152"/>
      <c r="Q52" s="149"/>
      <c r="R52" s="152"/>
      <c r="S52" s="152"/>
      <c r="T52" s="62" t="str">
        <f aca="false">IF(OR($C52="",R52=""),"",IF(R52/IF($R$2="",100,$R$2)&gt;=設定!$I$28,設定!$G$8,IF(R52/IF($R$2="",100,$R$2)&lt;設定!$I$29,設定!$G$10,設定!$G$9)))</f>
        <v/>
      </c>
      <c r="U52" s="62" t="str">
        <f aca="false">IF(OR($C52="",S52=""),"",IF(S52/IF($S$2="",100,$S$2)&gt;=設定!$I$28,設定!$G$8,IF(S52/IF($S$2="",100,$S$2)&lt;設定!$I$29,設定!$G$10,設定!$G$9)))</f>
        <v/>
      </c>
    </row>
    <row r="53" customFormat="false" ht="21" hidden="false" customHeight="true" outlineLevel="0" collapsed="false">
      <c r="A53" s="91" t="str">
        <f aca="false">IF(名簿!$D53="","",名簿!$B53&amp;"")</f>
        <v/>
      </c>
      <c r="B53" s="91" t="str">
        <f aca="false">IF(名簿!$D53="","",名簿!$C53)</f>
        <v/>
      </c>
      <c r="C53" s="59" t="str">
        <f aca="false">IF(名簿!$D53="","",名簿!$D53&amp;IF(名簿!$F53="転出","（転出）",""))</f>
        <v/>
      </c>
      <c r="D53" s="149"/>
      <c r="E53" s="61" t="str">
        <f aca="false">IF(OR($C53="",名簿!$F53="転出"),"",IF($C$2="学級ごと",$A53,IF($C$2="前の単元と同じ",単元13!$E53&amp;"",$D53&amp;"")))</f>
        <v/>
      </c>
      <c r="F53" s="150"/>
      <c r="G53" s="150"/>
      <c r="H53" s="150"/>
      <c r="I53" s="151"/>
      <c r="J53" s="41" t="str">
        <f aca="false">IF($E53="","",$E53&amp;"|"&amp;COUNTIF($E$5:$E53,$E53))</f>
        <v/>
      </c>
      <c r="K53" s="40" t="str">
        <f aca="false">IF($I53="","",LEN($I53))</f>
        <v/>
      </c>
      <c r="L53" s="13"/>
      <c r="M53" s="13"/>
      <c r="N53" s="13"/>
      <c r="O53" s="13"/>
      <c r="P53" s="152"/>
      <c r="Q53" s="149"/>
      <c r="R53" s="152"/>
      <c r="S53" s="152"/>
      <c r="T53" s="62" t="str">
        <f aca="false">IF(OR($C53="",R53=""),"",IF(R53/IF($R$2="",100,$R$2)&gt;=設定!$I$28,設定!$G$8,IF(R53/IF($R$2="",100,$R$2)&lt;設定!$I$29,設定!$G$10,設定!$G$9)))</f>
        <v/>
      </c>
      <c r="U53" s="62" t="str">
        <f aca="false">IF(OR($C53="",S53=""),"",IF(S53/IF($S$2="",100,$S$2)&gt;=設定!$I$28,設定!$G$8,IF(S53/IF($S$2="",100,$S$2)&lt;設定!$I$29,設定!$G$10,設定!$G$9)))</f>
        <v/>
      </c>
    </row>
    <row r="54" customFormat="false" ht="21" hidden="false" customHeight="true" outlineLevel="0" collapsed="false">
      <c r="A54" s="91" t="str">
        <f aca="false">IF(名簿!$D54="","",名簿!$B54&amp;"")</f>
        <v/>
      </c>
      <c r="B54" s="91" t="str">
        <f aca="false">IF(名簿!$D54="","",名簿!$C54)</f>
        <v/>
      </c>
      <c r="C54" s="59" t="str">
        <f aca="false">IF(名簿!$D54="","",名簿!$D54&amp;IF(名簿!$F54="転出","（転出）",""))</f>
        <v/>
      </c>
      <c r="D54" s="149"/>
      <c r="E54" s="61" t="str">
        <f aca="false">IF(OR($C54="",名簿!$F54="転出"),"",IF($C$2="学級ごと",$A54,IF($C$2="前の単元と同じ",単元13!$E54&amp;"",$D54&amp;"")))</f>
        <v/>
      </c>
      <c r="F54" s="150"/>
      <c r="G54" s="150"/>
      <c r="H54" s="150"/>
      <c r="I54" s="151"/>
      <c r="J54" s="41" t="str">
        <f aca="false">IF($E54="","",$E54&amp;"|"&amp;COUNTIF($E$5:$E54,$E54))</f>
        <v/>
      </c>
      <c r="K54" s="40" t="str">
        <f aca="false">IF($I54="","",LEN($I54))</f>
        <v/>
      </c>
      <c r="L54" s="13"/>
      <c r="M54" s="13"/>
      <c r="N54" s="13"/>
      <c r="O54" s="13"/>
      <c r="P54" s="152"/>
      <c r="Q54" s="149"/>
      <c r="R54" s="152"/>
      <c r="S54" s="152"/>
      <c r="T54" s="62" t="str">
        <f aca="false">IF(OR($C54="",R54=""),"",IF(R54/IF($R$2="",100,$R$2)&gt;=設定!$I$28,設定!$G$8,IF(R54/IF($R$2="",100,$R$2)&lt;設定!$I$29,設定!$G$10,設定!$G$9)))</f>
        <v/>
      </c>
      <c r="U54" s="62" t="str">
        <f aca="false">IF(OR($C54="",S54=""),"",IF(S54/IF($S$2="",100,$S$2)&gt;=設定!$I$28,設定!$G$8,IF(S54/IF($S$2="",100,$S$2)&lt;設定!$I$29,設定!$G$10,設定!$G$9)))</f>
        <v/>
      </c>
    </row>
    <row r="55" customFormat="false" ht="21" hidden="false" customHeight="true" outlineLevel="0" collapsed="false">
      <c r="A55" s="91" t="str">
        <f aca="false">IF(名簿!$D55="","",名簿!$B55&amp;"")</f>
        <v/>
      </c>
      <c r="B55" s="91" t="str">
        <f aca="false">IF(名簿!$D55="","",名簿!$C55)</f>
        <v/>
      </c>
      <c r="C55" s="59" t="str">
        <f aca="false">IF(名簿!$D55="","",名簿!$D55&amp;IF(名簿!$F55="転出","（転出）",""))</f>
        <v/>
      </c>
      <c r="D55" s="149"/>
      <c r="E55" s="61" t="str">
        <f aca="false">IF(OR($C55="",名簿!$F55="転出"),"",IF($C$2="学級ごと",$A55,IF($C$2="前の単元と同じ",単元13!$E55&amp;"",$D55&amp;"")))</f>
        <v/>
      </c>
      <c r="F55" s="150"/>
      <c r="G55" s="150"/>
      <c r="H55" s="150"/>
      <c r="I55" s="151"/>
      <c r="J55" s="41" t="str">
        <f aca="false">IF($E55="","",$E55&amp;"|"&amp;COUNTIF($E$5:$E55,$E55))</f>
        <v/>
      </c>
      <c r="K55" s="40" t="str">
        <f aca="false">IF($I55="","",LEN($I55))</f>
        <v/>
      </c>
      <c r="L55" s="13"/>
      <c r="M55" s="13"/>
      <c r="N55" s="13"/>
      <c r="O55" s="13"/>
      <c r="P55" s="152"/>
      <c r="Q55" s="149"/>
      <c r="R55" s="152"/>
      <c r="S55" s="152"/>
      <c r="T55" s="62" t="str">
        <f aca="false">IF(OR($C55="",R55=""),"",IF(R55/IF($R$2="",100,$R$2)&gt;=設定!$I$28,設定!$G$8,IF(R55/IF($R$2="",100,$R$2)&lt;設定!$I$29,設定!$G$10,設定!$G$9)))</f>
        <v/>
      </c>
      <c r="U55" s="62" t="str">
        <f aca="false">IF(OR($C55="",S55=""),"",IF(S55/IF($S$2="",100,$S$2)&gt;=設定!$I$28,設定!$G$8,IF(S55/IF($S$2="",100,$S$2)&lt;設定!$I$29,設定!$G$10,設定!$G$9)))</f>
        <v/>
      </c>
    </row>
    <row r="56" customFormat="false" ht="21" hidden="false" customHeight="true" outlineLevel="0" collapsed="false">
      <c r="A56" s="91" t="str">
        <f aca="false">IF(名簿!$D56="","",名簿!$B56&amp;"")</f>
        <v/>
      </c>
      <c r="B56" s="91" t="str">
        <f aca="false">IF(名簿!$D56="","",名簿!$C56)</f>
        <v/>
      </c>
      <c r="C56" s="59" t="str">
        <f aca="false">IF(名簿!$D56="","",名簿!$D56&amp;IF(名簿!$F56="転出","（転出）",""))</f>
        <v/>
      </c>
      <c r="D56" s="149"/>
      <c r="E56" s="61" t="str">
        <f aca="false">IF(OR($C56="",名簿!$F56="転出"),"",IF($C$2="学級ごと",$A56,IF($C$2="前の単元と同じ",単元13!$E56&amp;"",$D56&amp;"")))</f>
        <v/>
      </c>
      <c r="F56" s="150"/>
      <c r="G56" s="150"/>
      <c r="H56" s="150"/>
      <c r="I56" s="151"/>
      <c r="J56" s="41" t="str">
        <f aca="false">IF($E56="","",$E56&amp;"|"&amp;COUNTIF($E$5:$E56,$E56))</f>
        <v/>
      </c>
      <c r="K56" s="40" t="str">
        <f aca="false">IF($I56="","",LEN($I56))</f>
        <v/>
      </c>
      <c r="L56" s="13"/>
      <c r="M56" s="13"/>
      <c r="N56" s="13"/>
      <c r="O56" s="13"/>
      <c r="P56" s="152"/>
      <c r="Q56" s="149"/>
      <c r="R56" s="152"/>
      <c r="S56" s="152"/>
      <c r="T56" s="62" t="str">
        <f aca="false">IF(OR($C56="",R56=""),"",IF(R56/IF($R$2="",100,$R$2)&gt;=設定!$I$28,設定!$G$8,IF(R56/IF($R$2="",100,$R$2)&lt;設定!$I$29,設定!$G$10,設定!$G$9)))</f>
        <v/>
      </c>
      <c r="U56" s="62" t="str">
        <f aca="false">IF(OR($C56="",S56=""),"",IF(S56/IF($S$2="",100,$S$2)&gt;=設定!$I$28,設定!$G$8,IF(S56/IF($S$2="",100,$S$2)&lt;設定!$I$29,設定!$G$10,設定!$G$9)))</f>
        <v/>
      </c>
    </row>
    <row r="57" customFormat="false" ht="21" hidden="false" customHeight="true" outlineLevel="0" collapsed="false">
      <c r="A57" s="91" t="str">
        <f aca="false">IF(名簿!$D57="","",名簿!$B57&amp;"")</f>
        <v/>
      </c>
      <c r="B57" s="91" t="str">
        <f aca="false">IF(名簿!$D57="","",名簿!$C57)</f>
        <v/>
      </c>
      <c r="C57" s="59" t="str">
        <f aca="false">IF(名簿!$D57="","",名簿!$D57&amp;IF(名簿!$F57="転出","（転出）",""))</f>
        <v/>
      </c>
      <c r="D57" s="149"/>
      <c r="E57" s="61" t="str">
        <f aca="false">IF(OR($C57="",名簿!$F57="転出"),"",IF($C$2="学級ごと",$A57,IF($C$2="前の単元と同じ",単元13!$E57&amp;"",$D57&amp;"")))</f>
        <v/>
      </c>
      <c r="F57" s="150"/>
      <c r="G57" s="150"/>
      <c r="H57" s="150"/>
      <c r="I57" s="151"/>
      <c r="J57" s="41" t="str">
        <f aca="false">IF($E57="","",$E57&amp;"|"&amp;COUNTIF($E$5:$E57,$E57))</f>
        <v/>
      </c>
      <c r="K57" s="40" t="str">
        <f aca="false">IF($I57="","",LEN($I57))</f>
        <v/>
      </c>
      <c r="L57" s="13"/>
      <c r="M57" s="13"/>
      <c r="N57" s="13"/>
      <c r="O57" s="13"/>
      <c r="P57" s="152"/>
      <c r="Q57" s="149"/>
      <c r="R57" s="152"/>
      <c r="S57" s="152"/>
      <c r="T57" s="62" t="str">
        <f aca="false">IF(OR($C57="",R57=""),"",IF(R57/IF($R$2="",100,$R$2)&gt;=設定!$I$28,設定!$G$8,IF(R57/IF($R$2="",100,$R$2)&lt;設定!$I$29,設定!$G$10,設定!$G$9)))</f>
        <v/>
      </c>
      <c r="U57" s="62" t="str">
        <f aca="false">IF(OR($C57="",S57=""),"",IF(S57/IF($S$2="",100,$S$2)&gt;=設定!$I$28,設定!$G$8,IF(S57/IF($S$2="",100,$S$2)&lt;設定!$I$29,設定!$G$10,設定!$G$9)))</f>
        <v/>
      </c>
    </row>
    <row r="58" customFormat="false" ht="21" hidden="false" customHeight="true" outlineLevel="0" collapsed="false">
      <c r="A58" s="91" t="str">
        <f aca="false">IF(名簿!$D58="","",名簿!$B58&amp;"")</f>
        <v/>
      </c>
      <c r="B58" s="91" t="str">
        <f aca="false">IF(名簿!$D58="","",名簿!$C58)</f>
        <v/>
      </c>
      <c r="C58" s="59" t="str">
        <f aca="false">IF(名簿!$D58="","",名簿!$D58&amp;IF(名簿!$F58="転出","（転出）",""))</f>
        <v/>
      </c>
      <c r="D58" s="149"/>
      <c r="E58" s="61" t="str">
        <f aca="false">IF(OR($C58="",名簿!$F58="転出"),"",IF($C$2="学級ごと",$A58,IF($C$2="前の単元と同じ",単元13!$E58&amp;"",$D58&amp;"")))</f>
        <v/>
      </c>
      <c r="F58" s="150"/>
      <c r="G58" s="150"/>
      <c r="H58" s="150"/>
      <c r="I58" s="151"/>
      <c r="J58" s="41" t="str">
        <f aca="false">IF($E58="","",$E58&amp;"|"&amp;COUNTIF($E$5:$E58,$E58))</f>
        <v/>
      </c>
      <c r="K58" s="40" t="str">
        <f aca="false">IF($I58="","",LEN($I58))</f>
        <v/>
      </c>
      <c r="L58" s="13"/>
      <c r="M58" s="13"/>
      <c r="N58" s="13"/>
      <c r="O58" s="13"/>
      <c r="P58" s="152"/>
      <c r="Q58" s="149"/>
      <c r="R58" s="152"/>
      <c r="S58" s="152"/>
      <c r="T58" s="62" t="str">
        <f aca="false">IF(OR($C58="",R58=""),"",IF(R58/IF($R$2="",100,$R$2)&gt;=設定!$I$28,設定!$G$8,IF(R58/IF($R$2="",100,$R$2)&lt;設定!$I$29,設定!$G$10,設定!$G$9)))</f>
        <v/>
      </c>
      <c r="U58" s="62" t="str">
        <f aca="false">IF(OR($C58="",S58=""),"",IF(S58/IF($S$2="",100,$S$2)&gt;=設定!$I$28,設定!$G$8,IF(S58/IF($S$2="",100,$S$2)&lt;設定!$I$29,設定!$G$10,設定!$G$9)))</f>
        <v/>
      </c>
    </row>
    <row r="59" customFormat="false" ht="21" hidden="false" customHeight="true" outlineLevel="0" collapsed="false">
      <c r="A59" s="91" t="str">
        <f aca="false">IF(名簿!$D59="","",名簿!$B59&amp;"")</f>
        <v/>
      </c>
      <c r="B59" s="91" t="str">
        <f aca="false">IF(名簿!$D59="","",名簿!$C59)</f>
        <v/>
      </c>
      <c r="C59" s="59" t="str">
        <f aca="false">IF(名簿!$D59="","",名簿!$D59&amp;IF(名簿!$F59="転出","（転出）",""))</f>
        <v/>
      </c>
      <c r="D59" s="149"/>
      <c r="E59" s="61" t="str">
        <f aca="false">IF(OR($C59="",名簿!$F59="転出"),"",IF($C$2="学級ごと",$A59,IF($C$2="前の単元と同じ",単元13!$E59&amp;"",$D59&amp;"")))</f>
        <v/>
      </c>
      <c r="F59" s="150"/>
      <c r="G59" s="150"/>
      <c r="H59" s="150"/>
      <c r="I59" s="151"/>
      <c r="J59" s="41" t="str">
        <f aca="false">IF($E59="","",$E59&amp;"|"&amp;COUNTIF($E$5:$E59,$E59))</f>
        <v/>
      </c>
      <c r="K59" s="40" t="str">
        <f aca="false">IF($I59="","",LEN($I59))</f>
        <v/>
      </c>
      <c r="L59" s="13"/>
      <c r="M59" s="13"/>
      <c r="N59" s="13"/>
      <c r="O59" s="13"/>
      <c r="P59" s="152"/>
      <c r="Q59" s="149"/>
      <c r="R59" s="152"/>
      <c r="S59" s="152"/>
      <c r="T59" s="62" t="str">
        <f aca="false">IF(OR($C59="",R59=""),"",IF(R59/IF($R$2="",100,$R$2)&gt;=設定!$I$28,設定!$G$8,IF(R59/IF($R$2="",100,$R$2)&lt;設定!$I$29,設定!$G$10,設定!$G$9)))</f>
        <v/>
      </c>
      <c r="U59" s="62" t="str">
        <f aca="false">IF(OR($C59="",S59=""),"",IF(S59/IF($S$2="",100,$S$2)&gt;=設定!$I$28,設定!$G$8,IF(S59/IF($S$2="",100,$S$2)&lt;設定!$I$29,設定!$G$10,設定!$G$9)))</f>
        <v/>
      </c>
    </row>
    <row r="60" customFormat="false" ht="21" hidden="false" customHeight="true" outlineLevel="0" collapsed="false">
      <c r="A60" s="91" t="str">
        <f aca="false">IF(名簿!$D60="","",名簿!$B60&amp;"")</f>
        <v/>
      </c>
      <c r="B60" s="91" t="str">
        <f aca="false">IF(名簿!$D60="","",名簿!$C60)</f>
        <v/>
      </c>
      <c r="C60" s="59" t="str">
        <f aca="false">IF(名簿!$D60="","",名簿!$D60&amp;IF(名簿!$F60="転出","（転出）",""))</f>
        <v/>
      </c>
      <c r="D60" s="149"/>
      <c r="E60" s="61" t="str">
        <f aca="false">IF(OR($C60="",名簿!$F60="転出"),"",IF($C$2="学級ごと",$A60,IF($C$2="前の単元と同じ",単元13!$E60&amp;"",$D60&amp;"")))</f>
        <v/>
      </c>
      <c r="F60" s="150"/>
      <c r="G60" s="150"/>
      <c r="H60" s="150"/>
      <c r="I60" s="151"/>
      <c r="J60" s="41" t="str">
        <f aca="false">IF($E60="","",$E60&amp;"|"&amp;COUNTIF($E$5:$E60,$E60))</f>
        <v/>
      </c>
      <c r="K60" s="40" t="str">
        <f aca="false">IF($I60="","",LEN($I60))</f>
        <v/>
      </c>
      <c r="L60" s="13"/>
      <c r="M60" s="13"/>
      <c r="N60" s="13"/>
      <c r="O60" s="13"/>
      <c r="P60" s="152"/>
      <c r="Q60" s="149"/>
      <c r="R60" s="152"/>
      <c r="S60" s="152"/>
      <c r="T60" s="62" t="str">
        <f aca="false">IF(OR($C60="",R60=""),"",IF(R60/IF($R$2="",100,$R$2)&gt;=設定!$I$28,設定!$G$8,IF(R60/IF($R$2="",100,$R$2)&lt;設定!$I$29,設定!$G$10,設定!$G$9)))</f>
        <v/>
      </c>
      <c r="U60" s="62" t="str">
        <f aca="false">IF(OR($C60="",S60=""),"",IF(S60/IF($S$2="",100,$S$2)&gt;=設定!$I$28,設定!$G$8,IF(S60/IF($S$2="",100,$S$2)&lt;設定!$I$29,設定!$G$10,設定!$G$9)))</f>
        <v/>
      </c>
    </row>
    <row r="61" customFormat="false" ht="21" hidden="false" customHeight="true" outlineLevel="0" collapsed="false">
      <c r="A61" s="91" t="str">
        <f aca="false">IF(名簿!$D61="","",名簿!$B61&amp;"")</f>
        <v/>
      </c>
      <c r="B61" s="91" t="str">
        <f aca="false">IF(名簿!$D61="","",名簿!$C61)</f>
        <v/>
      </c>
      <c r="C61" s="59" t="str">
        <f aca="false">IF(名簿!$D61="","",名簿!$D61&amp;IF(名簿!$F61="転出","（転出）",""))</f>
        <v/>
      </c>
      <c r="D61" s="149"/>
      <c r="E61" s="61" t="str">
        <f aca="false">IF(OR($C61="",名簿!$F61="転出"),"",IF($C$2="学級ごと",$A61,IF($C$2="前の単元と同じ",単元13!$E61&amp;"",$D61&amp;"")))</f>
        <v/>
      </c>
      <c r="F61" s="150"/>
      <c r="G61" s="150"/>
      <c r="H61" s="150"/>
      <c r="I61" s="151"/>
      <c r="J61" s="41" t="str">
        <f aca="false">IF($E61="","",$E61&amp;"|"&amp;COUNTIF($E$5:$E61,$E61))</f>
        <v/>
      </c>
      <c r="K61" s="40" t="str">
        <f aca="false">IF($I61="","",LEN($I61))</f>
        <v/>
      </c>
      <c r="L61" s="13"/>
      <c r="M61" s="13"/>
      <c r="N61" s="13"/>
      <c r="O61" s="13"/>
      <c r="P61" s="152"/>
      <c r="Q61" s="149"/>
      <c r="R61" s="152"/>
      <c r="S61" s="152"/>
      <c r="T61" s="62" t="str">
        <f aca="false">IF(OR($C61="",R61=""),"",IF(R61/IF($R$2="",100,$R$2)&gt;=設定!$I$28,設定!$G$8,IF(R61/IF($R$2="",100,$R$2)&lt;設定!$I$29,設定!$G$10,設定!$G$9)))</f>
        <v/>
      </c>
      <c r="U61" s="62" t="str">
        <f aca="false">IF(OR($C61="",S61=""),"",IF(S61/IF($S$2="",100,$S$2)&gt;=設定!$I$28,設定!$G$8,IF(S61/IF($S$2="",100,$S$2)&lt;設定!$I$29,設定!$G$10,設定!$G$9)))</f>
        <v/>
      </c>
    </row>
    <row r="62" customFormat="false" ht="21" hidden="false" customHeight="true" outlineLevel="0" collapsed="false">
      <c r="A62" s="91" t="str">
        <f aca="false">IF(名簿!$D62="","",名簿!$B62&amp;"")</f>
        <v/>
      </c>
      <c r="B62" s="91" t="str">
        <f aca="false">IF(名簿!$D62="","",名簿!$C62)</f>
        <v/>
      </c>
      <c r="C62" s="59" t="str">
        <f aca="false">IF(名簿!$D62="","",名簿!$D62&amp;IF(名簿!$F62="転出","（転出）",""))</f>
        <v/>
      </c>
      <c r="D62" s="149"/>
      <c r="E62" s="61" t="str">
        <f aca="false">IF(OR($C62="",名簿!$F62="転出"),"",IF($C$2="学級ごと",$A62,IF($C$2="前の単元と同じ",単元13!$E62&amp;"",$D62&amp;"")))</f>
        <v/>
      </c>
      <c r="F62" s="150"/>
      <c r="G62" s="150"/>
      <c r="H62" s="150"/>
      <c r="I62" s="151"/>
      <c r="J62" s="41" t="str">
        <f aca="false">IF($E62="","",$E62&amp;"|"&amp;COUNTIF($E$5:$E62,$E62))</f>
        <v/>
      </c>
      <c r="K62" s="40" t="str">
        <f aca="false">IF($I62="","",LEN($I62))</f>
        <v/>
      </c>
      <c r="L62" s="13"/>
      <c r="M62" s="13"/>
      <c r="N62" s="13"/>
      <c r="O62" s="13"/>
      <c r="P62" s="152"/>
      <c r="Q62" s="149"/>
      <c r="R62" s="152"/>
      <c r="S62" s="152"/>
      <c r="T62" s="62" t="str">
        <f aca="false">IF(OR($C62="",R62=""),"",IF(R62/IF($R$2="",100,$R$2)&gt;=設定!$I$28,設定!$G$8,IF(R62/IF($R$2="",100,$R$2)&lt;設定!$I$29,設定!$G$10,設定!$G$9)))</f>
        <v/>
      </c>
      <c r="U62" s="62" t="str">
        <f aca="false">IF(OR($C62="",S62=""),"",IF(S62/IF($S$2="",100,$S$2)&gt;=設定!$I$28,設定!$G$8,IF(S62/IF($S$2="",100,$S$2)&lt;設定!$I$29,設定!$G$10,設定!$G$9)))</f>
        <v/>
      </c>
    </row>
    <row r="63" customFormat="false" ht="21" hidden="false" customHeight="true" outlineLevel="0" collapsed="false">
      <c r="A63" s="91" t="str">
        <f aca="false">IF(名簿!$D63="","",名簿!$B63&amp;"")</f>
        <v/>
      </c>
      <c r="B63" s="91" t="str">
        <f aca="false">IF(名簿!$D63="","",名簿!$C63)</f>
        <v/>
      </c>
      <c r="C63" s="59" t="str">
        <f aca="false">IF(名簿!$D63="","",名簿!$D63&amp;IF(名簿!$F63="転出","（転出）",""))</f>
        <v/>
      </c>
      <c r="D63" s="149"/>
      <c r="E63" s="61" t="str">
        <f aca="false">IF(OR($C63="",名簿!$F63="転出"),"",IF($C$2="学級ごと",$A63,IF($C$2="前の単元と同じ",単元13!$E63&amp;"",$D63&amp;"")))</f>
        <v/>
      </c>
      <c r="F63" s="150"/>
      <c r="G63" s="150"/>
      <c r="H63" s="150"/>
      <c r="I63" s="151"/>
      <c r="J63" s="41" t="str">
        <f aca="false">IF($E63="","",$E63&amp;"|"&amp;COUNTIF($E$5:$E63,$E63))</f>
        <v/>
      </c>
      <c r="K63" s="40" t="str">
        <f aca="false">IF($I63="","",LEN($I63))</f>
        <v/>
      </c>
      <c r="L63" s="13"/>
      <c r="M63" s="13"/>
      <c r="N63" s="13"/>
      <c r="O63" s="13"/>
      <c r="P63" s="152"/>
      <c r="Q63" s="149"/>
      <c r="R63" s="152"/>
      <c r="S63" s="152"/>
      <c r="T63" s="62" t="str">
        <f aca="false">IF(OR($C63="",R63=""),"",IF(R63/IF($R$2="",100,$R$2)&gt;=設定!$I$28,設定!$G$8,IF(R63/IF($R$2="",100,$R$2)&lt;設定!$I$29,設定!$G$10,設定!$G$9)))</f>
        <v/>
      </c>
      <c r="U63" s="62" t="str">
        <f aca="false">IF(OR($C63="",S63=""),"",IF(S63/IF($S$2="",100,$S$2)&gt;=設定!$I$28,設定!$G$8,IF(S63/IF($S$2="",100,$S$2)&lt;設定!$I$29,設定!$G$10,設定!$G$9)))</f>
        <v/>
      </c>
    </row>
    <row r="64" customFormat="false" ht="21" hidden="false" customHeight="true" outlineLevel="0" collapsed="false">
      <c r="A64" s="91" t="str">
        <f aca="false">IF(名簿!$D64="","",名簿!$B64&amp;"")</f>
        <v/>
      </c>
      <c r="B64" s="91" t="str">
        <f aca="false">IF(名簿!$D64="","",名簿!$C64)</f>
        <v/>
      </c>
      <c r="C64" s="59" t="str">
        <f aca="false">IF(名簿!$D64="","",名簿!$D64&amp;IF(名簿!$F64="転出","（転出）",""))</f>
        <v/>
      </c>
      <c r="D64" s="149"/>
      <c r="E64" s="61" t="str">
        <f aca="false">IF(OR($C64="",名簿!$F64="転出"),"",IF($C$2="学級ごと",$A64,IF($C$2="前の単元と同じ",単元13!$E64&amp;"",$D64&amp;"")))</f>
        <v/>
      </c>
      <c r="F64" s="150"/>
      <c r="G64" s="150"/>
      <c r="H64" s="150"/>
      <c r="I64" s="151"/>
      <c r="J64" s="41" t="str">
        <f aca="false">IF($E64="","",$E64&amp;"|"&amp;COUNTIF($E$5:$E64,$E64))</f>
        <v/>
      </c>
      <c r="K64" s="40" t="str">
        <f aca="false">IF($I64="","",LEN($I64))</f>
        <v/>
      </c>
      <c r="L64" s="13"/>
      <c r="M64" s="13"/>
      <c r="N64" s="13"/>
      <c r="O64" s="13"/>
      <c r="P64" s="152"/>
      <c r="Q64" s="149"/>
      <c r="R64" s="152"/>
      <c r="S64" s="152"/>
      <c r="T64" s="62" t="str">
        <f aca="false">IF(OR($C64="",R64=""),"",IF(R64/IF($R$2="",100,$R$2)&gt;=設定!$I$28,設定!$G$8,IF(R64/IF($R$2="",100,$R$2)&lt;設定!$I$29,設定!$G$10,設定!$G$9)))</f>
        <v/>
      </c>
      <c r="U64" s="62" t="str">
        <f aca="false">IF(OR($C64="",S64=""),"",IF(S64/IF($S$2="",100,$S$2)&gt;=設定!$I$28,設定!$G$8,IF(S64/IF($S$2="",100,$S$2)&lt;設定!$I$29,設定!$G$10,設定!$G$9)))</f>
        <v/>
      </c>
    </row>
    <row r="65" customFormat="false" ht="21" hidden="false" customHeight="true" outlineLevel="0" collapsed="false">
      <c r="A65" s="91" t="str">
        <f aca="false">IF(名簿!$D65="","",名簿!$B65&amp;"")</f>
        <v/>
      </c>
      <c r="B65" s="91" t="str">
        <f aca="false">IF(名簿!$D65="","",名簿!$C65)</f>
        <v/>
      </c>
      <c r="C65" s="59" t="str">
        <f aca="false">IF(名簿!$D65="","",名簿!$D65&amp;IF(名簿!$F65="転出","（転出）",""))</f>
        <v/>
      </c>
      <c r="D65" s="149"/>
      <c r="E65" s="61" t="str">
        <f aca="false">IF(OR($C65="",名簿!$F65="転出"),"",IF($C$2="学級ごと",$A65,IF($C$2="前の単元と同じ",単元13!$E65&amp;"",$D65&amp;"")))</f>
        <v/>
      </c>
      <c r="F65" s="150"/>
      <c r="G65" s="150"/>
      <c r="H65" s="150"/>
      <c r="I65" s="151"/>
      <c r="J65" s="41" t="str">
        <f aca="false">IF($E65="","",$E65&amp;"|"&amp;COUNTIF($E$5:$E65,$E65))</f>
        <v/>
      </c>
      <c r="K65" s="40" t="str">
        <f aca="false">IF($I65="","",LEN($I65))</f>
        <v/>
      </c>
      <c r="L65" s="13"/>
      <c r="M65" s="13"/>
      <c r="N65" s="13"/>
      <c r="O65" s="13"/>
      <c r="P65" s="152"/>
      <c r="Q65" s="149"/>
      <c r="R65" s="152"/>
      <c r="S65" s="152"/>
      <c r="T65" s="62" t="str">
        <f aca="false">IF(OR($C65="",R65=""),"",IF(R65/IF($R$2="",100,$R$2)&gt;=設定!$I$28,設定!$G$8,IF(R65/IF($R$2="",100,$R$2)&lt;設定!$I$29,設定!$G$10,設定!$G$9)))</f>
        <v/>
      </c>
      <c r="U65" s="62" t="str">
        <f aca="false">IF(OR($C65="",S65=""),"",IF(S65/IF($S$2="",100,$S$2)&gt;=設定!$I$28,設定!$G$8,IF(S65/IF($S$2="",100,$S$2)&lt;設定!$I$29,設定!$G$10,設定!$G$9)))</f>
        <v/>
      </c>
    </row>
    <row r="66" customFormat="false" ht="21" hidden="false" customHeight="true" outlineLevel="0" collapsed="false">
      <c r="A66" s="91" t="str">
        <f aca="false">IF(名簿!$D66="","",名簿!$B66&amp;"")</f>
        <v/>
      </c>
      <c r="B66" s="91" t="str">
        <f aca="false">IF(名簿!$D66="","",名簿!$C66)</f>
        <v/>
      </c>
      <c r="C66" s="59" t="str">
        <f aca="false">IF(名簿!$D66="","",名簿!$D66&amp;IF(名簿!$F66="転出","（転出）",""))</f>
        <v/>
      </c>
      <c r="D66" s="149"/>
      <c r="E66" s="61" t="str">
        <f aca="false">IF(OR($C66="",名簿!$F66="転出"),"",IF($C$2="学級ごと",$A66,IF($C$2="前の単元と同じ",単元13!$E66&amp;"",$D66&amp;"")))</f>
        <v/>
      </c>
      <c r="F66" s="150"/>
      <c r="G66" s="150"/>
      <c r="H66" s="150"/>
      <c r="I66" s="151"/>
      <c r="J66" s="41" t="str">
        <f aca="false">IF($E66="","",$E66&amp;"|"&amp;COUNTIF($E$5:$E66,$E66))</f>
        <v/>
      </c>
      <c r="K66" s="40" t="str">
        <f aca="false">IF($I66="","",LEN($I66))</f>
        <v/>
      </c>
      <c r="L66" s="13"/>
      <c r="M66" s="13"/>
      <c r="N66" s="13"/>
      <c r="O66" s="13"/>
      <c r="P66" s="152"/>
      <c r="Q66" s="149"/>
      <c r="R66" s="152"/>
      <c r="S66" s="152"/>
      <c r="T66" s="62" t="str">
        <f aca="false">IF(OR($C66="",R66=""),"",IF(R66/IF($R$2="",100,$R$2)&gt;=設定!$I$28,設定!$G$8,IF(R66/IF($R$2="",100,$R$2)&lt;設定!$I$29,設定!$G$10,設定!$G$9)))</f>
        <v/>
      </c>
      <c r="U66" s="62" t="str">
        <f aca="false">IF(OR($C66="",S66=""),"",IF(S66/IF($S$2="",100,$S$2)&gt;=設定!$I$28,設定!$G$8,IF(S66/IF($S$2="",100,$S$2)&lt;設定!$I$29,設定!$G$10,設定!$G$9)))</f>
        <v/>
      </c>
    </row>
    <row r="67" customFormat="false" ht="21" hidden="false" customHeight="true" outlineLevel="0" collapsed="false">
      <c r="A67" s="91" t="str">
        <f aca="false">IF(名簿!$D67="","",名簿!$B67&amp;"")</f>
        <v/>
      </c>
      <c r="B67" s="91" t="str">
        <f aca="false">IF(名簿!$D67="","",名簿!$C67)</f>
        <v/>
      </c>
      <c r="C67" s="59" t="str">
        <f aca="false">IF(名簿!$D67="","",名簿!$D67&amp;IF(名簿!$F67="転出","（転出）",""))</f>
        <v/>
      </c>
      <c r="D67" s="149"/>
      <c r="E67" s="61" t="str">
        <f aca="false">IF(OR($C67="",名簿!$F67="転出"),"",IF($C$2="学級ごと",$A67,IF($C$2="前の単元と同じ",単元13!$E67&amp;"",$D67&amp;"")))</f>
        <v/>
      </c>
      <c r="F67" s="150"/>
      <c r="G67" s="150"/>
      <c r="H67" s="150"/>
      <c r="I67" s="151"/>
      <c r="J67" s="41" t="str">
        <f aca="false">IF($E67="","",$E67&amp;"|"&amp;COUNTIF($E$5:$E67,$E67))</f>
        <v/>
      </c>
      <c r="K67" s="40" t="str">
        <f aca="false">IF($I67="","",LEN($I67))</f>
        <v/>
      </c>
      <c r="L67" s="13"/>
      <c r="M67" s="13"/>
      <c r="N67" s="13"/>
      <c r="O67" s="13"/>
      <c r="P67" s="152"/>
      <c r="Q67" s="149"/>
      <c r="R67" s="152"/>
      <c r="S67" s="152"/>
      <c r="T67" s="62" t="str">
        <f aca="false">IF(OR($C67="",R67=""),"",IF(R67/IF($R$2="",100,$R$2)&gt;=設定!$I$28,設定!$G$8,IF(R67/IF($R$2="",100,$R$2)&lt;設定!$I$29,設定!$G$10,設定!$G$9)))</f>
        <v/>
      </c>
      <c r="U67" s="62" t="str">
        <f aca="false">IF(OR($C67="",S67=""),"",IF(S67/IF($S$2="",100,$S$2)&gt;=設定!$I$28,設定!$G$8,IF(S67/IF($S$2="",100,$S$2)&lt;設定!$I$29,設定!$G$10,設定!$G$9)))</f>
        <v/>
      </c>
    </row>
    <row r="68" customFormat="false" ht="21" hidden="false" customHeight="true" outlineLevel="0" collapsed="false">
      <c r="A68" s="91" t="str">
        <f aca="false">IF(名簿!$D68="","",名簿!$B68&amp;"")</f>
        <v/>
      </c>
      <c r="B68" s="91" t="str">
        <f aca="false">IF(名簿!$D68="","",名簿!$C68)</f>
        <v/>
      </c>
      <c r="C68" s="59" t="str">
        <f aca="false">IF(名簿!$D68="","",名簿!$D68&amp;IF(名簿!$F68="転出","（転出）",""))</f>
        <v/>
      </c>
      <c r="D68" s="149"/>
      <c r="E68" s="61" t="str">
        <f aca="false">IF(OR($C68="",名簿!$F68="転出"),"",IF($C$2="学級ごと",$A68,IF($C$2="前の単元と同じ",単元13!$E68&amp;"",$D68&amp;"")))</f>
        <v/>
      </c>
      <c r="F68" s="150"/>
      <c r="G68" s="150"/>
      <c r="H68" s="150"/>
      <c r="I68" s="151"/>
      <c r="J68" s="41" t="str">
        <f aca="false">IF($E68="","",$E68&amp;"|"&amp;COUNTIF($E$5:$E68,$E68))</f>
        <v/>
      </c>
      <c r="K68" s="40" t="str">
        <f aca="false">IF($I68="","",LEN($I68))</f>
        <v/>
      </c>
      <c r="L68" s="13"/>
      <c r="M68" s="13"/>
      <c r="N68" s="13"/>
      <c r="O68" s="13"/>
      <c r="P68" s="152"/>
      <c r="Q68" s="149"/>
      <c r="R68" s="152"/>
      <c r="S68" s="152"/>
      <c r="T68" s="62" t="str">
        <f aca="false">IF(OR($C68="",R68=""),"",IF(R68/IF($R$2="",100,$R$2)&gt;=設定!$I$28,設定!$G$8,IF(R68/IF($R$2="",100,$R$2)&lt;設定!$I$29,設定!$G$10,設定!$G$9)))</f>
        <v/>
      </c>
      <c r="U68" s="62" t="str">
        <f aca="false">IF(OR($C68="",S68=""),"",IF(S68/IF($S$2="",100,$S$2)&gt;=設定!$I$28,設定!$G$8,IF(S68/IF($S$2="",100,$S$2)&lt;設定!$I$29,設定!$G$10,設定!$G$9)))</f>
        <v/>
      </c>
    </row>
    <row r="69" customFormat="false" ht="21" hidden="false" customHeight="true" outlineLevel="0" collapsed="false">
      <c r="A69" s="91" t="str">
        <f aca="false">IF(名簿!$D69="","",名簿!$B69&amp;"")</f>
        <v/>
      </c>
      <c r="B69" s="91" t="str">
        <f aca="false">IF(名簿!$D69="","",名簿!$C69)</f>
        <v/>
      </c>
      <c r="C69" s="59" t="str">
        <f aca="false">IF(名簿!$D69="","",名簿!$D69&amp;IF(名簿!$F69="転出","（転出）",""))</f>
        <v/>
      </c>
      <c r="D69" s="149"/>
      <c r="E69" s="61" t="str">
        <f aca="false">IF(OR($C69="",名簿!$F69="転出"),"",IF($C$2="学級ごと",$A69,IF($C$2="前の単元と同じ",単元13!$E69&amp;"",$D69&amp;"")))</f>
        <v/>
      </c>
      <c r="F69" s="150"/>
      <c r="G69" s="150"/>
      <c r="H69" s="150"/>
      <c r="I69" s="151"/>
      <c r="J69" s="41" t="str">
        <f aca="false">IF($E69="","",$E69&amp;"|"&amp;COUNTIF($E$5:$E69,$E69))</f>
        <v/>
      </c>
      <c r="K69" s="40" t="str">
        <f aca="false">IF($I69="","",LEN($I69))</f>
        <v/>
      </c>
      <c r="L69" s="13"/>
      <c r="M69" s="13"/>
      <c r="N69" s="13"/>
      <c r="O69" s="13"/>
      <c r="P69" s="152"/>
      <c r="Q69" s="149"/>
      <c r="R69" s="152"/>
      <c r="S69" s="152"/>
      <c r="T69" s="62" t="str">
        <f aca="false">IF(OR($C69="",R69=""),"",IF(R69/IF($R$2="",100,$R$2)&gt;=設定!$I$28,設定!$G$8,IF(R69/IF($R$2="",100,$R$2)&lt;設定!$I$29,設定!$G$10,設定!$G$9)))</f>
        <v/>
      </c>
      <c r="U69" s="62" t="str">
        <f aca="false">IF(OR($C69="",S69=""),"",IF(S69/IF($S$2="",100,$S$2)&gt;=設定!$I$28,設定!$G$8,IF(S69/IF($S$2="",100,$S$2)&lt;設定!$I$29,設定!$G$10,設定!$G$9)))</f>
        <v/>
      </c>
    </row>
    <row r="70" customFormat="false" ht="21" hidden="false" customHeight="true" outlineLevel="0" collapsed="false">
      <c r="A70" s="91" t="str">
        <f aca="false">IF(名簿!$D70="","",名簿!$B70&amp;"")</f>
        <v/>
      </c>
      <c r="B70" s="91" t="str">
        <f aca="false">IF(名簿!$D70="","",名簿!$C70)</f>
        <v/>
      </c>
      <c r="C70" s="59" t="str">
        <f aca="false">IF(名簿!$D70="","",名簿!$D70&amp;IF(名簿!$F70="転出","（転出）",""))</f>
        <v/>
      </c>
      <c r="D70" s="149"/>
      <c r="E70" s="61" t="str">
        <f aca="false">IF(OR($C70="",名簿!$F70="転出"),"",IF($C$2="学級ごと",$A70,IF($C$2="前の単元と同じ",単元13!$E70&amp;"",$D70&amp;"")))</f>
        <v/>
      </c>
      <c r="F70" s="150"/>
      <c r="G70" s="150"/>
      <c r="H70" s="150"/>
      <c r="I70" s="151"/>
      <c r="J70" s="41" t="str">
        <f aca="false">IF($E70="","",$E70&amp;"|"&amp;COUNTIF($E$5:$E70,$E70))</f>
        <v/>
      </c>
      <c r="K70" s="40" t="str">
        <f aca="false">IF($I70="","",LEN($I70))</f>
        <v/>
      </c>
      <c r="L70" s="13"/>
      <c r="M70" s="13"/>
      <c r="N70" s="13"/>
      <c r="O70" s="13"/>
      <c r="P70" s="152"/>
      <c r="Q70" s="149"/>
      <c r="R70" s="152"/>
      <c r="S70" s="152"/>
      <c r="T70" s="62" t="str">
        <f aca="false">IF(OR($C70="",R70=""),"",IF(R70/IF($R$2="",100,$R$2)&gt;=設定!$I$28,設定!$G$8,IF(R70/IF($R$2="",100,$R$2)&lt;設定!$I$29,設定!$G$10,設定!$G$9)))</f>
        <v/>
      </c>
      <c r="U70" s="62" t="str">
        <f aca="false">IF(OR($C70="",S70=""),"",IF(S70/IF($S$2="",100,$S$2)&gt;=設定!$I$28,設定!$G$8,IF(S70/IF($S$2="",100,$S$2)&lt;設定!$I$29,設定!$G$10,設定!$G$9)))</f>
        <v/>
      </c>
    </row>
    <row r="71" customFormat="false" ht="21" hidden="false" customHeight="true" outlineLevel="0" collapsed="false">
      <c r="A71" s="91" t="str">
        <f aca="false">IF(名簿!$D71="","",名簿!$B71&amp;"")</f>
        <v/>
      </c>
      <c r="B71" s="91" t="str">
        <f aca="false">IF(名簿!$D71="","",名簿!$C71)</f>
        <v/>
      </c>
      <c r="C71" s="59" t="str">
        <f aca="false">IF(名簿!$D71="","",名簿!$D71&amp;IF(名簿!$F71="転出","（転出）",""))</f>
        <v/>
      </c>
      <c r="D71" s="149"/>
      <c r="E71" s="61" t="str">
        <f aca="false">IF(OR($C71="",名簿!$F71="転出"),"",IF($C$2="学級ごと",$A71,IF($C$2="前の単元と同じ",単元13!$E71&amp;"",$D71&amp;"")))</f>
        <v/>
      </c>
      <c r="F71" s="150"/>
      <c r="G71" s="150"/>
      <c r="H71" s="150"/>
      <c r="I71" s="151"/>
      <c r="J71" s="41" t="str">
        <f aca="false">IF($E71="","",$E71&amp;"|"&amp;COUNTIF($E$5:$E71,$E71))</f>
        <v/>
      </c>
      <c r="K71" s="40" t="str">
        <f aca="false">IF($I71="","",LEN($I71))</f>
        <v/>
      </c>
      <c r="L71" s="13"/>
      <c r="M71" s="13"/>
      <c r="N71" s="13"/>
      <c r="O71" s="13"/>
      <c r="P71" s="152"/>
      <c r="Q71" s="149"/>
      <c r="R71" s="152"/>
      <c r="S71" s="152"/>
      <c r="T71" s="62" t="str">
        <f aca="false">IF(OR($C71="",R71=""),"",IF(R71/IF($R$2="",100,$R$2)&gt;=設定!$I$28,設定!$G$8,IF(R71/IF($R$2="",100,$R$2)&lt;設定!$I$29,設定!$G$10,設定!$G$9)))</f>
        <v/>
      </c>
      <c r="U71" s="62" t="str">
        <f aca="false">IF(OR($C71="",S71=""),"",IF(S71/IF($S$2="",100,$S$2)&gt;=設定!$I$28,設定!$G$8,IF(S71/IF($S$2="",100,$S$2)&lt;設定!$I$29,設定!$G$10,設定!$G$9)))</f>
        <v/>
      </c>
    </row>
    <row r="72" customFormat="false" ht="21" hidden="false" customHeight="true" outlineLevel="0" collapsed="false">
      <c r="A72" s="91" t="str">
        <f aca="false">IF(名簿!$D72="","",名簿!$B72&amp;"")</f>
        <v/>
      </c>
      <c r="B72" s="91" t="str">
        <f aca="false">IF(名簿!$D72="","",名簿!$C72)</f>
        <v/>
      </c>
      <c r="C72" s="59" t="str">
        <f aca="false">IF(名簿!$D72="","",名簿!$D72&amp;IF(名簿!$F72="転出","（転出）",""))</f>
        <v/>
      </c>
      <c r="D72" s="149"/>
      <c r="E72" s="61" t="str">
        <f aca="false">IF(OR($C72="",名簿!$F72="転出"),"",IF($C$2="学級ごと",$A72,IF($C$2="前の単元と同じ",単元13!$E72&amp;"",$D72&amp;"")))</f>
        <v/>
      </c>
      <c r="F72" s="150"/>
      <c r="G72" s="150"/>
      <c r="H72" s="150"/>
      <c r="I72" s="151"/>
      <c r="J72" s="41" t="str">
        <f aca="false">IF($E72="","",$E72&amp;"|"&amp;COUNTIF($E$5:$E72,$E72))</f>
        <v/>
      </c>
      <c r="K72" s="40" t="str">
        <f aca="false">IF($I72="","",LEN($I72))</f>
        <v/>
      </c>
      <c r="L72" s="13"/>
      <c r="M72" s="13"/>
      <c r="N72" s="13"/>
      <c r="O72" s="13"/>
      <c r="P72" s="152"/>
      <c r="Q72" s="149"/>
      <c r="R72" s="152"/>
      <c r="S72" s="152"/>
      <c r="T72" s="62" t="str">
        <f aca="false">IF(OR($C72="",R72=""),"",IF(R72/IF($R$2="",100,$R$2)&gt;=設定!$I$28,設定!$G$8,IF(R72/IF($R$2="",100,$R$2)&lt;設定!$I$29,設定!$G$10,設定!$G$9)))</f>
        <v/>
      </c>
      <c r="U72" s="62" t="str">
        <f aca="false">IF(OR($C72="",S72=""),"",IF(S72/IF($S$2="",100,$S$2)&gt;=設定!$I$28,設定!$G$8,IF(S72/IF($S$2="",100,$S$2)&lt;設定!$I$29,設定!$G$10,設定!$G$9)))</f>
        <v/>
      </c>
    </row>
    <row r="73" customFormat="false" ht="21" hidden="false" customHeight="true" outlineLevel="0" collapsed="false">
      <c r="A73" s="91" t="str">
        <f aca="false">IF(名簿!$D73="","",名簿!$B73&amp;"")</f>
        <v/>
      </c>
      <c r="B73" s="91" t="str">
        <f aca="false">IF(名簿!$D73="","",名簿!$C73)</f>
        <v/>
      </c>
      <c r="C73" s="59" t="str">
        <f aca="false">IF(名簿!$D73="","",名簿!$D73&amp;IF(名簿!$F73="転出","（転出）",""))</f>
        <v/>
      </c>
      <c r="D73" s="149"/>
      <c r="E73" s="61" t="str">
        <f aca="false">IF(OR($C73="",名簿!$F73="転出"),"",IF($C$2="学級ごと",$A73,IF($C$2="前の単元と同じ",単元13!$E73&amp;"",$D73&amp;"")))</f>
        <v/>
      </c>
      <c r="F73" s="150"/>
      <c r="G73" s="150"/>
      <c r="H73" s="150"/>
      <c r="I73" s="151"/>
      <c r="J73" s="41" t="str">
        <f aca="false">IF($E73="","",$E73&amp;"|"&amp;COUNTIF($E$5:$E73,$E73))</f>
        <v/>
      </c>
      <c r="K73" s="40" t="str">
        <f aca="false">IF($I73="","",LEN($I73))</f>
        <v/>
      </c>
      <c r="L73" s="13"/>
      <c r="M73" s="13"/>
      <c r="N73" s="13"/>
      <c r="O73" s="13"/>
      <c r="P73" s="152"/>
      <c r="Q73" s="149"/>
      <c r="R73" s="152"/>
      <c r="S73" s="152"/>
      <c r="T73" s="62" t="str">
        <f aca="false">IF(OR($C73="",R73=""),"",IF(R73/IF($R$2="",100,$R$2)&gt;=設定!$I$28,設定!$G$8,IF(R73/IF($R$2="",100,$R$2)&lt;設定!$I$29,設定!$G$10,設定!$G$9)))</f>
        <v/>
      </c>
      <c r="U73" s="62" t="str">
        <f aca="false">IF(OR($C73="",S73=""),"",IF(S73/IF($S$2="",100,$S$2)&gt;=設定!$I$28,設定!$G$8,IF(S73/IF($S$2="",100,$S$2)&lt;設定!$I$29,設定!$G$10,設定!$G$9)))</f>
        <v/>
      </c>
    </row>
    <row r="74" customFormat="false" ht="21" hidden="false" customHeight="true" outlineLevel="0" collapsed="false">
      <c r="A74" s="91" t="str">
        <f aca="false">IF(名簿!$D74="","",名簿!$B74&amp;"")</f>
        <v/>
      </c>
      <c r="B74" s="91" t="str">
        <f aca="false">IF(名簿!$D74="","",名簿!$C74)</f>
        <v/>
      </c>
      <c r="C74" s="59" t="str">
        <f aca="false">IF(名簿!$D74="","",名簿!$D74&amp;IF(名簿!$F74="転出","（転出）",""))</f>
        <v/>
      </c>
      <c r="D74" s="149"/>
      <c r="E74" s="61" t="str">
        <f aca="false">IF(OR($C74="",名簿!$F74="転出"),"",IF($C$2="学級ごと",$A74,IF($C$2="前の単元と同じ",単元13!$E74&amp;"",$D74&amp;"")))</f>
        <v/>
      </c>
      <c r="F74" s="150"/>
      <c r="G74" s="150"/>
      <c r="H74" s="150"/>
      <c r="I74" s="151"/>
      <c r="J74" s="41" t="str">
        <f aca="false">IF($E74="","",$E74&amp;"|"&amp;COUNTIF($E$5:$E74,$E74))</f>
        <v/>
      </c>
      <c r="K74" s="40" t="str">
        <f aca="false">IF($I74="","",LEN($I74))</f>
        <v/>
      </c>
      <c r="L74" s="13"/>
      <c r="M74" s="13"/>
      <c r="N74" s="13"/>
      <c r="O74" s="13"/>
      <c r="P74" s="152"/>
      <c r="Q74" s="149"/>
      <c r="R74" s="152"/>
      <c r="S74" s="152"/>
      <c r="T74" s="62" t="str">
        <f aca="false">IF(OR($C74="",R74=""),"",IF(R74/IF($R$2="",100,$R$2)&gt;=設定!$I$28,設定!$G$8,IF(R74/IF($R$2="",100,$R$2)&lt;設定!$I$29,設定!$G$10,設定!$G$9)))</f>
        <v/>
      </c>
      <c r="U74" s="62" t="str">
        <f aca="false">IF(OR($C74="",S74=""),"",IF(S74/IF($S$2="",100,$S$2)&gt;=設定!$I$28,設定!$G$8,IF(S74/IF($S$2="",100,$S$2)&lt;設定!$I$29,設定!$G$10,設定!$G$9)))</f>
        <v/>
      </c>
    </row>
    <row r="75" customFormat="false" ht="21" hidden="false" customHeight="true" outlineLevel="0" collapsed="false">
      <c r="A75" s="91" t="str">
        <f aca="false">IF(名簿!$D75="","",名簿!$B75&amp;"")</f>
        <v/>
      </c>
      <c r="B75" s="91" t="str">
        <f aca="false">IF(名簿!$D75="","",名簿!$C75)</f>
        <v/>
      </c>
      <c r="C75" s="59" t="str">
        <f aca="false">IF(名簿!$D75="","",名簿!$D75&amp;IF(名簿!$F75="転出","（転出）",""))</f>
        <v/>
      </c>
      <c r="D75" s="149"/>
      <c r="E75" s="61" t="str">
        <f aca="false">IF(OR($C75="",名簿!$F75="転出"),"",IF($C$2="学級ごと",$A75,IF($C$2="前の単元と同じ",単元13!$E75&amp;"",$D75&amp;"")))</f>
        <v/>
      </c>
      <c r="F75" s="150"/>
      <c r="G75" s="150"/>
      <c r="H75" s="150"/>
      <c r="I75" s="151"/>
      <c r="J75" s="41" t="str">
        <f aca="false">IF($E75="","",$E75&amp;"|"&amp;COUNTIF($E$5:$E75,$E75))</f>
        <v/>
      </c>
      <c r="K75" s="40" t="str">
        <f aca="false">IF($I75="","",LEN($I75))</f>
        <v/>
      </c>
      <c r="L75" s="13"/>
      <c r="M75" s="13"/>
      <c r="N75" s="13"/>
      <c r="O75" s="13"/>
      <c r="P75" s="152"/>
      <c r="Q75" s="149"/>
      <c r="R75" s="152"/>
      <c r="S75" s="152"/>
      <c r="T75" s="62" t="str">
        <f aca="false">IF(OR($C75="",R75=""),"",IF(R75/IF($R$2="",100,$R$2)&gt;=設定!$I$28,設定!$G$8,IF(R75/IF($R$2="",100,$R$2)&lt;設定!$I$29,設定!$G$10,設定!$G$9)))</f>
        <v/>
      </c>
      <c r="U75" s="62" t="str">
        <f aca="false">IF(OR($C75="",S75=""),"",IF(S75/IF($S$2="",100,$S$2)&gt;=設定!$I$28,設定!$G$8,IF(S75/IF($S$2="",100,$S$2)&lt;設定!$I$29,設定!$G$10,設定!$G$9)))</f>
        <v/>
      </c>
    </row>
    <row r="76" customFormat="false" ht="21" hidden="false" customHeight="true" outlineLevel="0" collapsed="false">
      <c r="A76" s="91" t="str">
        <f aca="false">IF(名簿!$D76="","",名簿!$B76&amp;"")</f>
        <v/>
      </c>
      <c r="B76" s="91" t="str">
        <f aca="false">IF(名簿!$D76="","",名簿!$C76)</f>
        <v/>
      </c>
      <c r="C76" s="59" t="str">
        <f aca="false">IF(名簿!$D76="","",名簿!$D76&amp;IF(名簿!$F76="転出","（転出）",""))</f>
        <v/>
      </c>
      <c r="D76" s="149"/>
      <c r="E76" s="61" t="str">
        <f aca="false">IF(OR($C76="",名簿!$F76="転出"),"",IF($C$2="学級ごと",$A76,IF($C$2="前の単元と同じ",単元13!$E76&amp;"",$D76&amp;"")))</f>
        <v/>
      </c>
      <c r="F76" s="150"/>
      <c r="G76" s="150"/>
      <c r="H76" s="150"/>
      <c r="I76" s="151"/>
      <c r="J76" s="41" t="str">
        <f aca="false">IF($E76="","",$E76&amp;"|"&amp;COUNTIF($E$5:$E76,$E76))</f>
        <v/>
      </c>
      <c r="K76" s="40" t="str">
        <f aca="false">IF($I76="","",LEN($I76))</f>
        <v/>
      </c>
      <c r="L76" s="13"/>
      <c r="M76" s="13"/>
      <c r="N76" s="13"/>
      <c r="O76" s="13"/>
      <c r="P76" s="152"/>
      <c r="Q76" s="149"/>
      <c r="R76" s="152"/>
      <c r="S76" s="152"/>
      <c r="T76" s="62" t="str">
        <f aca="false">IF(OR($C76="",R76=""),"",IF(R76/IF($R$2="",100,$R$2)&gt;=設定!$I$28,設定!$G$8,IF(R76/IF($R$2="",100,$R$2)&lt;設定!$I$29,設定!$G$10,設定!$G$9)))</f>
        <v/>
      </c>
      <c r="U76" s="62" t="str">
        <f aca="false">IF(OR($C76="",S76=""),"",IF(S76/IF($S$2="",100,$S$2)&gt;=設定!$I$28,設定!$G$8,IF(S76/IF($S$2="",100,$S$2)&lt;設定!$I$29,設定!$G$10,設定!$G$9)))</f>
        <v/>
      </c>
    </row>
    <row r="77" customFormat="false" ht="21" hidden="false" customHeight="true" outlineLevel="0" collapsed="false">
      <c r="A77" s="91" t="str">
        <f aca="false">IF(名簿!$D77="","",名簿!$B77&amp;"")</f>
        <v/>
      </c>
      <c r="B77" s="91" t="str">
        <f aca="false">IF(名簿!$D77="","",名簿!$C77)</f>
        <v/>
      </c>
      <c r="C77" s="59" t="str">
        <f aca="false">IF(名簿!$D77="","",名簿!$D77&amp;IF(名簿!$F77="転出","（転出）",""))</f>
        <v/>
      </c>
      <c r="D77" s="149"/>
      <c r="E77" s="61" t="str">
        <f aca="false">IF(OR($C77="",名簿!$F77="転出"),"",IF($C$2="学級ごと",$A77,IF($C$2="前の単元と同じ",単元13!$E77&amp;"",$D77&amp;"")))</f>
        <v/>
      </c>
      <c r="F77" s="150"/>
      <c r="G77" s="150"/>
      <c r="H77" s="150"/>
      <c r="I77" s="151"/>
      <c r="J77" s="41" t="str">
        <f aca="false">IF($E77="","",$E77&amp;"|"&amp;COUNTIF($E$5:$E77,$E77))</f>
        <v/>
      </c>
      <c r="K77" s="40" t="str">
        <f aca="false">IF($I77="","",LEN($I77))</f>
        <v/>
      </c>
      <c r="L77" s="13"/>
      <c r="M77" s="13"/>
      <c r="N77" s="13"/>
      <c r="O77" s="13"/>
      <c r="P77" s="152"/>
      <c r="Q77" s="149"/>
      <c r="R77" s="152"/>
      <c r="S77" s="152"/>
      <c r="T77" s="62" t="str">
        <f aca="false">IF(OR($C77="",R77=""),"",IF(R77/IF($R$2="",100,$R$2)&gt;=設定!$I$28,設定!$G$8,IF(R77/IF($R$2="",100,$R$2)&lt;設定!$I$29,設定!$G$10,設定!$G$9)))</f>
        <v/>
      </c>
      <c r="U77" s="62" t="str">
        <f aca="false">IF(OR($C77="",S77=""),"",IF(S77/IF($S$2="",100,$S$2)&gt;=設定!$I$28,設定!$G$8,IF(S77/IF($S$2="",100,$S$2)&lt;設定!$I$29,設定!$G$10,設定!$G$9)))</f>
        <v/>
      </c>
    </row>
    <row r="78" customFormat="false" ht="21" hidden="false" customHeight="true" outlineLevel="0" collapsed="false">
      <c r="A78" s="91" t="str">
        <f aca="false">IF(名簿!$D78="","",名簿!$B78&amp;"")</f>
        <v/>
      </c>
      <c r="B78" s="91" t="str">
        <f aca="false">IF(名簿!$D78="","",名簿!$C78)</f>
        <v/>
      </c>
      <c r="C78" s="59" t="str">
        <f aca="false">IF(名簿!$D78="","",名簿!$D78&amp;IF(名簿!$F78="転出","（転出）",""))</f>
        <v/>
      </c>
      <c r="D78" s="149"/>
      <c r="E78" s="61" t="str">
        <f aca="false">IF(OR($C78="",名簿!$F78="転出"),"",IF($C$2="学級ごと",$A78,IF($C$2="前の単元と同じ",単元13!$E78&amp;"",$D78&amp;"")))</f>
        <v/>
      </c>
      <c r="F78" s="150"/>
      <c r="G78" s="150"/>
      <c r="H78" s="150"/>
      <c r="I78" s="151"/>
      <c r="J78" s="41" t="str">
        <f aca="false">IF($E78="","",$E78&amp;"|"&amp;COUNTIF($E$5:$E78,$E78))</f>
        <v/>
      </c>
      <c r="K78" s="40" t="str">
        <f aca="false">IF($I78="","",LEN($I78))</f>
        <v/>
      </c>
      <c r="L78" s="13"/>
      <c r="M78" s="13"/>
      <c r="N78" s="13"/>
      <c r="O78" s="13"/>
      <c r="P78" s="152"/>
      <c r="Q78" s="149"/>
      <c r="R78" s="152"/>
      <c r="S78" s="152"/>
      <c r="T78" s="62" t="str">
        <f aca="false">IF(OR($C78="",R78=""),"",IF(R78/IF($R$2="",100,$R$2)&gt;=設定!$I$28,設定!$G$8,IF(R78/IF($R$2="",100,$R$2)&lt;設定!$I$29,設定!$G$10,設定!$G$9)))</f>
        <v/>
      </c>
      <c r="U78" s="62" t="str">
        <f aca="false">IF(OR($C78="",S78=""),"",IF(S78/IF($S$2="",100,$S$2)&gt;=設定!$I$28,設定!$G$8,IF(S78/IF($S$2="",100,$S$2)&lt;設定!$I$29,設定!$G$10,設定!$G$9)))</f>
        <v/>
      </c>
    </row>
    <row r="79" customFormat="false" ht="21" hidden="false" customHeight="true" outlineLevel="0" collapsed="false">
      <c r="A79" s="91" t="str">
        <f aca="false">IF(名簿!$D79="","",名簿!$B79&amp;"")</f>
        <v/>
      </c>
      <c r="B79" s="91" t="str">
        <f aca="false">IF(名簿!$D79="","",名簿!$C79)</f>
        <v/>
      </c>
      <c r="C79" s="59" t="str">
        <f aca="false">IF(名簿!$D79="","",名簿!$D79&amp;IF(名簿!$F79="転出","（転出）",""))</f>
        <v/>
      </c>
      <c r="D79" s="149"/>
      <c r="E79" s="61" t="str">
        <f aca="false">IF(OR($C79="",名簿!$F79="転出"),"",IF($C$2="学級ごと",$A79,IF($C$2="前の単元と同じ",単元13!$E79&amp;"",$D79&amp;"")))</f>
        <v/>
      </c>
      <c r="F79" s="150"/>
      <c r="G79" s="150"/>
      <c r="H79" s="150"/>
      <c r="I79" s="151"/>
      <c r="J79" s="41" t="str">
        <f aca="false">IF($E79="","",$E79&amp;"|"&amp;COUNTIF($E$5:$E79,$E79))</f>
        <v/>
      </c>
      <c r="K79" s="40" t="str">
        <f aca="false">IF($I79="","",LEN($I79))</f>
        <v/>
      </c>
      <c r="L79" s="13"/>
      <c r="M79" s="13"/>
      <c r="N79" s="13"/>
      <c r="O79" s="13"/>
      <c r="P79" s="152"/>
      <c r="Q79" s="149"/>
      <c r="R79" s="152"/>
      <c r="S79" s="152"/>
      <c r="T79" s="62" t="str">
        <f aca="false">IF(OR($C79="",R79=""),"",IF(R79/IF($R$2="",100,$R$2)&gt;=設定!$I$28,設定!$G$8,IF(R79/IF($R$2="",100,$R$2)&lt;設定!$I$29,設定!$G$10,設定!$G$9)))</f>
        <v/>
      </c>
      <c r="U79" s="62" t="str">
        <f aca="false">IF(OR($C79="",S79=""),"",IF(S79/IF($S$2="",100,$S$2)&gt;=設定!$I$28,設定!$G$8,IF(S79/IF($S$2="",100,$S$2)&lt;設定!$I$29,設定!$G$10,設定!$G$9)))</f>
        <v/>
      </c>
    </row>
    <row r="80" customFormat="false" ht="21" hidden="false" customHeight="true" outlineLevel="0" collapsed="false">
      <c r="A80" s="91" t="str">
        <f aca="false">IF(名簿!$D80="","",名簿!$B80&amp;"")</f>
        <v/>
      </c>
      <c r="B80" s="91" t="str">
        <f aca="false">IF(名簿!$D80="","",名簿!$C80)</f>
        <v/>
      </c>
      <c r="C80" s="59" t="str">
        <f aca="false">IF(名簿!$D80="","",名簿!$D80&amp;IF(名簿!$F80="転出","（転出）",""))</f>
        <v/>
      </c>
      <c r="D80" s="149"/>
      <c r="E80" s="61" t="str">
        <f aca="false">IF(OR($C80="",名簿!$F80="転出"),"",IF($C$2="学級ごと",$A80,IF($C$2="前の単元と同じ",単元13!$E80&amp;"",$D80&amp;"")))</f>
        <v/>
      </c>
      <c r="F80" s="150"/>
      <c r="G80" s="150"/>
      <c r="H80" s="150"/>
      <c r="I80" s="151"/>
      <c r="J80" s="41" t="str">
        <f aca="false">IF($E80="","",$E80&amp;"|"&amp;COUNTIF($E$5:$E80,$E80))</f>
        <v/>
      </c>
      <c r="K80" s="40" t="str">
        <f aca="false">IF($I80="","",LEN($I80))</f>
        <v/>
      </c>
      <c r="L80" s="13"/>
      <c r="M80" s="13"/>
      <c r="N80" s="13"/>
      <c r="O80" s="13"/>
      <c r="P80" s="152"/>
      <c r="Q80" s="149"/>
      <c r="R80" s="152"/>
      <c r="S80" s="152"/>
      <c r="T80" s="62" t="str">
        <f aca="false">IF(OR($C80="",R80=""),"",IF(R80/IF($R$2="",100,$R$2)&gt;=設定!$I$28,設定!$G$8,IF(R80/IF($R$2="",100,$R$2)&lt;設定!$I$29,設定!$G$10,設定!$G$9)))</f>
        <v/>
      </c>
      <c r="U80" s="62" t="str">
        <f aca="false">IF(OR($C80="",S80=""),"",IF(S80/IF($S$2="",100,$S$2)&gt;=設定!$I$28,設定!$G$8,IF(S80/IF($S$2="",100,$S$2)&lt;設定!$I$29,設定!$G$10,設定!$G$9)))</f>
        <v/>
      </c>
    </row>
    <row r="81" customFormat="false" ht="21" hidden="false" customHeight="true" outlineLevel="0" collapsed="false">
      <c r="A81" s="91" t="str">
        <f aca="false">IF(名簿!$D81="","",名簿!$B81&amp;"")</f>
        <v/>
      </c>
      <c r="B81" s="91" t="str">
        <f aca="false">IF(名簿!$D81="","",名簿!$C81)</f>
        <v/>
      </c>
      <c r="C81" s="59" t="str">
        <f aca="false">IF(名簿!$D81="","",名簿!$D81&amp;IF(名簿!$F81="転出","（転出）",""))</f>
        <v/>
      </c>
      <c r="D81" s="149"/>
      <c r="E81" s="61" t="str">
        <f aca="false">IF(OR($C81="",名簿!$F81="転出"),"",IF($C$2="学級ごと",$A81,IF($C$2="前の単元と同じ",単元13!$E81&amp;"",$D81&amp;"")))</f>
        <v/>
      </c>
      <c r="F81" s="150"/>
      <c r="G81" s="150"/>
      <c r="H81" s="150"/>
      <c r="I81" s="151"/>
      <c r="J81" s="41" t="str">
        <f aca="false">IF($E81="","",$E81&amp;"|"&amp;COUNTIF($E$5:$E81,$E81))</f>
        <v/>
      </c>
      <c r="K81" s="40" t="str">
        <f aca="false">IF($I81="","",LEN($I81))</f>
        <v/>
      </c>
      <c r="L81" s="13"/>
      <c r="M81" s="13"/>
      <c r="N81" s="13"/>
      <c r="O81" s="13"/>
      <c r="P81" s="152"/>
      <c r="Q81" s="149"/>
      <c r="R81" s="152"/>
      <c r="S81" s="152"/>
      <c r="T81" s="62" t="str">
        <f aca="false">IF(OR($C81="",R81=""),"",IF(R81/IF($R$2="",100,$R$2)&gt;=設定!$I$28,設定!$G$8,IF(R81/IF($R$2="",100,$R$2)&lt;設定!$I$29,設定!$G$10,設定!$G$9)))</f>
        <v/>
      </c>
      <c r="U81" s="62" t="str">
        <f aca="false">IF(OR($C81="",S81=""),"",IF(S81/IF($S$2="",100,$S$2)&gt;=設定!$I$28,設定!$G$8,IF(S81/IF($S$2="",100,$S$2)&lt;設定!$I$29,設定!$G$10,設定!$G$9)))</f>
        <v/>
      </c>
    </row>
    <row r="82" customFormat="false" ht="21" hidden="false" customHeight="true" outlineLevel="0" collapsed="false">
      <c r="A82" s="91" t="str">
        <f aca="false">IF(名簿!$D82="","",名簿!$B82&amp;"")</f>
        <v/>
      </c>
      <c r="B82" s="91" t="str">
        <f aca="false">IF(名簿!$D82="","",名簿!$C82)</f>
        <v/>
      </c>
      <c r="C82" s="59" t="str">
        <f aca="false">IF(名簿!$D82="","",名簿!$D82&amp;IF(名簿!$F82="転出","（転出）",""))</f>
        <v/>
      </c>
      <c r="D82" s="149"/>
      <c r="E82" s="61" t="str">
        <f aca="false">IF(OR($C82="",名簿!$F82="転出"),"",IF($C$2="学級ごと",$A82,IF($C$2="前の単元と同じ",単元13!$E82&amp;"",$D82&amp;"")))</f>
        <v/>
      </c>
      <c r="F82" s="150"/>
      <c r="G82" s="150"/>
      <c r="H82" s="150"/>
      <c r="I82" s="151"/>
      <c r="J82" s="41" t="str">
        <f aca="false">IF($E82="","",$E82&amp;"|"&amp;COUNTIF($E$5:$E82,$E82))</f>
        <v/>
      </c>
      <c r="K82" s="40" t="str">
        <f aca="false">IF($I82="","",LEN($I82))</f>
        <v/>
      </c>
      <c r="L82" s="13"/>
      <c r="M82" s="13"/>
      <c r="N82" s="13"/>
      <c r="O82" s="13"/>
      <c r="P82" s="152"/>
      <c r="Q82" s="149"/>
      <c r="R82" s="152"/>
      <c r="S82" s="152"/>
      <c r="T82" s="62" t="str">
        <f aca="false">IF(OR($C82="",R82=""),"",IF(R82/IF($R$2="",100,$R$2)&gt;=設定!$I$28,設定!$G$8,IF(R82/IF($R$2="",100,$R$2)&lt;設定!$I$29,設定!$G$10,設定!$G$9)))</f>
        <v/>
      </c>
      <c r="U82" s="62" t="str">
        <f aca="false">IF(OR($C82="",S82=""),"",IF(S82/IF($S$2="",100,$S$2)&gt;=設定!$I$28,設定!$G$8,IF(S82/IF($S$2="",100,$S$2)&lt;設定!$I$29,設定!$G$10,設定!$G$9)))</f>
        <v/>
      </c>
    </row>
    <row r="83" customFormat="false" ht="21" hidden="false" customHeight="true" outlineLevel="0" collapsed="false">
      <c r="A83" s="91" t="str">
        <f aca="false">IF(名簿!$D83="","",名簿!$B83&amp;"")</f>
        <v/>
      </c>
      <c r="B83" s="91" t="str">
        <f aca="false">IF(名簿!$D83="","",名簿!$C83)</f>
        <v/>
      </c>
      <c r="C83" s="59" t="str">
        <f aca="false">IF(名簿!$D83="","",名簿!$D83&amp;IF(名簿!$F83="転出","（転出）",""))</f>
        <v/>
      </c>
      <c r="D83" s="149"/>
      <c r="E83" s="61" t="str">
        <f aca="false">IF(OR($C83="",名簿!$F83="転出"),"",IF($C$2="学級ごと",$A83,IF($C$2="前の単元と同じ",単元13!$E83&amp;"",$D83&amp;"")))</f>
        <v/>
      </c>
      <c r="F83" s="150"/>
      <c r="G83" s="150"/>
      <c r="H83" s="150"/>
      <c r="I83" s="151"/>
      <c r="J83" s="41" t="str">
        <f aca="false">IF($E83="","",$E83&amp;"|"&amp;COUNTIF($E$5:$E83,$E83))</f>
        <v/>
      </c>
      <c r="K83" s="40" t="str">
        <f aca="false">IF($I83="","",LEN($I83))</f>
        <v/>
      </c>
      <c r="L83" s="13"/>
      <c r="M83" s="13"/>
      <c r="N83" s="13"/>
      <c r="O83" s="13"/>
      <c r="P83" s="152"/>
      <c r="Q83" s="149"/>
      <c r="R83" s="152"/>
      <c r="S83" s="152"/>
      <c r="T83" s="62" t="str">
        <f aca="false">IF(OR($C83="",R83=""),"",IF(R83/IF($R$2="",100,$R$2)&gt;=設定!$I$28,設定!$G$8,IF(R83/IF($R$2="",100,$R$2)&lt;設定!$I$29,設定!$G$10,設定!$G$9)))</f>
        <v/>
      </c>
      <c r="U83" s="62" t="str">
        <f aca="false">IF(OR($C83="",S83=""),"",IF(S83/IF($S$2="",100,$S$2)&gt;=設定!$I$28,設定!$G$8,IF(S83/IF($S$2="",100,$S$2)&lt;設定!$I$29,設定!$G$10,設定!$G$9)))</f>
        <v/>
      </c>
    </row>
    <row r="84" customFormat="false" ht="21" hidden="false" customHeight="true" outlineLevel="0" collapsed="false">
      <c r="A84" s="91" t="str">
        <f aca="false">IF(名簿!$D84="","",名簿!$B84&amp;"")</f>
        <v/>
      </c>
      <c r="B84" s="91" t="str">
        <f aca="false">IF(名簿!$D84="","",名簿!$C84)</f>
        <v/>
      </c>
      <c r="C84" s="59" t="str">
        <f aca="false">IF(名簿!$D84="","",名簿!$D84&amp;IF(名簿!$F84="転出","（転出）",""))</f>
        <v/>
      </c>
      <c r="D84" s="149"/>
      <c r="E84" s="61" t="str">
        <f aca="false">IF(OR($C84="",名簿!$F84="転出"),"",IF($C$2="学級ごと",$A84,IF($C$2="前の単元と同じ",単元13!$E84&amp;"",$D84&amp;"")))</f>
        <v/>
      </c>
      <c r="F84" s="150"/>
      <c r="G84" s="150"/>
      <c r="H84" s="150"/>
      <c r="I84" s="151"/>
      <c r="J84" s="41" t="str">
        <f aca="false">IF($E84="","",$E84&amp;"|"&amp;COUNTIF($E$5:$E84,$E84))</f>
        <v/>
      </c>
      <c r="K84" s="40" t="str">
        <f aca="false">IF($I84="","",LEN($I84))</f>
        <v/>
      </c>
      <c r="L84" s="13"/>
      <c r="M84" s="13"/>
      <c r="N84" s="13"/>
      <c r="O84" s="13"/>
      <c r="P84" s="152"/>
      <c r="Q84" s="149"/>
      <c r="R84" s="152"/>
      <c r="S84" s="152"/>
      <c r="T84" s="62" t="str">
        <f aca="false">IF(OR($C84="",R84=""),"",IF(R84/IF($R$2="",100,$R$2)&gt;=設定!$I$28,設定!$G$8,IF(R84/IF($R$2="",100,$R$2)&lt;設定!$I$29,設定!$G$10,設定!$G$9)))</f>
        <v/>
      </c>
      <c r="U84" s="62" t="str">
        <f aca="false">IF(OR($C84="",S84=""),"",IF(S84/IF($S$2="",100,$S$2)&gt;=設定!$I$28,設定!$G$8,IF(S84/IF($S$2="",100,$S$2)&lt;設定!$I$29,設定!$G$10,設定!$G$9)))</f>
        <v/>
      </c>
    </row>
    <row r="85" customFormat="false" ht="21" hidden="false" customHeight="true" outlineLevel="0" collapsed="false">
      <c r="A85" s="91" t="str">
        <f aca="false">IF(名簿!$D85="","",名簿!$B85&amp;"")</f>
        <v/>
      </c>
      <c r="B85" s="91" t="str">
        <f aca="false">IF(名簿!$D85="","",名簿!$C85)</f>
        <v/>
      </c>
      <c r="C85" s="59" t="str">
        <f aca="false">IF(名簿!$D85="","",名簿!$D85&amp;IF(名簿!$F85="転出","（転出）",""))</f>
        <v/>
      </c>
      <c r="D85" s="149"/>
      <c r="E85" s="61" t="str">
        <f aca="false">IF(OR($C85="",名簿!$F85="転出"),"",IF($C$2="学級ごと",$A85,IF($C$2="前の単元と同じ",単元13!$E85&amp;"",$D85&amp;"")))</f>
        <v/>
      </c>
      <c r="F85" s="150"/>
      <c r="G85" s="150"/>
      <c r="H85" s="150"/>
      <c r="I85" s="151"/>
      <c r="J85" s="41" t="str">
        <f aca="false">IF($E85="","",$E85&amp;"|"&amp;COUNTIF($E$5:$E85,$E85))</f>
        <v/>
      </c>
      <c r="K85" s="40" t="str">
        <f aca="false">IF($I85="","",LEN($I85))</f>
        <v/>
      </c>
      <c r="L85" s="13"/>
      <c r="M85" s="13"/>
      <c r="N85" s="13"/>
      <c r="O85" s="13"/>
      <c r="P85" s="152"/>
      <c r="Q85" s="149"/>
      <c r="R85" s="152"/>
      <c r="S85" s="152"/>
      <c r="T85" s="62" t="str">
        <f aca="false">IF(OR($C85="",R85=""),"",IF(R85/IF($R$2="",100,$R$2)&gt;=設定!$I$28,設定!$G$8,IF(R85/IF($R$2="",100,$R$2)&lt;設定!$I$29,設定!$G$10,設定!$G$9)))</f>
        <v/>
      </c>
      <c r="U85" s="62" t="str">
        <f aca="false">IF(OR($C85="",S85=""),"",IF(S85/IF($S$2="",100,$S$2)&gt;=設定!$I$28,設定!$G$8,IF(S85/IF($S$2="",100,$S$2)&lt;設定!$I$29,設定!$G$10,設定!$G$9)))</f>
        <v/>
      </c>
    </row>
    <row r="86" customFormat="false" ht="21" hidden="false" customHeight="true" outlineLevel="0" collapsed="false">
      <c r="A86" s="91" t="str">
        <f aca="false">IF(名簿!$D86="","",名簿!$B86&amp;"")</f>
        <v/>
      </c>
      <c r="B86" s="91" t="str">
        <f aca="false">IF(名簿!$D86="","",名簿!$C86)</f>
        <v/>
      </c>
      <c r="C86" s="59" t="str">
        <f aca="false">IF(名簿!$D86="","",名簿!$D86&amp;IF(名簿!$F86="転出","（転出）",""))</f>
        <v/>
      </c>
      <c r="D86" s="149"/>
      <c r="E86" s="61" t="str">
        <f aca="false">IF(OR($C86="",名簿!$F86="転出"),"",IF($C$2="学級ごと",$A86,IF($C$2="前の単元と同じ",単元13!$E86&amp;"",$D86&amp;"")))</f>
        <v/>
      </c>
      <c r="F86" s="150"/>
      <c r="G86" s="150"/>
      <c r="H86" s="150"/>
      <c r="I86" s="151"/>
      <c r="J86" s="41" t="str">
        <f aca="false">IF($E86="","",$E86&amp;"|"&amp;COUNTIF($E$5:$E86,$E86))</f>
        <v/>
      </c>
      <c r="K86" s="40" t="str">
        <f aca="false">IF($I86="","",LEN($I86))</f>
        <v/>
      </c>
      <c r="L86" s="13"/>
      <c r="M86" s="13"/>
      <c r="N86" s="13"/>
      <c r="O86" s="13"/>
      <c r="P86" s="152"/>
      <c r="Q86" s="149"/>
      <c r="R86" s="152"/>
      <c r="S86" s="152"/>
      <c r="T86" s="62" t="str">
        <f aca="false">IF(OR($C86="",R86=""),"",IF(R86/IF($R$2="",100,$R$2)&gt;=設定!$I$28,設定!$G$8,IF(R86/IF($R$2="",100,$R$2)&lt;設定!$I$29,設定!$G$10,設定!$G$9)))</f>
        <v/>
      </c>
      <c r="U86" s="62" t="str">
        <f aca="false">IF(OR($C86="",S86=""),"",IF(S86/IF($S$2="",100,$S$2)&gt;=設定!$I$28,設定!$G$8,IF(S86/IF($S$2="",100,$S$2)&lt;設定!$I$29,設定!$G$10,設定!$G$9)))</f>
        <v/>
      </c>
    </row>
    <row r="87" customFormat="false" ht="21" hidden="false" customHeight="true" outlineLevel="0" collapsed="false">
      <c r="A87" s="91" t="str">
        <f aca="false">IF(名簿!$D87="","",名簿!$B87&amp;"")</f>
        <v/>
      </c>
      <c r="B87" s="91" t="str">
        <f aca="false">IF(名簿!$D87="","",名簿!$C87)</f>
        <v/>
      </c>
      <c r="C87" s="59" t="str">
        <f aca="false">IF(名簿!$D87="","",名簿!$D87&amp;IF(名簿!$F87="転出","（転出）",""))</f>
        <v/>
      </c>
      <c r="D87" s="149"/>
      <c r="E87" s="61" t="str">
        <f aca="false">IF(OR($C87="",名簿!$F87="転出"),"",IF($C$2="学級ごと",$A87,IF($C$2="前の単元と同じ",単元13!$E87&amp;"",$D87&amp;"")))</f>
        <v/>
      </c>
      <c r="F87" s="150"/>
      <c r="G87" s="150"/>
      <c r="H87" s="150"/>
      <c r="I87" s="151"/>
      <c r="J87" s="41" t="str">
        <f aca="false">IF($E87="","",$E87&amp;"|"&amp;COUNTIF($E$5:$E87,$E87))</f>
        <v/>
      </c>
      <c r="K87" s="40" t="str">
        <f aca="false">IF($I87="","",LEN($I87))</f>
        <v/>
      </c>
      <c r="L87" s="13"/>
      <c r="M87" s="13"/>
      <c r="N87" s="13"/>
      <c r="O87" s="13"/>
      <c r="P87" s="152"/>
      <c r="Q87" s="149"/>
      <c r="R87" s="152"/>
      <c r="S87" s="152"/>
      <c r="T87" s="62" t="str">
        <f aca="false">IF(OR($C87="",R87=""),"",IF(R87/IF($R$2="",100,$R$2)&gt;=設定!$I$28,設定!$G$8,IF(R87/IF($R$2="",100,$R$2)&lt;設定!$I$29,設定!$G$10,設定!$G$9)))</f>
        <v/>
      </c>
      <c r="U87" s="62" t="str">
        <f aca="false">IF(OR($C87="",S87=""),"",IF(S87/IF($S$2="",100,$S$2)&gt;=設定!$I$28,設定!$G$8,IF(S87/IF($S$2="",100,$S$2)&lt;設定!$I$29,設定!$G$10,設定!$G$9)))</f>
        <v/>
      </c>
    </row>
    <row r="88" customFormat="false" ht="21" hidden="false" customHeight="true" outlineLevel="0" collapsed="false">
      <c r="A88" s="91" t="str">
        <f aca="false">IF(名簿!$D88="","",名簿!$B88&amp;"")</f>
        <v/>
      </c>
      <c r="B88" s="91" t="str">
        <f aca="false">IF(名簿!$D88="","",名簿!$C88)</f>
        <v/>
      </c>
      <c r="C88" s="59" t="str">
        <f aca="false">IF(名簿!$D88="","",名簿!$D88&amp;IF(名簿!$F88="転出","（転出）",""))</f>
        <v/>
      </c>
      <c r="D88" s="149"/>
      <c r="E88" s="61" t="str">
        <f aca="false">IF(OR($C88="",名簿!$F88="転出"),"",IF($C$2="学級ごと",$A88,IF($C$2="前の単元と同じ",単元13!$E88&amp;"",$D88&amp;"")))</f>
        <v/>
      </c>
      <c r="F88" s="150"/>
      <c r="G88" s="150"/>
      <c r="H88" s="150"/>
      <c r="I88" s="151"/>
      <c r="J88" s="41" t="str">
        <f aca="false">IF($E88="","",$E88&amp;"|"&amp;COUNTIF($E$5:$E88,$E88))</f>
        <v/>
      </c>
      <c r="K88" s="40" t="str">
        <f aca="false">IF($I88="","",LEN($I88))</f>
        <v/>
      </c>
      <c r="L88" s="13"/>
      <c r="M88" s="13"/>
      <c r="N88" s="13"/>
      <c r="O88" s="13"/>
      <c r="P88" s="152"/>
      <c r="Q88" s="149"/>
      <c r="R88" s="152"/>
      <c r="S88" s="152"/>
      <c r="T88" s="62" t="str">
        <f aca="false">IF(OR($C88="",R88=""),"",IF(R88/IF($R$2="",100,$R$2)&gt;=設定!$I$28,設定!$G$8,IF(R88/IF($R$2="",100,$R$2)&lt;設定!$I$29,設定!$G$10,設定!$G$9)))</f>
        <v/>
      </c>
      <c r="U88" s="62" t="str">
        <f aca="false">IF(OR($C88="",S88=""),"",IF(S88/IF($S$2="",100,$S$2)&gt;=設定!$I$28,設定!$G$8,IF(S88/IF($S$2="",100,$S$2)&lt;設定!$I$29,設定!$G$10,設定!$G$9)))</f>
        <v/>
      </c>
    </row>
    <row r="89" customFormat="false" ht="21" hidden="false" customHeight="true" outlineLevel="0" collapsed="false">
      <c r="A89" s="91" t="str">
        <f aca="false">IF(名簿!$D89="","",名簿!$B89&amp;"")</f>
        <v/>
      </c>
      <c r="B89" s="91" t="str">
        <f aca="false">IF(名簿!$D89="","",名簿!$C89)</f>
        <v/>
      </c>
      <c r="C89" s="59" t="str">
        <f aca="false">IF(名簿!$D89="","",名簿!$D89&amp;IF(名簿!$F89="転出","（転出）",""))</f>
        <v/>
      </c>
      <c r="D89" s="149"/>
      <c r="E89" s="61" t="str">
        <f aca="false">IF(OR($C89="",名簿!$F89="転出"),"",IF($C$2="学級ごと",$A89,IF($C$2="前の単元と同じ",単元13!$E89&amp;"",$D89&amp;"")))</f>
        <v/>
      </c>
      <c r="F89" s="150"/>
      <c r="G89" s="150"/>
      <c r="H89" s="150"/>
      <c r="I89" s="151"/>
      <c r="J89" s="41" t="str">
        <f aca="false">IF($E89="","",$E89&amp;"|"&amp;COUNTIF($E$5:$E89,$E89))</f>
        <v/>
      </c>
      <c r="K89" s="40" t="str">
        <f aca="false">IF($I89="","",LEN($I89))</f>
        <v/>
      </c>
      <c r="L89" s="13"/>
      <c r="M89" s="13"/>
      <c r="N89" s="13"/>
      <c r="O89" s="13"/>
      <c r="P89" s="152"/>
      <c r="Q89" s="149"/>
      <c r="R89" s="152"/>
      <c r="S89" s="152"/>
      <c r="T89" s="62" t="str">
        <f aca="false">IF(OR($C89="",R89=""),"",IF(R89/IF($R$2="",100,$R$2)&gt;=設定!$I$28,設定!$G$8,IF(R89/IF($R$2="",100,$R$2)&lt;設定!$I$29,設定!$G$10,設定!$G$9)))</f>
        <v/>
      </c>
      <c r="U89" s="62" t="str">
        <f aca="false">IF(OR($C89="",S89=""),"",IF(S89/IF($S$2="",100,$S$2)&gt;=設定!$I$28,設定!$G$8,IF(S89/IF($S$2="",100,$S$2)&lt;設定!$I$29,設定!$G$10,設定!$G$9)))</f>
        <v/>
      </c>
    </row>
    <row r="90" customFormat="false" ht="21" hidden="false" customHeight="true" outlineLevel="0" collapsed="false">
      <c r="A90" s="91" t="str">
        <f aca="false">IF(名簿!$D90="","",名簿!$B90&amp;"")</f>
        <v/>
      </c>
      <c r="B90" s="91" t="str">
        <f aca="false">IF(名簿!$D90="","",名簿!$C90)</f>
        <v/>
      </c>
      <c r="C90" s="59" t="str">
        <f aca="false">IF(名簿!$D90="","",名簿!$D90&amp;IF(名簿!$F90="転出","（転出）",""))</f>
        <v/>
      </c>
      <c r="D90" s="149"/>
      <c r="E90" s="61" t="str">
        <f aca="false">IF(OR($C90="",名簿!$F90="転出"),"",IF($C$2="学級ごと",$A90,IF($C$2="前の単元と同じ",単元13!$E90&amp;"",$D90&amp;"")))</f>
        <v/>
      </c>
      <c r="F90" s="150"/>
      <c r="G90" s="150"/>
      <c r="H90" s="150"/>
      <c r="I90" s="151"/>
      <c r="J90" s="41" t="str">
        <f aca="false">IF($E90="","",$E90&amp;"|"&amp;COUNTIF($E$5:$E90,$E90))</f>
        <v/>
      </c>
      <c r="K90" s="40" t="str">
        <f aca="false">IF($I90="","",LEN($I90))</f>
        <v/>
      </c>
      <c r="L90" s="13"/>
      <c r="M90" s="13"/>
      <c r="N90" s="13"/>
      <c r="O90" s="13"/>
      <c r="P90" s="152"/>
      <c r="Q90" s="149"/>
      <c r="R90" s="152"/>
      <c r="S90" s="152"/>
      <c r="T90" s="62" t="str">
        <f aca="false">IF(OR($C90="",R90=""),"",IF(R90/IF($R$2="",100,$R$2)&gt;=設定!$I$28,設定!$G$8,IF(R90/IF($R$2="",100,$R$2)&lt;設定!$I$29,設定!$G$10,設定!$G$9)))</f>
        <v/>
      </c>
      <c r="U90" s="62" t="str">
        <f aca="false">IF(OR($C90="",S90=""),"",IF(S90/IF($S$2="",100,$S$2)&gt;=設定!$I$28,設定!$G$8,IF(S90/IF($S$2="",100,$S$2)&lt;設定!$I$29,設定!$G$10,設定!$G$9)))</f>
        <v/>
      </c>
    </row>
    <row r="91" customFormat="false" ht="21" hidden="false" customHeight="true" outlineLevel="0" collapsed="false">
      <c r="A91" s="91" t="str">
        <f aca="false">IF(名簿!$D91="","",名簿!$B91&amp;"")</f>
        <v/>
      </c>
      <c r="B91" s="91" t="str">
        <f aca="false">IF(名簿!$D91="","",名簿!$C91)</f>
        <v/>
      </c>
      <c r="C91" s="59" t="str">
        <f aca="false">IF(名簿!$D91="","",名簿!$D91&amp;IF(名簿!$F91="転出","（転出）",""))</f>
        <v/>
      </c>
      <c r="D91" s="149"/>
      <c r="E91" s="61" t="str">
        <f aca="false">IF(OR($C91="",名簿!$F91="転出"),"",IF($C$2="学級ごと",$A91,IF($C$2="前の単元と同じ",単元13!$E91&amp;"",$D91&amp;"")))</f>
        <v/>
      </c>
      <c r="F91" s="150"/>
      <c r="G91" s="150"/>
      <c r="H91" s="150"/>
      <c r="I91" s="151"/>
      <c r="J91" s="41" t="str">
        <f aca="false">IF($E91="","",$E91&amp;"|"&amp;COUNTIF($E$5:$E91,$E91))</f>
        <v/>
      </c>
      <c r="K91" s="40" t="str">
        <f aca="false">IF($I91="","",LEN($I91))</f>
        <v/>
      </c>
      <c r="L91" s="13"/>
      <c r="M91" s="13"/>
      <c r="N91" s="13"/>
      <c r="O91" s="13"/>
      <c r="P91" s="152"/>
      <c r="Q91" s="149"/>
      <c r="R91" s="152"/>
      <c r="S91" s="152"/>
      <c r="T91" s="62" t="str">
        <f aca="false">IF(OR($C91="",R91=""),"",IF(R91/IF($R$2="",100,$R$2)&gt;=設定!$I$28,設定!$G$8,IF(R91/IF($R$2="",100,$R$2)&lt;設定!$I$29,設定!$G$10,設定!$G$9)))</f>
        <v/>
      </c>
      <c r="U91" s="62" t="str">
        <f aca="false">IF(OR($C91="",S91=""),"",IF(S91/IF($S$2="",100,$S$2)&gt;=設定!$I$28,設定!$G$8,IF(S91/IF($S$2="",100,$S$2)&lt;設定!$I$29,設定!$G$10,設定!$G$9)))</f>
        <v/>
      </c>
    </row>
    <row r="92" customFormat="false" ht="21" hidden="false" customHeight="true" outlineLevel="0" collapsed="false">
      <c r="A92" s="91" t="str">
        <f aca="false">IF(名簿!$D92="","",名簿!$B92&amp;"")</f>
        <v/>
      </c>
      <c r="B92" s="91" t="str">
        <f aca="false">IF(名簿!$D92="","",名簿!$C92)</f>
        <v/>
      </c>
      <c r="C92" s="59" t="str">
        <f aca="false">IF(名簿!$D92="","",名簿!$D92&amp;IF(名簿!$F92="転出","（転出）",""))</f>
        <v/>
      </c>
      <c r="D92" s="149"/>
      <c r="E92" s="61" t="str">
        <f aca="false">IF(OR($C92="",名簿!$F92="転出"),"",IF($C$2="学級ごと",$A92,IF($C$2="前の単元と同じ",単元13!$E92&amp;"",$D92&amp;"")))</f>
        <v/>
      </c>
      <c r="F92" s="150"/>
      <c r="G92" s="150"/>
      <c r="H92" s="150"/>
      <c r="I92" s="151"/>
      <c r="J92" s="41" t="str">
        <f aca="false">IF($E92="","",$E92&amp;"|"&amp;COUNTIF($E$5:$E92,$E92))</f>
        <v/>
      </c>
      <c r="K92" s="40" t="str">
        <f aca="false">IF($I92="","",LEN($I92))</f>
        <v/>
      </c>
      <c r="L92" s="13"/>
      <c r="M92" s="13"/>
      <c r="N92" s="13"/>
      <c r="O92" s="13"/>
      <c r="P92" s="152"/>
      <c r="Q92" s="149"/>
      <c r="R92" s="152"/>
      <c r="S92" s="152"/>
      <c r="T92" s="62" t="str">
        <f aca="false">IF(OR($C92="",R92=""),"",IF(R92/IF($R$2="",100,$R$2)&gt;=設定!$I$28,設定!$G$8,IF(R92/IF($R$2="",100,$R$2)&lt;設定!$I$29,設定!$G$10,設定!$G$9)))</f>
        <v/>
      </c>
      <c r="U92" s="62" t="str">
        <f aca="false">IF(OR($C92="",S92=""),"",IF(S92/IF($S$2="",100,$S$2)&gt;=設定!$I$28,設定!$G$8,IF(S92/IF($S$2="",100,$S$2)&lt;設定!$I$29,設定!$G$10,設定!$G$9)))</f>
        <v/>
      </c>
    </row>
    <row r="93" customFormat="false" ht="21" hidden="false" customHeight="true" outlineLevel="0" collapsed="false">
      <c r="A93" s="91" t="str">
        <f aca="false">IF(名簿!$D93="","",名簿!$B93&amp;"")</f>
        <v/>
      </c>
      <c r="B93" s="91" t="str">
        <f aca="false">IF(名簿!$D93="","",名簿!$C93)</f>
        <v/>
      </c>
      <c r="C93" s="59" t="str">
        <f aca="false">IF(名簿!$D93="","",名簿!$D93&amp;IF(名簿!$F93="転出","（転出）",""))</f>
        <v/>
      </c>
      <c r="D93" s="149"/>
      <c r="E93" s="61" t="str">
        <f aca="false">IF(OR($C93="",名簿!$F93="転出"),"",IF($C$2="学級ごと",$A93,IF($C$2="前の単元と同じ",単元13!$E93&amp;"",$D93&amp;"")))</f>
        <v/>
      </c>
      <c r="F93" s="150"/>
      <c r="G93" s="150"/>
      <c r="H93" s="150"/>
      <c r="I93" s="151"/>
      <c r="J93" s="41" t="str">
        <f aca="false">IF($E93="","",$E93&amp;"|"&amp;COUNTIF($E$5:$E93,$E93))</f>
        <v/>
      </c>
      <c r="K93" s="40" t="str">
        <f aca="false">IF($I93="","",LEN($I93))</f>
        <v/>
      </c>
      <c r="L93" s="13"/>
      <c r="M93" s="13"/>
      <c r="N93" s="13"/>
      <c r="O93" s="13"/>
      <c r="P93" s="152"/>
      <c r="Q93" s="149"/>
      <c r="R93" s="152"/>
      <c r="S93" s="152"/>
      <c r="T93" s="62" t="str">
        <f aca="false">IF(OR($C93="",R93=""),"",IF(R93/IF($R$2="",100,$R$2)&gt;=設定!$I$28,設定!$G$8,IF(R93/IF($R$2="",100,$R$2)&lt;設定!$I$29,設定!$G$10,設定!$G$9)))</f>
        <v/>
      </c>
      <c r="U93" s="62" t="str">
        <f aca="false">IF(OR($C93="",S93=""),"",IF(S93/IF($S$2="",100,$S$2)&gt;=設定!$I$28,設定!$G$8,IF(S93/IF($S$2="",100,$S$2)&lt;設定!$I$29,設定!$G$10,設定!$G$9)))</f>
        <v/>
      </c>
    </row>
    <row r="94" customFormat="false" ht="21" hidden="false" customHeight="true" outlineLevel="0" collapsed="false">
      <c r="A94" s="91" t="str">
        <f aca="false">IF(名簿!$D94="","",名簿!$B94&amp;"")</f>
        <v/>
      </c>
      <c r="B94" s="91" t="str">
        <f aca="false">IF(名簿!$D94="","",名簿!$C94)</f>
        <v/>
      </c>
      <c r="C94" s="59" t="str">
        <f aca="false">IF(名簿!$D94="","",名簿!$D94&amp;IF(名簿!$F94="転出","（転出）",""))</f>
        <v/>
      </c>
      <c r="D94" s="149"/>
      <c r="E94" s="61" t="str">
        <f aca="false">IF(OR($C94="",名簿!$F94="転出"),"",IF($C$2="学級ごと",$A94,IF($C$2="前の単元と同じ",単元13!$E94&amp;"",$D94&amp;"")))</f>
        <v/>
      </c>
      <c r="F94" s="150"/>
      <c r="G94" s="150"/>
      <c r="H94" s="150"/>
      <c r="I94" s="151"/>
      <c r="J94" s="41" t="str">
        <f aca="false">IF($E94="","",$E94&amp;"|"&amp;COUNTIF($E$5:$E94,$E94))</f>
        <v/>
      </c>
      <c r="K94" s="40" t="str">
        <f aca="false">IF($I94="","",LEN($I94))</f>
        <v/>
      </c>
      <c r="L94" s="13"/>
      <c r="M94" s="13"/>
      <c r="N94" s="13"/>
      <c r="O94" s="13"/>
      <c r="P94" s="152"/>
      <c r="Q94" s="149"/>
      <c r="R94" s="152"/>
      <c r="S94" s="152"/>
      <c r="T94" s="62" t="str">
        <f aca="false">IF(OR($C94="",R94=""),"",IF(R94/IF($R$2="",100,$R$2)&gt;=設定!$I$28,設定!$G$8,IF(R94/IF($R$2="",100,$R$2)&lt;設定!$I$29,設定!$G$10,設定!$G$9)))</f>
        <v/>
      </c>
      <c r="U94" s="62" t="str">
        <f aca="false">IF(OR($C94="",S94=""),"",IF(S94/IF($S$2="",100,$S$2)&gt;=設定!$I$28,設定!$G$8,IF(S94/IF($S$2="",100,$S$2)&lt;設定!$I$29,設定!$G$10,設定!$G$9)))</f>
        <v/>
      </c>
    </row>
    <row r="95" customFormat="false" ht="21" hidden="false" customHeight="true" outlineLevel="0" collapsed="false">
      <c r="A95" s="91" t="str">
        <f aca="false">IF(名簿!$D95="","",名簿!$B95&amp;"")</f>
        <v/>
      </c>
      <c r="B95" s="91" t="str">
        <f aca="false">IF(名簿!$D95="","",名簿!$C95)</f>
        <v/>
      </c>
      <c r="C95" s="59" t="str">
        <f aca="false">IF(名簿!$D95="","",名簿!$D95&amp;IF(名簿!$F95="転出","（転出）",""))</f>
        <v/>
      </c>
      <c r="D95" s="149"/>
      <c r="E95" s="61" t="str">
        <f aca="false">IF(OR($C95="",名簿!$F95="転出"),"",IF($C$2="学級ごと",$A95,IF($C$2="前の単元と同じ",単元13!$E95&amp;"",$D95&amp;"")))</f>
        <v/>
      </c>
      <c r="F95" s="150"/>
      <c r="G95" s="150"/>
      <c r="H95" s="150"/>
      <c r="I95" s="151"/>
      <c r="J95" s="41" t="str">
        <f aca="false">IF($E95="","",$E95&amp;"|"&amp;COUNTIF($E$5:$E95,$E95))</f>
        <v/>
      </c>
      <c r="K95" s="40" t="str">
        <f aca="false">IF($I95="","",LEN($I95))</f>
        <v/>
      </c>
      <c r="L95" s="13"/>
      <c r="M95" s="13"/>
      <c r="N95" s="13"/>
      <c r="O95" s="13"/>
      <c r="P95" s="152"/>
      <c r="Q95" s="149"/>
      <c r="R95" s="152"/>
      <c r="S95" s="152"/>
      <c r="T95" s="62" t="str">
        <f aca="false">IF(OR($C95="",R95=""),"",IF(R95/IF($R$2="",100,$R$2)&gt;=設定!$I$28,設定!$G$8,IF(R95/IF($R$2="",100,$R$2)&lt;設定!$I$29,設定!$G$10,設定!$G$9)))</f>
        <v/>
      </c>
      <c r="U95" s="62" t="str">
        <f aca="false">IF(OR($C95="",S95=""),"",IF(S95/IF($S$2="",100,$S$2)&gt;=設定!$I$28,設定!$G$8,IF(S95/IF($S$2="",100,$S$2)&lt;設定!$I$29,設定!$G$10,設定!$G$9)))</f>
        <v/>
      </c>
    </row>
    <row r="96" customFormat="false" ht="21" hidden="false" customHeight="true" outlineLevel="0" collapsed="false">
      <c r="A96" s="91" t="str">
        <f aca="false">IF(名簿!$D96="","",名簿!$B96&amp;"")</f>
        <v/>
      </c>
      <c r="B96" s="91" t="str">
        <f aca="false">IF(名簿!$D96="","",名簿!$C96)</f>
        <v/>
      </c>
      <c r="C96" s="59" t="str">
        <f aca="false">IF(名簿!$D96="","",名簿!$D96&amp;IF(名簿!$F96="転出","（転出）",""))</f>
        <v/>
      </c>
      <c r="D96" s="149"/>
      <c r="E96" s="61" t="str">
        <f aca="false">IF(OR($C96="",名簿!$F96="転出"),"",IF($C$2="学級ごと",$A96,IF($C$2="前の単元と同じ",単元13!$E96&amp;"",$D96&amp;"")))</f>
        <v/>
      </c>
      <c r="F96" s="150"/>
      <c r="G96" s="150"/>
      <c r="H96" s="150"/>
      <c r="I96" s="151"/>
      <c r="J96" s="41" t="str">
        <f aca="false">IF($E96="","",$E96&amp;"|"&amp;COUNTIF($E$5:$E96,$E96))</f>
        <v/>
      </c>
      <c r="K96" s="40" t="str">
        <f aca="false">IF($I96="","",LEN($I96))</f>
        <v/>
      </c>
      <c r="L96" s="13"/>
      <c r="M96" s="13"/>
      <c r="N96" s="13"/>
      <c r="O96" s="13"/>
      <c r="P96" s="152"/>
      <c r="Q96" s="149"/>
      <c r="R96" s="152"/>
      <c r="S96" s="152"/>
      <c r="T96" s="62" t="str">
        <f aca="false">IF(OR($C96="",R96=""),"",IF(R96/IF($R$2="",100,$R$2)&gt;=設定!$I$28,設定!$G$8,IF(R96/IF($R$2="",100,$R$2)&lt;設定!$I$29,設定!$G$10,設定!$G$9)))</f>
        <v/>
      </c>
      <c r="U96" s="62" t="str">
        <f aca="false">IF(OR($C96="",S96=""),"",IF(S96/IF($S$2="",100,$S$2)&gt;=設定!$I$28,設定!$G$8,IF(S96/IF($S$2="",100,$S$2)&lt;設定!$I$29,設定!$G$10,設定!$G$9)))</f>
        <v/>
      </c>
    </row>
    <row r="97" customFormat="false" ht="21" hidden="false" customHeight="true" outlineLevel="0" collapsed="false">
      <c r="A97" s="91" t="str">
        <f aca="false">IF(名簿!$D97="","",名簿!$B97&amp;"")</f>
        <v/>
      </c>
      <c r="B97" s="91" t="str">
        <f aca="false">IF(名簿!$D97="","",名簿!$C97)</f>
        <v/>
      </c>
      <c r="C97" s="59" t="str">
        <f aca="false">IF(名簿!$D97="","",名簿!$D97&amp;IF(名簿!$F97="転出","（転出）",""))</f>
        <v/>
      </c>
      <c r="D97" s="149"/>
      <c r="E97" s="61" t="str">
        <f aca="false">IF(OR($C97="",名簿!$F97="転出"),"",IF($C$2="学級ごと",$A97,IF($C$2="前の単元と同じ",単元13!$E97&amp;"",$D97&amp;"")))</f>
        <v/>
      </c>
      <c r="F97" s="150"/>
      <c r="G97" s="150"/>
      <c r="H97" s="150"/>
      <c r="I97" s="151"/>
      <c r="J97" s="41" t="str">
        <f aca="false">IF($E97="","",$E97&amp;"|"&amp;COUNTIF($E$5:$E97,$E97))</f>
        <v/>
      </c>
      <c r="K97" s="40" t="str">
        <f aca="false">IF($I97="","",LEN($I97))</f>
        <v/>
      </c>
      <c r="L97" s="13"/>
      <c r="M97" s="13"/>
      <c r="N97" s="13"/>
      <c r="O97" s="13"/>
      <c r="P97" s="152"/>
      <c r="Q97" s="149"/>
      <c r="R97" s="152"/>
      <c r="S97" s="152"/>
      <c r="T97" s="62" t="str">
        <f aca="false">IF(OR($C97="",R97=""),"",IF(R97/IF($R$2="",100,$R$2)&gt;=設定!$I$28,設定!$G$8,IF(R97/IF($R$2="",100,$R$2)&lt;設定!$I$29,設定!$G$10,設定!$G$9)))</f>
        <v/>
      </c>
      <c r="U97" s="62" t="str">
        <f aca="false">IF(OR($C97="",S97=""),"",IF(S97/IF($S$2="",100,$S$2)&gt;=設定!$I$28,設定!$G$8,IF(S97/IF($S$2="",100,$S$2)&lt;設定!$I$29,設定!$G$10,設定!$G$9)))</f>
        <v/>
      </c>
    </row>
    <row r="98" customFormat="false" ht="21" hidden="false" customHeight="true" outlineLevel="0" collapsed="false">
      <c r="A98" s="91" t="str">
        <f aca="false">IF(名簿!$D98="","",名簿!$B98&amp;"")</f>
        <v/>
      </c>
      <c r="B98" s="91" t="str">
        <f aca="false">IF(名簿!$D98="","",名簿!$C98)</f>
        <v/>
      </c>
      <c r="C98" s="59" t="str">
        <f aca="false">IF(名簿!$D98="","",名簿!$D98&amp;IF(名簿!$F98="転出","（転出）",""))</f>
        <v/>
      </c>
      <c r="D98" s="149"/>
      <c r="E98" s="61" t="str">
        <f aca="false">IF(OR($C98="",名簿!$F98="転出"),"",IF($C$2="学級ごと",$A98,IF($C$2="前の単元と同じ",単元13!$E98&amp;"",$D98&amp;"")))</f>
        <v/>
      </c>
      <c r="F98" s="150"/>
      <c r="G98" s="150"/>
      <c r="H98" s="150"/>
      <c r="I98" s="151"/>
      <c r="J98" s="41" t="str">
        <f aca="false">IF($E98="","",$E98&amp;"|"&amp;COUNTIF($E$5:$E98,$E98))</f>
        <v/>
      </c>
      <c r="K98" s="40" t="str">
        <f aca="false">IF($I98="","",LEN($I98))</f>
        <v/>
      </c>
      <c r="L98" s="13"/>
      <c r="M98" s="13"/>
      <c r="N98" s="13"/>
      <c r="O98" s="13"/>
      <c r="P98" s="152"/>
      <c r="Q98" s="149"/>
      <c r="R98" s="152"/>
      <c r="S98" s="152"/>
      <c r="T98" s="62" t="str">
        <f aca="false">IF(OR($C98="",R98=""),"",IF(R98/IF($R$2="",100,$R$2)&gt;=設定!$I$28,設定!$G$8,IF(R98/IF($R$2="",100,$R$2)&lt;設定!$I$29,設定!$G$10,設定!$G$9)))</f>
        <v/>
      </c>
      <c r="U98" s="62" t="str">
        <f aca="false">IF(OR($C98="",S98=""),"",IF(S98/IF($S$2="",100,$S$2)&gt;=設定!$I$28,設定!$G$8,IF(S98/IF($S$2="",100,$S$2)&lt;設定!$I$29,設定!$G$10,設定!$G$9)))</f>
        <v/>
      </c>
    </row>
    <row r="99" customFormat="false" ht="21" hidden="false" customHeight="true" outlineLevel="0" collapsed="false">
      <c r="A99" s="91" t="str">
        <f aca="false">IF(名簿!$D99="","",名簿!$B99&amp;"")</f>
        <v/>
      </c>
      <c r="B99" s="91" t="str">
        <f aca="false">IF(名簿!$D99="","",名簿!$C99)</f>
        <v/>
      </c>
      <c r="C99" s="59" t="str">
        <f aca="false">IF(名簿!$D99="","",名簿!$D99&amp;IF(名簿!$F99="転出","（転出）",""))</f>
        <v/>
      </c>
      <c r="D99" s="149"/>
      <c r="E99" s="61" t="str">
        <f aca="false">IF(OR($C99="",名簿!$F99="転出"),"",IF($C$2="学級ごと",$A99,IF($C$2="前の単元と同じ",単元13!$E99&amp;"",$D99&amp;"")))</f>
        <v/>
      </c>
      <c r="F99" s="150"/>
      <c r="G99" s="150"/>
      <c r="H99" s="150"/>
      <c r="I99" s="151"/>
      <c r="J99" s="41" t="str">
        <f aca="false">IF($E99="","",$E99&amp;"|"&amp;COUNTIF($E$5:$E99,$E99))</f>
        <v/>
      </c>
      <c r="K99" s="40" t="str">
        <f aca="false">IF($I99="","",LEN($I99))</f>
        <v/>
      </c>
      <c r="L99" s="13"/>
      <c r="M99" s="13"/>
      <c r="N99" s="13"/>
      <c r="O99" s="13"/>
      <c r="P99" s="152"/>
      <c r="Q99" s="149"/>
      <c r="R99" s="152"/>
      <c r="S99" s="152"/>
      <c r="T99" s="62" t="str">
        <f aca="false">IF(OR($C99="",R99=""),"",IF(R99/IF($R$2="",100,$R$2)&gt;=設定!$I$28,設定!$G$8,IF(R99/IF($R$2="",100,$R$2)&lt;設定!$I$29,設定!$G$10,設定!$G$9)))</f>
        <v/>
      </c>
      <c r="U99" s="62" t="str">
        <f aca="false">IF(OR($C99="",S99=""),"",IF(S99/IF($S$2="",100,$S$2)&gt;=設定!$I$28,設定!$G$8,IF(S99/IF($S$2="",100,$S$2)&lt;設定!$I$29,設定!$G$10,設定!$G$9)))</f>
        <v/>
      </c>
    </row>
    <row r="100" customFormat="false" ht="21" hidden="false" customHeight="true" outlineLevel="0" collapsed="false">
      <c r="A100" s="91" t="str">
        <f aca="false">IF(名簿!$D100="","",名簿!$B100&amp;"")</f>
        <v/>
      </c>
      <c r="B100" s="91" t="str">
        <f aca="false">IF(名簿!$D100="","",名簿!$C100)</f>
        <v/>
      </c>
      <c r="C100" s="59" t="str">
        <f aca="false">IF(名簿!$D100="","",名簿!$D100&amp;IF(名簿!$F100="転出","（転出）",""))</f>
        <v/>
      </c>
      <c r="D100" s="149"/>
      <c r="E100" s="61" t="str">
        <f aca="false">IF(OR($C100="",名簿!$F100="転出"),"",IF($C$2="学級ごと",$A100,IF($C$2="前の単元と同じ",単元13!$E100&amp;"",$D100&amp;"")))</f>
        <v/>
      </c>
      <c r="F100" s="150"/>
      <c r="G100" s="150"/>
      <c r="H100" s="150"/>
      <c r="I100" s="151"/>
      <c r="J100" s="41" t="str">
        <f aca="false">IF($E100="","",$E100&amp;"|"&amp;COUNTIF($E$5:$E100,$E100))</f>
        <v/>
      </c>
      <c r="K100" s="40" t="str">
        <f aca="false">IF($I100="","",LEN($I100))</f>
        <v/>
      </c>
      <c r="L100" s="13"/>
      <c r="M100" s="13"/>
      <c r="N100" s="13"/>
      <c r="O100" s="13"/>
      <c r="P100" s="152"/>
      <c r="Q100" s="149"/>
      <c r="R100" s="152"/>
      <c r="S100" s="152"/>
      <c r="T100" s="62" t="str">
        <f aca="false">IF(OR($C100="",R100=""),"",IF(R100/IF($R$2="",100,$R$2)&gt;=設定!$I$28,設定!$G$8,IF(R100/IF($R$2="",100,$R$2)&lt;設定!$I$29,設定!$G$10,設定!$G$9)))</f>
        <v/>
      </c>
      <c r="U100" s="62" t="str">
        <f aca="false">IF(OR($C100="",S100=""),"",IF(S100/IF($S$2="",100,$S$2)&gt;=設定!$I$28,設定!$G$8,IF(S100/IF($S$2="",100,$S$2)&lt;設定!$I$29,設定!$G$10,設定!$G$9)))</f>
        <v/>
      </c>
    </row>
    <row r="101" customFormat="false" ht="21" hidden="false" customHeight="true" outlineLevel="0" collapsed="false">
      <c r="A101" s="91" t="str">
        <f aca="false">IF(名簿!$D101="","",名簿!$B101&amp;"")</f>
        <v/>
      </c>
      <c r="B101" s="91" t="str">
        <f aca="false">IF(名簿!$D101="","",名簿!$C101)</f>
        <v/>
      </c>
      <c r="C101" s="59" t="str">
        <f aca="false">IF(名簿!$D101="","",名簿!$D101&amp;IF(名簿!$F101="転出","（転出）",""))</f>
        <v/>
      </c>
      <c r="D101" s="149"/>
      <c r="E101" s="61" t="str">
        <f aca="false">IF(OR($C101="",名簿!$F101="転出"),"",IF($C$2="学級ごと",$A101,IF($C$2="前の単元と同じ",単元13!$E101&amp;"",$D101&amp;"")))</f>
        <v/>
      </c>
      <c r="F101" s="150"/>
      <c r="G101" s="150"/>
      <c r="H101" s="150"/>
      <c r="I101" s="151"/>
      <c r="J101" s="41" t="str">
        <f aca="false">IF($E101="","",$E101&amp;"|"&amp;COUNTIF($E$5:$E101,$E101))</f>
        <v/>
      </c>
      <c r="K101" s="40" t="str">
        <f aca="false">IF($I101="","",LEN($I101))</f>
        <v/>
      </c>
      <c r="L101" s="13"/>
      <c r="M101" s="13"/>
      <c r="N101" s="13"/>
      <c r="O101" s="13"/>
      <c r="P101" s="152"/>
      <c r="Q101" s="149"/>
      <c r="R101" s="152"/>
      <c r="S101" s="152"/>
      <c r="T101" s="62" t="str">
        <f aca="false">IF(OR($C101="",R101=""),"",IF(R101/IF($R$2="",100,$R$2)&gt;=設定!$I$28,設定!$G$8,IF(R101/IF($R$2="",100,$R$2)&lt;設定!$I$29,設定!$G$10,設定!$G$9)))</f>
        <v/>
      </c>
      <c r="U101" s="62" t="str">
        <f aca="false">IF(OR($C101="",S101=""),"",IF(S101/IF($S$2="",100,$S$2)&gt;=設定!$I$28,設定!$G$8,IF(S101/IF($S$2="",100,$S$2)&lt;設定!$I$29,設定!$G$10,設定!$G$9)))</f>
        <v/>
      </c>
    </row>
    <row r="102" customFormat="false" ht="21" hidden="false" customHeight="true" outlineLevel="0" collapsed="false">
      <c r="A102" s="91" t="str">
        <f aca="false">IF(名簿!$D102="","",名簿!$B102&amp;"")</f>
        <v/>
      </c>
      <c r="B102" s="91" t="str">
        <f aca="false">IF(名簿!$D102="","",名簿!$C102)</f>
        <v/>
      </c>
      <c r="C102" s="59" t="str">
        <f aca="false">IF(名簿!$D102="","",名簿!$D102&amp;IF(名簿!$F102="転出","（転出）",""))</f>
        <v/>
      </c>
      <c r="D102" s="149"/>
      <c r="E102" s="61" t="str">
        <f aca="false">IF(OR($C102="",名簿!$F102="転出"),"",IF($C$2="学級ごと",$A102,IF($C$2="前の単元と同じ",単元13!$E102&amp;"",$D102&amp;"")))</f>
        <v/>
      </c>
      <c r="F102" s="150"/>
      <c r="G102" s="150"/>
      <c r="H102" s="150"/>
      <c r="I102" s="151"/>
      <c r="J102" s="41" t="str">
        <f aca="false">IF($E102="","",$E102&amp;"|"&amp;COUNTIF($E$5:$E102,$E102))</f>
        <v/>
      </c>
      <c r="K102" s="40" t="str">
        <f aca="false">IF($I102="","",LEN($I102))</f>
        <v/>
      </c>
      <c r="L102" s="13"/>
      <c r="M102" s="13"/>
      <c r="N102" s="13"/>
      <c r="O102" s="13"/>
      <c r="P102" s="152"/>
      <c r="Q102" s="149"/>
      <c r="R102" s="152"/>
      <c r="S102" s="152"/>
      <c r="T102" s="62" t="str">
        <f aca="false">IF(OR($C102="",R102=""),"",IF(R102/IF($R$2="",100,$R$2)&gt;=設定!$I$28,設定!$G$8,IF(R102/IF($R$2="",100,$R$2)&lt;設定!$I$29,設定!$G$10,設定!$G$9)))</f>
        <v/>
      </c>
      <c r="U102" s="62" t="str">
        <f aca="false">IF(OR($C102="",S102=""),"",IF(S102/IF($S$2="",100,$S$2)&gt;=設定!$I$28,設定!$G$8,IF(S102/IF($S$2="",100,$S$2)&lt;設定!$I$29,設定!$G$10,設定!$G$9)))</f>
        <v/>
      </c>
    </row>
    <row r="103" customFormat="false" ht="21" hidden="false" customHeight="true" outlineLevel="0" collapsed="false">
      <c r="A103" s="91" t="str">
        <f aca="false">IF(名簿!$D103="","",名簿!$B103&amp;"")</f>
        <v/>
      </c>
      <c r="B103" s="91" t="str">
        <f aca="false">IF(名簿!$D103="","",名簿!$C103)</f>
        <v/>
      </c>
      <c r="C103" s="59" t="str">
        <f aca="false">IF(名簿!$D103="","",名簿!$D103&amp;IF(名簿!$F103="転出","（転出）",""))</f>
        <v/>
      </c>
      <c r="D103" s="149"/>
      <c r="E103" s="61" t="str">
        <f aca="false">IF(OR($C103="",名簿!$F103="転出"),"",IF($C$2="学級ごと",$A103,IF($C$2="前の単元と同じ",単元13!$E103&amp;"",$D103&amp;"")))</f>
        <v/>
      </c>
      <c r="F103" s="150"/>
      <c r="G103" s="150"/>
      <c r="H103" s="150"/>
      <c r="I103" s="151"/>
      <c r="J103" s="41" t="str">
        <f aca="false">IF($E103="","",$E103&amp;"|"&amp;COUNTIF($E$5:$E103,$E103))</f>
        <v/>
      </c>
      <c r="K103" s="40" t="str">
        <f aca="false">IF($I103="","",LEN($I103))</f>
        <v/>
      </c>
      <c r="L103" s="13"/>
      <c r="M103" s="13"/>
      <c r="N103" s="13"/>
      <c r="O103" s="13"/>
      <c r="P103" s="152"/>
      <c r="Q103" s="149"/>
      <c r="R103" s="152"/>
      <c r="S103" s="152"/>
      <c r="T103" s="62" t="str">
        <f aca="false">IF(OR($C103="",R103=""),"",IF(R103/IF($R$2="",100,$R$2)&gt;=設定!$I$28,設定!$G$8,IF(R103/IF($R$2="",100,$R$2)&lt;設定!$I$29,設定!$G$10,設定!$G$9)))</f>
        <v/>
      </c>
      <c r="U103" s="62" t="str">
        <f aca="false">IF(OR($C103="",S103=""),"",IF(S103/IF($S$2="",100,$S$2)&gt;=設定!$I$28,設定!$G$8,IF(S103/IF($S$2="",100,$S$2)&lt;設定!$I$29,設定!$G$10,設定!$G$9)))</f>
        <v/>
      </c>
    </row>
    <row r="104" customFormat="false" ht="21" hidden="false" customHeight="true" outlineLevel="0" collapsed="false">
      <c r="A104" s="91" t="str">
        <f aca="false">IF(名簿!$D104="","",名簿!$B104&amp;"")</f>
        <v/>
      </c>
      <c r="B104" s="91" t="str">
        <f aca="false">IF(名簿!$D104="","",名簿!$C104)</f>
        <v/>
      </c>
      <c r="C104" s="59" t="str">
        <f aca="false">IF(名簿!$D104="","",名簿!$D104&amp;IF(名簿!$F104="転出","（転出）",""))</f>
        <v/>
      </c>
      <c r="D104" s="149"/>
      <c r="E104" s="61" t="str">
        <f aca="false">IF(OR($C104="",名簿!$F104="転出"),"",IF($C$2="学級ごと",$A104,IF($C$2="前の単元と同じ",単元13!$E104&amp;"",$D104&amp;"")))</f>
        <v/>
      </c>
      <c r="F104" s="150"/>
      <c r="G104" s="150"/>
      <c r="H104" s="150"/>
      <c r="I104" s="151"/>
      <c r="J104" s="41" t="str">
        <f aca="false">IF($E104="","",$E104&amp;"|"&amp;COUNTIF($E$5:$E104,$E104))</f>
        <v/>
      </c>
      <c r="K104" s="40" t="str">
        <f aca="false">IF($I104="","",LEN($I104))</f>
        <v/>
      </c>
      <c r="L104" s="13"/>
      <c r="M104" s="13"/>
      <c r="N104" s="13"/>
      <c r="O104" s="13"/>
      <c r="P104" s="152"/>
      <c r="Q104" s="149"/>
      <c r="R104" s="152"/>
      <c r="S104" s="152"/>
      <c r="T104" s="62" t="str">
        <f aca="false">IF(OR($C104="",R104=""),"",IF(R104/IF($R$2="",100,$R$2)&gt;=設定!$I$28,設定!$G$8,IF(R104/IF($R$2="",100,$R$2)&lt;設定!$I$29,設定!$G$10,設定!$G$9)))</f>
        <v/>
      </c>
      <c r="U104" s="62" t="str">
        <f aca="false">IF(OR($C104="",S104=""),"",IF(S104/IF($S$2="",100,$S$2)&gt;=設定!$I$28,設定!$G$8,IF(S104/IF($S$2="",100,$S$2)&lt;設定!$I$29,設定!$G$10,設定!$G$9)))</f>
        <v/>
      </c>
    </row>
    <row r="105" customFormat="false" ht="21" hidden="false" customHeight="true" outlineLevel="0" collapsed="false">
      <c r="A105" s="91" t="str">
        <f aca="false">IF(名簿!$D105="","",名簿!$B105&amp;"")</f>
        <v/>
      </c>
      <c r="B105" s="91" t="str">
        <f aca="false">IF(名簿!$D105="","",名簿!$C105)</f>
        <v/>
      </c>
      <c r="C105" s="59" t="str">
        <f aca="false">IF(名簿!$D105="","",名簿!$D105&amp;IF(名簿!$F105="転出","（転出）",""))</f>
        <v/>
      </c>
      <c r="D105" s="149"/>
      <c r="E105" s="61" t="str">
        <f aca="false">IF(OR($C105="",名簿!$F105="転出"),"",IF($C$2="学級ごと",$A105,IF($C$2="前の単元と同じ",単元13!$E105&amp;"",$D105&amp;"")))</f>
        <v/>
      </c>
      <c r="F105" s="150"/>
      <c r="G105" s="150"/>
      <c r="H105" s="150"/>
      <c r="I105" s="151"/>
      <c r="J105" s="41" t="str">
        <f aca="false">IF($E105="","",$E105&amp;"|"&amp;COUNTIF($E$5:$E105,$E105))</f>
        <v/>
      </c>
      <c r="K105" s="40" t="str">
        <f aca="false">IF($I105="","",LEN($I105))</f>
        <v/>
      </c>
      <c r="L105" s="13"/>
      <c r="M105" s="13"/>
      <c r="N105" s="13"/>
      <c r="O105" s="13"/>
      <c r="P105" s="152"/>
      <c r="Q105" s="149"/>
      <c r="R105" s="152"/>
      <c r="S105" s="152"/>
      <c r="T105" s="62" t="str">
        <f aca="false">IF(OR($C105="",R105=""),"",IF(R105/IF($R$2="",100,$R$2)&gt;=設定!$I$28,設定!$G$8,IF(R105/IF($R$2="",100,$R$2)&lt;設定!$I$29,設定!$G$10,設定!$G$9)))</f>
        <v/>
      </c>
      <c r="U105" s="62" t="str">
        <f aca="false">IF(OR($C105="",S105=""),"",IF(S105/IF($S$2="",100,$S$2)&gt;=設定!$I$28,設定!$G$8,IF(S105/IF($S$2="",100,$S$2)&lt;設定!$I$29,設定!$G$10,設定!$G$9)))</f>
        <v/>
      </c>
    </row>
    <row r="106" customFormat="false" ht="21" hidden="false" customHeight="true" outlineLevel="0" collapsed="false">
      <c r="A106" s="91" t="str">
        <f aca="false">IF(名簿!$D106="","",名簿!$B106&amp;"")</f>
        <v/>
      </c>
      <c r="B106" s="91" t="str">
        <f aca="false">IF(名簿!$D106="","",名簿!$C106)</f>
        <v/>
      </c>
      <c r="C106" s="59" t="str">
        <f aca="false">IF(名簿!$D106="","",名簿!$D106&amp;IF(名簿!$F106="転出","（転出）",""))</f>
        <v/>
      </c>
      <c r="D106" s="149"/>
      <c r="E106" s="61" t="str">
        <f aca="false">IF(OR($C106="",名簿!$F106="転出"),"",IF($C$2="学級ごと",$A106,IF($C$2="前の単元と同じ",単元13!$E106&amp;"",$D106&amp;"")))</f>
        <v/>
      </c>
      <c r="F106" s="150"/>
      <c r="G106" s="150"/>
      <c r="H106" s="150"/>
      <c r="I106" s="151"/>
      <c r="J106" s="41" t="str">
        <f aca="false">IF($E106="","",$E106&amp;"|"&amp;COUNTIF($E$5:$E106,$E106))</f>
        <v/>
      </c>
      <c r="K106" s="40" t="str">
        <f aca="false">IF($I106="","",LEN($I106))</f>
        <v/>
      </c>
      <c r="L106" s="13"/>
      <c r="M106" s="13"/>
      <c r="N106" s="13"/>
      <c r="O106" s="13"/>
      <c r="P106" s="152"/>
      <c r="Q106" s="149"/>
      <c r="R106" s="152"/>
      <c r="S106" s="152"/>
      <c r="T106" s="62" t="str">
        <f aca="false">IF(OR($C106="",R106=""),"",IF(R106/IF($R$2="",100,$R$2)&gt;=設定!$I$28,設定!$G$8,IF(R106/IF($R$2="",100,$R$2)&lt;設定!$I$29,設定!$G$10,設定!$G$9)))</f>
        <v/>
      </c>
      <c r="U106" s="62" t="str">
        <f aca="false">IF(OR($C106="",S106=""),"",IF(S106/IF($S$2="",100,$S$2)&gt;=設定!$I$28,設定!$G$8,IF(S106/IF($S$2="",100,$S$2)&lt;設定!$I$29,設定!$G$10,設定!$G$9)))</f>
        <v/>
      </c>
    </row>
    <row r="107" customFormat="false" ht="21" hidden="false" customHeight="true" outlineLevel="0" collapsed="false">
      <c r="A107" s="91" t="str">
        <f aca="false">IF(名簿!$D107="","",名簿!$B107&amp;"")</f>
        <v/>
      </c>
      <c r="B107" s="91" t="str">
        <f aca="false">IF(名簿!$D107="","",名簿!$C107)</f>
        <v/>
      </c>
      <c r="C107" s="59" t="str">
        <f aca="false">IF(名簿!$D107="","",名簿!$D107&amp;IF(名簿!$F107="転出","（転出）",""))</f>
        <v/>
      </c>
      <c r="D107" s="149"/>
      <c r="E107" s="61" t="str">
        <f aca="false">IF(OR($C107="",名簿!$F107="転出"),"",IF($C$2="学級ごと",$A107,IF($C$2="前の単元と同じ",単元13!$E107&amp;"",$D107&amp;"")))</f>
        <v/>
      </c>
      <c r="F107" s="150"/>
      <c r="G107" s="150"/>
      <c r="H107" s="150"/>
      <c r="I107" s="151"/>
      <c r="J107" s="41" t="str">
        <f aca="false">IF($E107="","",$E107&amp;"|"&amp;COUNTIF($E$5:$E107,$E107))</f>
        <v/>
      </c>
      <c r="K107" s="40" t="str">
        <f aca="false">IF($I107="","",LEN($I107))</f>
        <v/>
      </c>
      <c r="L107" s="13"/>
      <c r="M107" s="13"/>
      <c r="N107" s="13"/>
      <c r="O107" s="13"/>
      <c r="P107" s="152"/>
      <c r="Q107" s="149"/>
      <c r="R107" s="152"/>
      <c r="S107" s="152"/>
      <c r="T107" s="62" t="str">
        <f aca="false">IF(OR($C107="",R107=""),"",IF(R107/IF($R$2="",100,$R$2)&gt;=設定!$I$28,設定!$G$8,IF(R107/IF($R$2="",100,$R$2)&lt;設定!$I$29,設定!$G$10,設定!$G$9)))</f>
        <v/>
      </c>
      <c r="U107" s="62" t="str">
        <f aca="false">IF(OR($C107="",S107=""),"",IF(S107/IF($S$2="",100,$S$2)&gt;=設定!$I$28,設定!$G$8,IF(S107/IF($S$2="",100,$S$2)&lt;設定!$I$29,設定!$G$10,設定!$G$9)))</f>
        <v/>
      </c>
    </row>
    <row r="108" customFormat="false" ht="21" hidden="false" customHeight="true" outlineLevel="0" collapsed="false">
      <c r="A108" s="91" t="str">
        <f aca="false">IF(名簿!$D108="","",名簿!$B108&amp;"")</f>
        <v/>
      </c>
      <c r="B108" s="91" t="str">
        <f aca="false">IF(名簿!$D108="","",名簿!$C108)</f>
        <v/>
      </c>
      <c r="C108" s="59" t="str">
        <f aca="false">IF(名簿!$D108="","",名簿!$D108&amp;IF(名簿!$F108="転出","（転出）",""))</f>
        <v/>
      </c>
      <c r="D108" s="149"/>
      <c r="E108" s="61" t="str">
        <f aca="false">IF(OR($C108="",名簿!$F108="転出"),"",IF($C$2="学級ごと",$A108,IF($C$2="前の単元と同じ",単元13!$E108&amp;"",$D108&amp;"")))</f>
        <v/>
      </c>
      <c r="F108" s="150"/>
      <c r="G108" s="150"/>
      <c r="H108" s="150"/>
      <c r="I108" s="151"/>
      <c r="J108" s="41" t="str">
        <f aca="false">IF($E108="","",$E108&amp;"|"&amp;COUNTIF($E$5:$E108,$E108))</f>
        <v/>
      </c>
      <c r="K108" s="40" t="str">
        <f aca="false">IF($I108="","",LEN($I108))</f>
        <v/>
      </c>
      <c r="L108" s="13"/>
      <c r="M108" s="13"/>
      <c r="N108" s="13"/>
      <c r="O108" s="13"/>
      <c r="P108" s="152"/>
      <c r="Q108" s="149"/>
      <c r="R108" s="152"/>
      <c r="S108" s="152"/>
      <c r="T108" s="62" t="str">
        <f aca="false">IF(OR($C108="",R108=""),"",IF(R108/IF($R$2="",100,$R$2)&gt;=設定!$I$28,設定!$G$8,IF(R108/IF($R$2="",100,$R$2)&lt;設定!$I$29,設定!$G$10,設定!$G$9)))</f>
        <v/>
      </c>
      <c r="U108" s="62" t="str">
        <f aca="false">IF(OR($C108="",S108=""),"",IF(S108/IF($S$2="",100,$S$2)&gt;=設定!$I$28,設定!$G$8,IF(S108/IF($S$2="",100,$S$2)&lt;設定!$I$29,設定!$G$10,設定!$G$9)))</f>
        <v/>
      </c>
    </row>
    <row r="109" customFormat="false" ht="21" hidden="false" customHeight="true" outlineLevel="0" collapsed="false">
      <c r="A109" s="91" t="str">
        <f aca="false">IF(名簿!$D109="","",名簿!$B109&amp;"")</f>
        <v/>
      </c>
      <c r="B109" s="91" t="str">
        <f aca="false">IF(名簿!$D109="","",名簿!$C109)</f>
        <v/>
      </c>
      <c r="C109" s="59" t="str">
        <f aca="false">IF(名簿!$D109="","",名簿!$D109&amp;IF(名簿!$F109="転出","（転出）",""))</f>
        <v/>
      </c>
      <c r="D109" s="149"/>
      <c r="E109" s="61" t="str">
        <f aca="false">IF(OR($C109="",名簿!$F109="転出"),"",IF($C$2="学級ごと",$A109,IF($C$2="前の単元と同じ",単元13!$E109&amp;"",$D109&amp;"")))</f>
        <v/>
      </c>
      <c r="F109" s="150"/>
      <c r="G109" s="150"/>
      <c r="H109" s="150"/>
      <c r="I109" s="151"/>
      <c r="J109" s="41" t="str">
        <f aca="false">IF($E109="","",$E109&amp;"|"&amp;COUNTIF($E$5:$E109,$E109))</f>
        <v/>
      </c>
      <c r="K109" s="40" t="str">
        <f aca="false">IF($I109="","",LEN($I109))</f>
        <v/>
      </c>
      <c r="L109" s="13"/>
      <c r="M109" s="13"/>
      <c r="N109" s="13"/>
      <c r="O109" s="13"/>
      <c r="P109" s="152"/>
      <c r="Q109" s="149"/>
      <c r="R109" s="152"/>
      <c r="S109" s="152"/>
      <c r="T109" s="62" t="str">
        <f aca="false">IF(OR($C109="",R109=""),"",IF(R109/IF($R$2="",100,$R$2)&gt;=設定!$I$28,設定!$G$8,IF(R109/IF($R$2="",100,$R$2)&lt;設定!$I$29,設定!$G$10,設定!$G$9)))</f>
        <v/>
      </c>
      <c r="U109" s="62" t="str">
        <f aca="false">IF(OR($C109="",S109=""),"",IF(S109/IF($S$2="",100,$S$2)&gt;=設定!$I$28,設定!$G$8,IF(S109/IF($S$2="",100,$S$2)&lt;設定!$I$29,設定!$G$10,設定!$G$9)))</f>
        <v/>
      </c>
    </row>
    <row r="110" customFormat="false" ht="21" hidden="false" customHeight="true" outlineLevel="0" collapsed="false">
      <c r="A110" s="91" t="str">
        <f aca="false">IF(名簿!$D110="","",名簿!$B110&amp;"")</f>
        <v/>
      </c>
      <c r="B110" s="91" t="str">
        <f aca="false">IF(名簿!$D110="","",名簿!$C110)</f>
        <v/>
      </c>
      <c r="C110" s="59" t="str">
        <f aca="false">IF(名簿!$D110="","",名簿!$D110&amp;IF(名簿!$F110="転出","（転出）",""))</f>
        <v/>
      </c>
      <c r="D110" s="149"/>
      <c r="E110" s="61" t="str">
        <f aca="false">IF(OR($C110="",名簿!$F110="転出"),"",IF($C$2="学級ごと",$A110,IF($C$2="前の単元と同じ",単元13!$E110&amp;"",$D110&amp;"")))</f>
        <v/>
      </c>
      <c r="F110" s="150"/>
      <c r="G110" s="150"/>
      <c r="H110" s="150"/>
      <c r="I110" s="151"/>
      <c r="J110" s="41" t="str">
        <f aca="false">IF($E110="","",$E110&amp;"|"&amp;COUNTIF($E$5:$E110,$E110))</f>
        <v/>
      </c>
      <c r="K110" s="40" t="str">
        <f aca="false">IF($I110="","",LEN($I110))</f>
        <v/>
      </c>
      <c r="L110" s="13"/>
      <c r="M110" s="13"/>
      <c r="N110" s="13"/>
      <c r="O110" s="13"/>
      <c r="P110" s="152"/>
      <c r="Q110" s="149"/>
      <c r="R110" s="152"/>
      <c r="S110" s="152"/>
      <c r="T110" s="62" t="str">
        <f aca="false">IF(OR($C110="",R110=""),"",IF(R110/IF($R$2="",100,$R$2)&gt;=設定!$I$28,設定!$G$8,IF(R110/IF($R$2="",100,$R$2)&lt;設定!$I$29,設定!$G$10,設定!$G$9)))</f>
        <v/>
      </c>
      <c r="U110" s="62" t="str">
        <f aca="false">IF(OR($C110="",S110=""),"",IF(S110/IF($S$2="",100,$S$2)&gt;=設定!$I$28,設定!$G$8,IF(S110/IF($S$2="",100,$S$2)&lt;設定!$I$29,設定!$G$10,設定!$G$9)))</f>
        <v/>
      </c>
    </row>
    <row r="111" customFormat="false" ht="21" hidden="false" customHeight="true" outlineLevel="0" collapsed="false">
      <c r="A111" s="91" t="str">
        <f aca="false">IF(名簿!$D111="","",名簿!$B111&amp;"")</f>
        <v/>
      </c>
      <c r="B111" s="91" t="str">
        <f aca="false">IF(名簿!$D111="","",名簿!$C111)</f>
        <v/>
      </c>
      <c r="C111" s="59" t="str">
        <f aca="false">IF(名簿!$D111="","",名簿!$D111&amp;IF(名簿!$F111="転出","（転出）",""))</f>
        <v/>
      </c>
      <c r="D111" s="149"/>
      <c r="E111" s="61" t="str">
        <f aca="false">IF(OR($C111="",名簿!$F111="転出"),"",IF($C$2="学級ごと",$A111,IF($C$2="前の単元と同じ",単元13!$E111&amp;"",$D111&amp;"")))</f>
        <v/>
      </c>
      <c r="F111" s="150"/>
      <c r="G111" s="150"/>
      <c r="H111" s="150"/>
      <c r="I111" s="151"/>
      <c r="J111" s="41" t="str">
        <f aca="false">IF($E111="","",$E111&amp;"|"&amp;COUNTIF($E$5:$E111,$E111))</f>
        <v/>
      </c>
      <c r="K111" s="40" t="str">
        <f aca="false">IF($I111="","",LEN($I111))</f>
        <v/>
      </c>
      <c r="L111" s="13"/>
      <c r="M111" s="13"/>
      <c r="N111" s="13"/>
      <c r="O111" s="13"/>
      <c r="P111" s="152"/>
      <c r="Q111" s="149"/>
      <c r="R111" s="152"/>
      <c r="S111" s="152"/>
      <c r="T111" s="62" t="str">
        <f aca="false">IF(OR($C111="",R111=""),"",IF(R111/IF($R$2="",100,$R$2)&gt;=設定!$I$28,設定!$G$8,IF(R111/IF($R$2="",100,$R$2)&lt;設定!$I$29,設定!$G$10,設定!$G$9)))</f>
        <v/>
      </c>
      <c r="U111" s="62" t="str">
        <f aca="false">IF(OR($C111="",S111=""),"",IF(S111/IF($S$2="",100,$S$2)&gt;=設定!$I$28,設定!$G$8,IF(S111/IF($S$2="",100,$S$2)&lt;設定!$I$29,設定!$G$10,設定!$G$9)))</f>
        <v/>
      </c>
    </row>
    <row r="112" customFormat="false" ht="21" hidden="false" customHeight="true" outlineLevel="0" collapsed="false">
      <c r="A112" s="91" t="str">
        <f aca="false">IF(名簿!$D112="","",名簿!$B112&amp;"")</f>
        <v/>
      </c>
      <c r="B112" s="91" t="str">
        <f aca="false">IF(名簿!$D112="","",名簿!$C112)</f>
        <v/>
      </c>
      <c r="C112" s="59" t="str">
        <f aca="false">IF(名簿!$D112="","",名簿!$D112&amp;IF(名簿!$F112="転出","（転出）",""))</f>
        <v/>
      </c>
      <c r="D112" s="149"/>
      <c r="E112" s="61" t="str">
        <f aca="false">IF(OR($C112="",名簿!$F112="転出"),"",IF($C$2="学級ごと",$A112,IF($C$2="前の単元と同じ",単元13!$E112&amp;"",$D112&amp;"")))</f>
        <v/>
      </c>
      <c r="F112" s="150"/>
      <c r="G112" s="150"/>
      <c r="H112" s="150"/>
      <c r="I112" s="151"/>
      <c r="J112" s="41" t="str">
        <f aca="false">IF($E112="","",$E112&amp;"|"&amp;COUNTIF($E$5:$E112,$E112))</f>
        <v/>
      </c>
      <c r="K112" s="40" t="str">
        <f aca="false">IF($I112="","",LEN($I112))</f>
        <v/>
      </c>
      <c r="L112" s="13"/>
      <c r="M112" s="13"/>
      <c r="N112" s="13"/>
      <c r="O112" s="13"/>
      <c r="P112" s="152"/>
      <c r="Q112" s="149"/>
      <c r="R112" s="152"/>
      <c r="S112" s="152"/>
      <c r="T112" s="62" t="str">
        <f aca="false">IF(OR($C112="",R112=""),"",IF(R112/IF($R$2="",100,$R$2)&gt;=設定!$I$28,設定!$G$8,IF(R112/IF($R$2="",100,$R$2)&lt;設定!$I$29,設定!$G$10,設定!$G$9)))</f>
        <v/>
      </c>
      <c r="U112" s="62" t="str">
        <f aca="false">IF(OR($C112="",S112=""),"",IF(S112/IF($S$2="",100,$S$2)&gt;=設定!$I$28,設定!$G$8,IF(S112/IF($S$2="",100,$S$2)&lt;設定!$I$29,設定!$G$10,設定!$G$9)))</f>
        <v/>
      </c>
    </row>
    <row r="113" customFormat="false" ht="21" hidden="false" customHeight="true" outlineLevel="0" collapsed="false">
      <c r="A113" s="91" t="str">
        <f aca="false">IF(名簿!$D113="","",名簿!$B113&amp;"")</f>
        <v/>
      </c>
      <c r="B113" s="91" t="str">
        <f aca="false">IF(名簿!$D113="","",名簿!$C113)</f>
        <v/>
      </c>
      <c r="C113" s="59" t="str">
        <f aca="false">IF(名簿!$D113="","",名簿!$D113&amp;IF(名簿!$F113="転出","（転出）",""))</f>
        <v/>
      </c>
      <c r="D113" s="149"/>
      <c r="E113" s="61" t="str">
        <f aca="false">IF(OR($C113="",名簿!$F113="転出"),"",IF($C$2="学級ごと",$A113,IF($C$2="前の単元と同じ",単元13!$E113&amp;"",$D113&amp;"")))</f>
        <v/>
      </c>
      <c r="F113" s="150"/>
      <c r="G113" s="150"/>
      <c r="H113" s="150"/>
      <c r="I113" s="151"/>
      <c r="J113" s="41" t="str">
        <f aca="false">IF($E113="","",$E113&amp;"|"&amp;COUNTIF($E$5:$E113,$E113))</f>
        <v/>
      </c>
      <c r="K113" s="40" t="str">
        <f aca="false">IF($I113="","",LEN($I113))</f>
        <v/>
      </c>
      <c r="L113" s="13"/>
      <c r="M113" s="13"/>
      <c r="N113" s="13"/>
      <c r="O113" s="13"/>
      <c r="P113" s="152"/>
      <c r="Q113" s="149"/>
      <c r="R113" s="152"/>
      <c r="S113" s="152"/>
      <c r="T113" s="62" t="str">
        <f aca="false">IF(OR($C113="",R113=""),"",IF(R113/IF($R$2="",100,$R$2)&gt;=設定!$I$28,設定!$G$8,IF(R113/IF($R$2="",100,$R$2)&lt;設定!$I$29,設定!$G$10,設定!$G$9)))</f>
        <v/>
      </c>
      <c r="U113" s="62" t="str">
        <f aca="false">IF(OR($C113="",S113=""),"",IF(S113/IF($S$2="",100,$S$2)&gt;=設定!$I$28,設定!$G$8,IF(S113/IF($S$2="",100,$S$2)&lt;設定!$I$29,設定!$G$10,設定!$G$9)))</f>
        <v/>
      </c>
    </row>
    <row r="114" customFormat="false" ht="21" hidden="false" customHeight="true" outlineLevel="0" collapsed="false">
      <c r="A114" s="91" t="str">
        <f aca="false">IF(名簿!$D114="","",名簿!$B114&amp;"")</f>
        <v/>
      </c>
      <c r="B114" s="91" t="str">
        <f aca="false">IF(名簿!$D114="","",名簿!$C114)</f>
        <v/>
      </c>
      <c r="C114" s="59" t="str">
        <f aca="false">IF(名簿!$D114="","",名簿!$D114&amp;IF(名簿!$F114="転出","（転出）",""))</f>
        <v/>
      </c>
      <c r="D114" s="149"/>
      <c r="E114" s="61" t="str">
        <f aca="false">IF(OR($C114="",名簿!$F114="転出"),"",IF($C$2="学級ごと",$A114,IF($C$2="前の単元と同じ",単元13!$E114&amp;"",$D114&amp;"")))</f>
        <v/>
      </c>
      <c r="F114" s="150"/>
      <c r="G114" s="150"/>
      <c r="H114" s="150"/>
      <c r="I114" s="151"/>
      <c r="J114" s="41" t="str">
        <f aca="false">IF($E114="","",$E114&amp;"|"&amp;COUNTIF($E$5:$E114,$E114))</f>
        <v/>
      </c>
      <c r="K114" s="40" t="str">
        <f aca="false">IF($I114="","",LEN($I114))</f>
        <v/>
      </c>
      <c r="L114" s="13"/>
      <c r="M114" s="13"/>
      <c r="N114" s="13"/>
      <c r="O114" s="13"/>
      <c r="P114" s="152"/>
      <c r="Q114" s="149"/>
      <c r="R114" s="152"/>
      <c r="S114" s="152"/>
      <c r="T114" s="62" t="str">
        <f aca="false">IF(OR($C114="",R114=""),"",IF(R114/IF($R$2="",100,$R$2)&gt;=設定!$I$28,設定!$G$8,IF(R114/IF($R$2="",100,$R$2)&lt;設定!$I$29,設定!$G$10,設定!$G$9)))</f>
        <v/>
      </c>
      <c r="U114" s="62" t="str">
        <f aca="false">IF(OR($C114="",S114=""),"",IF(S114/IF($S$2="",100,$S$2)&gt;=設定!$I$28,設定!$G$8,IF(S114/IF($S$2="",100,$S$2)&lt;設定!$I$29,設定!$G$10,設定!$G$9)))</f>
        <v/>
      </c>
    </row>
    <row r="115" customFormat="false" ht="21" hidden="false" customHeight="true" outlineLevel="0" collapsed="false">
      <c r="A115" s="91" t="str">
        <f aca="false">IF(名簿!$D115="","",名簿!$B115&amp;"")</f>
        <v/>
      </c>
      <c r="B115" s="91" t="str">
        <f aca="false">IF(名簿!$D115="","",名簿!$C115)</f>
        <v/>
      </c>
      <c r="C115" s="59" t="str">
        <f aca="false">IF(名簿!$D115="","",名簿!$D115&amp;IF(名簿!$F115="転出","（転出）",""))</f>
        <v/>
      </c>
      <c r="D115" s="149"/>
      <c r="E115" s="61" t="str">
        <f aca="false">IF(OR($C115="",名簿!$F115="転出"),"",IF($C$2="学級ごと",$A115,IF($C$2="前の単元と同じ",単元13!$E115&amp;"",$D115&amp;"")))</f>
        <v/>
      </c>
      <c r="F115" s="150"/>
      <c r="G115" s="150"/>
      <c r="H115" s="150"/>
      <c r="I115" s="151"/>
      <c r="J115" s="41" t="str">
        <f aca="false">IF($E115="","",$E115&amp;"|"&amp;COUNTIF($E$5:$E115,$E115))</f>
        <v/>
      </c>
      <c r="K115" s="40" t="str">
        <f aca="false">IF($I115="","",LEN($I115))</f>
        <v/>
      </c>
      <c r="L115" s="13"/>
      <c r="M115" s="13"/>
      <c r="N115" s="13"/>
      <c r="O115" s="13"/>
      <c r="P115" s="152"/>
      <c r="Q115" s="149"/>
      <c r="R115" s="152"/>
      <c r="S115" s="152"/>
      <c r="T115" s="62" t="str">
        <f aca="false">IF(OR($C115="",R115=""),"",IF(R115/IF($R$2="",100,$R$2)&gt;=設定!$I$28,設定!$G$8,IF(R115/IF($R$2="",100,$R$2)&lt;設定!$I$29,設定!$G$10,設定!$G$9)))</f>
        <v/>
      </c>
      <c r="U115" s="62" t="str">
        <f aca="false">IF(OR($C115="",S115=""),"",IF(S115/IF($S$2="",100,$S$2)&gt;=設定!$I$28,設定!$G$8,IF(S115/IF($S$2="",100,$S$2)&lt;設定!$I$29,設定!$G$10,設定!$G$9)))</f>
        <v/>
      </c>
    </row>
    <row r="116" customFormat="false" ht="21" hidden="false" customHeight="true" outlineLevel="0" collapsed="false">
      <c r="A116" s="91" t="str">
        <f aca="false">IF(名簿!$D116="","",名簿!$B116&amp;"")</f>
        <v/>
      </c>
      <c r="B116" s="91" t="str">
        <f aca="false">IF(名簿!$D116="","",名簿!$C116)</f>
        <v/>
      </c>
      <c r="C116" s="59" t="str">
        <f aca="false">IF(名簿!$D116="","",名簿!$D116&amp;IF(名簿!$F116="転出","（転出）",""))</f>
        <v/>
      </c>
      <c r="D116" s="149"/>
      <c r="E116" s="61" t="str">
        <f aca="false">IF(OR($C116="",名簿!$F116="転出"),"",IF($C$2="学級ごと",$A116,IF($C$2="前の単元と同じ",単元13!$E116&amp;"",$D116&amp;"")))</f>
        <v/>
      </c>
      <c r="F116" s="150"/>
      <c r="G116" s="150"/>
      <c r="H116" s="150"/>
      <c r="I116" s="151"/>
      <c r="J116" s="41" t="str">
        <f aca="false">IF($E116="","",$E116&amp;"|"&amp;COUNTIF($E$5:$E116,$E116))</f>
        <v/>
      </c>
      <c r="K116" s="40" t="str">
        <f aca="false">IF($I116="","",LEN($I116))</f>
        <v/>
      </c>
      <c r="L116" s="13"/>
      <c r="M116" s="13"/>
      <c r="N116" s="13"/>
      <c r="O116" s="13"/>
      <c r="P116" s="152"/>
      <c r="Q116" s="149"/>
      <c r="R116" s="152"/>
      <c r="S116" s="152"/>
      <c r="T116" s="62" t="str">
        <f aca="false">IF(OR($C116="",R116=""),"",IF(R116/IF($R$2="",100,$R$2)&gt;=設定!$I$28,設定!$G$8,IF(R116/IF($R$2="",100,$R$2)&lt;設定!$I$29,設定!$G$10,設定!$G$9)))</f>
        <v/>
      </c>
      <c r="U116" s="62" t="str">
        <f aca="false">IF(OR($C116="",S116=""),"",IF(S116/IF($S$2="",100,$S$2)&gt;=設定!$I$28,設定!$G$8,IF(S116/IF($S$2="",100,$S$2)&lt;設定!$I$29,設定!$G$10,設定!$G$9)))</f>
        <v/>
      </c>
    </row>
    <row r="117" customFormat="false" ht="21" hidden="false" customHeight="true" outlineLevel="0" collapsed="false">
      <c r="A117" s="91" t="str">
        <f aca="false">IF(名簿!$D117="","",名簿!$B117&amp;"")</f>
        <v/>
      </c>
      <c r="B117" s="91" t="str">
        <f aca="false">IF(名簿!$D117="","",名簿!$C117)</f>
        <v/>
      </c>
      <c r="C117" s="59" t="str">
        <f aca="false">IF(名簿!$D117="","",名簿!$D117&amp;IF(名簿!$F117="転出","（転出）",""))</f>
        <v/>
      </c>
      <c r="D117" s="149"/>
      <c r="E117" s="61" t="str">
        <f aca="false">IF(OR($C117="",名簿!$F117="転出"),"",IF($C$2="学級ごと",$A117,IF($C$2="前の単元と同じ",単元13!$E117&amp;"",$D117&amp;"")))</f>
        <v/>
      </c>
      <c r="F117" s="150"/>
      <c r="G117" s="150"/>
      <c r="H117" s="150"/>
      <c r="I117" s="151"/>
      <c r="J117" s="41" t="str">
        <f aca="false">IF($E117="","",$E117&amp;"|"&amp;COUNTIF($E$5:$E117,$E117))</f>
        <v/>
      </c>
      <c r="K117" s="40" t="str">
        <f aca="false">IF($I117="","",LEN($I117))</f>
        <v/>
      </c>
      <c r="L117" s="13"/>
      <c r="M117" s="13"/>
      <c r="N117" s="13"/>
      <c r="O117" s="13"/>
      <c r="P117" s="152"/>
      <c r="Q117" s="149"/>
      <c r="R117" s="152"/>
      <c r="S117" s="152"/>
      <c r="T117" s="62" t="str">
        <f aca="false">IF(OR($C117="",R117=""),"",IF(R117/IF($R$2="",100,$R$2)&gt;=設定!$I$28,設定!$G$8,IF(R117/IF($R$2="",100,$R$2)&lt;設定!$I$29,設定!$G$10,設定!$G$9)))</f>
        <v/>
      </c>
      <c r="U117" s="62" t="str">
        <f aca="false">IF(OR($C117="",S117=""),"",IF(S117/IF($S$2="",100,$S$2)&gt;=設定!$I$28,設定!$G$8,IF(S117/IF($S$2="",100,$S$2)&lt;設定!$I$29,設定!$G$10,設定!$G$9)))</f>
        <v/>
      </c>
    </row>
    <row r="118" customFormat="false" ht="21" hidden="false" customHeight="true" outlineLevel="0" collapsed="false">
      <c r="A118" s="91" t="str">
        <f aca="false">IF(名簿!$D118="","",名簿!$B118&amp;"")</f>
        <v/>
      </c>
      <c r="B118" s="91" t="str">
        <f aca="false">IF(名簿!$D118="","",名簿!$C118)</f>
        <v/>
      </c>
      <c r="C118" s="59" t="str">
        <f aca="false">IF(名簿!$D118="","",名簿!$D118&amp;IF(名簿!$F118="転出","（転出）",""))</f>
        <v/>
      </c>
      <c r="D118" s="149"/>
      <c r="E118" s="61" t="str">
        <f aca="false">IF(OR($C118="",名簿!$F118="転出"),"",IF($C$2="学級ごと",$A118,IF($C$2="前の単元と同じ",単元13!$E118&amp;"",$D118&amp;"")))</f>
        <v/>
      </c>
      <c r="F118" s="150"/>
      <c r="G118" s="150"/>
      <c r="H118" s="150"/>
      <c r="I118" s="151"/>
      <c r="J118" s="41" t="str">
        <f aca="false">IF($E118="","",$E118&amp;"|"&amp;COUNTIF($E$5:$E118,$E118))</f>
        <v/>
      </c>
      <c r="K118" s="40" t="str">
        <f aca="false">IF($I118="","",LEN($I118))</f>
        <v/>
      </c>
      <c r="L118" s="13"/>
      <c r="M118" s="13"/>
      <c r="N118" s="13"/>
      <c r="O118" s="13"/>
      <c r="P118" s="152"/>
      <c r="Q118" s="149"/>
      <c r="R118" s="152"/>
      <c r="S118" s="152"/>
      <c r="T118" s="62" t="str">
        <f aca="false">IF(OR($C118="",R118=""),"",IF(R118/IF($R$2="",100,$R$2)&gt;=設定!$I$28,設定!$G$8,IF(R118/IF($R$2="",100,$R$2)&lt;設定!$I$29,設定!$G$10,設定!$G$9)))</f>
        <v/>
      </c>
      <c r="U118" s="62" t="str">
        <f aca="false">IF(OR($C118="",S118=""),"",IF(S118/IF($S$2="",100,$S$2)&gt;=設定!$I$28,設定!$G$8,IF(S118/IF($S$2="",100,$S$2)&lt;設定!$I$29,設定!$G$10,設定!$G$9)))</f>
        <v/>
      </c>
    </row>
    <row r="119" customFormat="false" ht="21" hidden="false" customHeight="true" outlineLevel="0" collapsed="false">
      <c r="A119" s="91" t="str">
        <f aca="false">IF(名簿!$D119="","",名簿!$B119&amp;"")</f>
        <v/>
      </c>
      <c r="B119" s="91" t="str">
        <f aca="false">IF(名簿!$D119="","",名簿!$C119)</f>
        <v/>
      </c>
      <c r="C119" s="59" t="str">
        <f aca="false">IF(名簿!$D119="","",名簿!$D119&amp;IF(名簿!$F119="転出","（転出）",""))</f>
        <v/>
      </c>
      <c r="D119" s="149"/>
      <c r="E119" s="61" t="str">
        <f aca="false">IF(OR($C119="",名簿!$F119="転出"),"",IF($C$2="学級ごと",$A119,IF($C$2="前の単元と同じ",単元13!$E119&amp;"",$D119&amp;"")))</f>
        <v/>
      </c>
      <c r="F119" s="150"/>
      <c r="G119" s="150"/>
      <c r="H119" s="150"/>
      <c r="I119" s="151"/>
      <c r="J119" s="41" t="str">
        <f aca="false">IF($E119="","",$E119&amp;"|"&amp;COUNTIF($E$5:$E119,$E119))</f>
        <v/>
      </c>
      <c r="K119" s="40" t="str">
        <f aca="false">IF($I119="","",LEN($I119))</f>
        <v/>
      </c>
      <c r="L119" s="13"/>
      <c r="M119" s="13"/>
      <c r="N119" s="13"/>
      <c r="O119" s="13"/>
      <c r="P119" s="152"/>
      <c r="Q119" s="149"/>
      <c r="R119" s="152"/>
      <c r="S119" s="152"/>
      <c r="T119" s="62" t="str">
        <f aca="false">IF(OR($C119="",R119=""),"",IF(R119/IF($R$2="",100,$R$2)&gt;=設定!$I$28,設定!$G$8,IF(R119/IF($R$2="",100,$R$2)&lt;設定!$I$29,設定!$G$10,設定!$G$9)))</f>
        <v/>
      </c>
      <c r="U119" s="62" t="str">
        <f aca="false">IF(OR($C119="",S119=""),"",IF(S119/IF($S$2="",100,$S$2)&gt;=設定!$I$28,設定!$G$8,IF(S119/IF($S$2="",100,$S$2)&lt;設定!$I$29,設定!$G$10,設定!$G$9)))</f>
        <v/>
      </c>
    </row>
    <row r="120" customFormat="false" ht="21" hidden="false" customHeight="true" outlineLevel="0" collapsed="false">
      <c r="A120" s="91" t="str">
        <f aca="false">IF(名簿!$D120="","",名簿!$B120&amp;"")</f>
        <v/>
      </c>
      <c r="B120" s="91" t="str">
        <f aca="false">IF(名簿!$D120="","",名簿!$C120)</f>
        <v/>
      </c>
      <c r="C120" s="59" t="str">
        <f aca="false">IF(名簿!$D120="","",名簿!$D120&amp;IF(名簿!$F120="転出","（転出）",""))</f>
        <v/>
      </c>
      <c r="D120" s="149"/>
      <c r="E120" s="61" t="str">
        <f aca="false">IF(OR($C120="",名簿!$F120="転出"),"",IF($C$2="学級ごと",$A120,IF($C$2="前の単元と同じ",単元13!$E120&amp;"",$D120&amp;"")))</f>
        <v/>
      </c>
      <c r="F120" s="150"/>
      <c r="G120" s="150"/>
      <c r="H120" s="150"/>
      <c r="I120" s="151"/>
      <c r="J120" s="41" t="str">
        <f aca="false">IF($E120="","",$E120&amp;"|"&amp;COUNTIF($E$5:$E120,$E120))</f>
        <v/>
      </c>
      <c r="K120" s="40" t="str">
        <f aca="false">IF($I120="","",LEN($I120))</f>
        <v/>
      </c>
      <c r="L120" s="13"/>
      <c r="M120" s="13"/>
      <c r="N120" s="13"/>
      <c r="O120" s="13"/>
      <c r="P120" s="152"/>
      <c r="Q120" s="149"/>
      <c r="R120" s="152"/>
      <c r="S120" s="152"/>
      <c r="T120" s="62" t="str">
        <f aca="false">IF(OR($C120="",R120=""),"",IF(R120/IF($R$2="",100,$R$2)&gt;=設定!$I$28,設定!$G$8,IF(R120/IF($R$2="",100,$R$2)&lt;設定!$I$29,設定!$G$10,設定!$G$9)))</f>
        <v/>
      </c>
      <c r="U120" s="62" t="str">
        <f aca="false">IF(OR($C120="",S120=""),"",IF(S120/IF($S$2="",100,$S$2)&gt;=設定!$I$28,設定!$G$8,IF(S120/IF($S$2="",100,$S$2)&lt;設定!$I$29,設定!$G$10,設定!$G$9)))</f>
        <v/>
      </c>
    </row>
    <row r="121" customFormat="false" ht="21" hidden="false" customHeight="true" outlineLevel="0" collapsed="false">
      <c r="A121" s="91" t="str">
        <f aca="false">IF(名簿!$D121="","",名簿!$B121&amp;"")</f>
        <v/>
      </c>
      <c r="B121" s="91" t="str">
        <f aca="false">IF(名簿!$D121="","",名簿!$C121)</f>
        <v/>
      </c>
      <c r="C121" s="59" t="str">
        <f aca="false">IF(名簿!$D121="","",名簿!$D121&amp;IF(名簿!$F121="転出","（転出）",""))</f>
        <v/>
      </c>
      <c r="D121" s="149"/>
      <c r="E121" s="61" t="str">
        <f aca="false">IF(OR($C121="",名簿!$F121="転出"),"",IF($C$2="学級ごと",$A121,IF($C$2="前の単元と同じ",単元13!$E121&amp;"",$D121&amp;"")))</f>
        <v/>
      </c>
      <c r="F121" s="150"/>
      <c r="G121" s="150"/>
      <c r="H121" s="150"/>
      <c r="I121" s="151"/>
      <c r="J121" s="41" t="str">
        <f aca="false">IF($E121="","",$E121&amp;"|"&amp;COUNTIF($E$5:$E121,$E121))</f>
        <v/>
      </c>
      <c r="K121" s="40" t="str">
        <f aca="false">IF($I121="","",LEN($I121))</f>
        <v/>
      </c>
      <c r="L121" s="13"/>
      <c r="M121" s="13"/>
      <c r="N121" s="13"/>
      <c r="O121" s="13"/>
      <c r="P121" s="152"/>
      <c r="Q121" s="149"/>
      <c r="R121" s="152"/>
      <c r="S121" s="152"/>
      <c r="T121" s="62" t="str">
        <f aca="false">IF(OR($C121="",R121=""),"",IF(R121/IF($R$2="",100,$R$2)&gt;=設定!$I$28,設定!$G$8,IF(R121/IF($R$2="",100,$R$2)&lt;設定!$I$29,設定!$G$10,設定!$G$9)))</f>
        <v/>
      </c>
      <c r="U121" s="62" t="str">
        <f aca="false">IF(OR($C121="",S121=""),"",IF(S121/IF($S$2="",100,$S$2)&gt;=設定!$I$28,設定!$G$8,IF(S121/IF($S$2="",100,$S$2)&lt;設定!$I$29,設定!$G$10,設定!$G$9)))</f>
        <v/>
      </c>
    </row>
    <row r="122" customFormat="false" ht="21" hidden="false" customHeight="true" outlineLevel="0" collapsed="false">
      <c r="A122" s="91" t="str">
        <f aca="false">IF(名簿!$D122="","",名簿!$B122&amp;"")</f>
        <v/>
      </c>
      <c r="B122" s="91" t="str">
        <f aca="false">IF(名簿!$D122="","",名簿!$C122)</f>
        <v/>
      </c>
      <c r="C122" s="59" t="str">
        <f aca="false">IF(名簿!$D122="","",名簿!$D122&amp;IF(名簿!$F122="転出","（転出）",""))</f>
        <v/>
      </c>
      <c r="D122" s="149"/>
      <c r="E122" s="61" t="str">
        <f aca="false">IF(OR($C122="",名簿!$F122="転出"),"",IF($C$2="学級ごと",$A122,IF($C$2="前の単元と同じ",単元13!$E122&amp;"",$D122&amp;"")))</f>
        <v/>
      </c>
      <c r="F122" s="150"/>
      <c r="G122" s="150"/>
      <c r="H122" s="150"/>
      <c r="I122" s="151"/>
      <c r="J122" s="41" t="str">
        <f aca="false">IF($E122="","",$E122&amp;"|"&amp;COUNTIF($E$5:$E122,$E122))</f>
        <v/>
      </c>
      <c r="K122" s="40" t="str">
        <f aca="false">IF($I122="","",LEN($I122))</f>
        <v/>
      </c>
      <c r="L122" s="13"/>
      <c r="M122" s="13"/>
      <c r="N122" s="13"/>
      <c r="O122" s="13"/>
      <c r="P122" s="152"/>
      <c r="Q122" s="149"/>
      <c r="R122" s="152"/>
      <c r="S122" s="152"/>
      <c r="T122" s="62" t="str">
        <f aca="false">IF(OR($C122="",R122=""),"",IF(R122/IF($R$2="",100,$R$2)&gt;=設定!$I$28,設定!$G$8,IF(R122/IF($R$2="",100,$R$2)&lt;設定!$I$29,設定!$G$10,設定!$G$9)))</f>
        <v/>
      </c>
      <c r="U122" s="62" t="str">
        <f aca="false">IF(OR($C122="",S122=""),"",IF(S122/IF($S$2="",100,$S$2)&gt;=設定!$I$28,設定!$G$8,IF(S122/IF($S$2="",100,$S$2)&lt;設定!$I$29,設定!$G$10,設定!$G$9)))</f>
        <v/>
      </c>
    </row>
    <row r="123" customFormat="false" ht="21" hidden="false" customHeight="true" outlineLevel="0" collapsed="false">
      <c r="A123" s="91" t="str">
        <f aca="false">IF(名簿!$D123="","",名簿!$B123&amp;"")</f>
        <v/>
      </c>
      <c r="B123" s="91" t="str">
        <f aca="false">IF(名簿!$D123="","",名簿!$C123)</f>
        <v/>
      </c>
      <c r="C123" s="59" t="str">
        <f aca="false">IF(名簿!$D123="","",名簿!$D123&amp;IF(名簿!$F123="転出","（転出）",""))</f>
        <v/>
      </c>
      <c r="D123" s="149"/>
      <c r="E123" s="61" t="str">
        <f aca="false">IF(OR($C123="",名簿!$F123="転出"),"",IF($C$2="学級ごと",$A123,IF($C$2="前の単元と同じ",単元13!$E123&amp;"",$D123&amp;"")))</f>
        <v/>
      </c>
      <c r="F123" s="150"/>
      <c r="G123" s="150"/>
      <c r="H123" s="150"/>
      <c r="I123" s="151"/>
      <c r="J123" s="41" t="str">
        <f aca="false">IF($E123="","",$E123&amp;"|"&amp;COUNTIF($E$5:$E123,$E123))</f>
        <v/>
      </c>
      <c r="K123" s="40" t="str">
        <f aca="false">IF($I123="","",LEN($I123))</f>
        <v/>
      </c>
      <c r="L123" s="13"/>
      <c r="M123" s="13"/>
      <c r="N123" s="13"/>
      <c r="O123" s="13"/>
      <c r="P123" s="152"/>
      <c r="Q123" s="149"/>
      <c r="R123" s="152"/>
      <c r="S123" s="152"/>
      <c r="T123" s="62" t="str">
        <f aca="false">IF(OR($C123="",R123=""),"",IF(R123/IF($R$2="",100,$R$2)&gt;=設定!$I$28,設定!$G$8,IF(R123/IF($R$2="",100,$R$2)&lt;設定!$I$29,設定!$G$10,設定!$G$9)))</f>
        <v/>
      </c>
      <c r="U123" s="62" t="str">
        <f aca="false">IF(OR($C123="",S123=""),"",IF(S123/IF($S$2="",100,$S$2)&gt;=設定!$I$28,設定!$G$8,IF(S123/IF($S$2="",100,$S$2)&lt;設定!$I$29,設定!$G$10,設定!$G$9)))</f>
        <v/>
      </c>
    </row>
    <row r="124" customFormat="false" ht="21" hidden="false" customHeight="true" outlineLevel="0" collapsed="false">
      <c r="A124" s="91" t="str">
        <f aca="false">IF(名簿!$D124="","",名簿!$B124&amp;"")</f>
        <v/>
      </c>
      <c r="B124" s="91" t="str">
        <f aca="false">IF(名簿!$D124="","",名簿!$C124)</f>
        <v/>
      </c>
      <c r="C124" s="59" t="str">
        <f aca="false">IF(名簿!$D124="","",名簿!$D124&amp;IF(名簿!$F124="転出","（転出）",""))</f>
        <v/>
      </c>
      <c r="D124" s="149"/>
      <c r="E124" s="61" t="str">
        <f aca="false">IF(OR($C124="",名簿!$F124="転出"),"",IF($C$2="学級ごと",$A124,IF($C$2="前の単元と同じ",単元13!$E124&amp;"",$D124&amp;"")))</f>
        <v/>
      </c>
      <c r="F124" s="150"/>
      <c r="G124" s="150"/>
      <c r="H124" s="150"/>
      <c r="I124" s="151"/>
      <c r="J124" s="41" t="str">
        <f aca="false">IF($E124="","",$E124&amp;"|"&amp;COUNTIF($E$5:$E124,$E124))</f>
        <v/>
      </c>
      <c r="K124" s="40" t="str">
        <f aca="false">IF($I124="","",LEN($I124))</f>
        <v/>
      </c>
      <c r="L124" s="13"/>
      <c r="M124" s="13"/>
      <c r="N124" s="13"/>
      <c r="O124" s="13"/>
      <c r="P124" s="152"/>
      <c r="Q124" s="149"/>
      <c r="R124" s="152"/>
      <c r="S124" s="152"/>
      <c r="T124" s="62" t="str">
        <f aca="false">IF(OR($C124="",R124=""),"",IF(R124/IF($R$2="",100,$R$2)&gt;=設定!$I$28,設定!$G$8,IF(R124/IF($R$2="",100,$R$2)&lt;設定!$I$29,設定!$G$10,設定!$G$9)))</f>
        <v/>
      </c>
      <c r="U124" s="62" t="str">
        <f aca="false">IF(OR($C124="",S124=""),"",IF(S124/IF($S$2="",100,$S$2)&gt;=設定!$I$28,設定!$G$8,IF(S124/IF($S$2="",100,$S$2)&lt;設定!$I$29,設定!$G$10,設定!$G$9)))</f>
        <v/>
      </c>
    </row>
    <row r="125" customFormat="false" ht="21" hidden="false" customHeight="true" outlineLevel="0" collapsed="false">
      <c r="A125" s="91" t="str">
        <f aca="false">IF(名簿!$D125="","",名簿!$B125&amp;"")</f>
        <v/>
      </c>
      <c r="B125" s="91" t="str">
        <f aca="false">IF(名簿!$D125="","",名簿!$C125)</f>
        <v/>
      </c>
      <c r="C125" s="59" t="str">
        <f aca="false">IF(名簿!$D125="","",名簿!$D125&amp;IF(名簿!$F125="転出","（転出）",""))</f>
        <v/>
      </c>
      <c r="D125" s="149"/>
      <c r="E125" s="61" t="str">
        <f aca="false">IF(OR($C125="",名簿!$F125="転出"),"",IF($C$2="学級ごと",$A125,IF($C$2="前の単元と同じ",単元13!$E125&amp;"",$D125&amp;"")))</f>
        <v/>
      </c>
      <c r="F125" s="150"/>
      <c r="G125" s="150"/>
      <c r="H125" s="150"/>
      <c r="I125" s="151"/>
      <c r="J125" s="41" t="str">
        <f aca="false">IF($E125="","",$E125&amp;"|"&amp;COUNTIF($E$5:$E125,$E125))</f>
        <v/>
      </c>
      <c r="K125" s="40" t="str">
        <f aca="false">IF($I125="","",LEN($I125))</f>
        <v/>
      </c>
      <c r="L125" s="13"/>
      <c r="M125" s="13"/>
      <c r="N125" s="13"/>
      <c r="O125" s="13"/>
      <c r="P125" s="152"/>
      <c r="Q125" s="149"/>
      <c r="R125" s="152"/>
      <c r="S125" s="152"/>
      <c r="T125" s="62" t="str">
        <f aca="false">IF(OR($C125="",R125=""),"",IF(R125/IF($R$2="",100,$R$2)&gt;=設定!$I$28,設定!$G$8,IF(R125/IF($R$2="",100,$R$2)&lt;設定!$I$29,設定!$G$10,設定!$G$9)))</f>
        <v/>
      </c>
      <c r="U125" s="62" t="str">
        <f aca="false">IF(OR($C125="",S125=""),"",IF(S125/IF($S$2="",100,$S$2)&gt;=設定!$I$28,設定!$G$8,IF(S125/IF($S$2="",100,$S$2)&lt;設定!$I$29,設定!$G$10,設定!$G$9)))</f>
        <v/>
      </c>
    </row>
    <row r="126" customFormat="false" ht="21" hidden="false" customHeight="true" outlineLevel="0" collapsed="false">
      <c r="A126" s="91" t="str">
        <f aca="false">IF(名簿!$D126="","",名簿!$B126&amp;"")</f>
        <v/>
      </c>
      <c r="B126" s="91" t="str">
        <f aca="false">IF(名簿!$D126="","",名簿!$C126)</f>
        <v/>
      </c>
      <c r="C126" s="59" t="str">
        <f aca="false">IF(名簿!$D126="","",名簿!$D126&amp;IF(名簿!$F126="転出","（転出）",""))</f>
        <v/>
      </c>
      <c r="D126" s="149"/>
      <c r="E126" s="61" t="str">
        <f aca="false">IF(OR($C126="",名簿!$F126="転出"),"",IF($C$2="学級ごと",$A126,IF($C$2="前の単元と同じ",単元13!$E126&amp;"",$D126&amp;"")))</f>
        <v/>
      </c>
      <c r="F126" s="150"/>
      <c r="G126" s="150"/>
      <c r="H126" s="150"/>
      <c r="I126" s="151"/>
      <c r="J126" s="41" t="str">
        <f aca="false">IF($E126="","",$E126&amp;"|"&amp;COUNTIF($E$5:$E126,$E126))</f>
        <v/>
      </c>
      <c r="K126" s="40" t="str">
        <f aca="false">IF($I126="","",LEN($I126))</f>
        <v/>
      </c>
      <c r="L126" s="13"/>
      <c r="M126" s="13"/>
      <c r="N126" s="13"/>
      <c r="O126" s="13"/>
      <c r="P126" s="152"/>
      <c r="Q126" s="149"/>
      <c r="R126" s="152"/>
      <c r="S126" s="152"/>
      <c r="T126" s="62" t="str">
        <f aca="false">IF(OR($C126="",R126=""),"",IF(R126/IF($R$2="",100,$R$2)&gt;=設定!$I$28,設定!$G$8,IF(R126/IF($R$2="",100,$R$2)&lt;設定!$I$29,設定!$G$10,設定!$G$9)))</f>
        <v/>
      </c>
      <c r="U126" s="62" t="str">
        <f aca="false">IF(OR($C126="",S126=""),"",IF(S126/IF($S$2="",100,$S$2)&gt;=設定!$I$28,設定!$G$8,IF(S126/IF($S$2="",100,$S$2)&lt;設定!$I$29,設定!$G$10,設定!$G$9)))</f>
        <v/>
      </c>
    </row>
    <row r="127" customFormat="false" ht="21" hidden="false" customHeight="true" outlineLevel="0" collapsed="false">
      <c r="A127" s="91" t="str">
        <f aca="false">IF(名簿!$D127="","",名簿!$B127&amp;"")</f>
        <v/>
      </c>
      <c r="B127" s="91" t="str">
        <f aca="false">IF(名簿!$D127="","",名簿!$C127)</f>
        <v/>
      </c>
      <c r="C127" s="59" t="str">
        <f aca="false">IF(名簿!$D127="","",名簿!$D127&amp;IF(名簿!$F127="転出","（転出）",""))</f>
        <v/>
      </c>
      <c r="D127" s="149"/>
      <c r="E127" s="61" t="str">
        <f aca="false">IF(OR($C127="",名簿!$F127="転出"),"",IF($C$2="学級ごと",$A127,IF($C$2="前の単元と同じ",単元13!$E127&amp;"",$D127&amp;"")))</f>
        <v/>
      </c>
      <c r="F127" s="150"/>
      <c r="G127" s="150"/>
      <c r="H127" s="150"/>
      <c r="I127" s="151"/>
      <c r="J127" s="41" t="str">
        <f aca="false">IF($E127="","",$E127&amp;"|"&amp;COUNTIF($E$5:$E127,$E127))</f>
        <v/>
      </c>
      <c r="K127" s="40" t="str">
        <f aca="false">IF($I127="","",LEN($I127))</f>
        <v/>
      </c>
      <c r="L127" s="13"/>
      <c r="M127" s="13"/>
      <c r="N127" s="13"/>
      <c r="O127" s="13"/>
      <c r="P127" s="152"/>
      <c r="Q127" s="149"/>
      <c r="R127" s="152"/>
      <c r="S127" s="152"/>
      <c r="T127" s="62" t="str">
        <f aca="false">IF(OR($C127="",R127=""),"",IF(R127/IF($R$2="",100,$R$2)&gt;=設定!$I$28,設定!$G$8,IF(R127/IF($R$2="",100,$R$2)&lt;設定!$I$29,設定!$G$10,設定!$G$9)))</f>
        <v/>
      </c>
      <c r="U127" s="62" t="str">
        <f aca="false">IF(OR($C127="",S127=""),"",IF(S127/IF($S$2="",100,$S$2)&gt;=設定!$I$28,設定!$G$8,IF(S127/IF($S$2="",100,$S$2)&lt;設定!$I$29,設定!$G$10,設定!$G$9)))</f>
        <v/>
      </c>
    </row>
    <row r="128" customFormat="false" ht="21" hidden="false" customHeight="true" outlineLevel="0" collapsed="false">
      <c r="A128" s="91" t="str">
        <f aca="false">IF(名簿!$D128="","",名簿!$B128&amp;"")</f>
        <v/>
      </c>
      <c r="B128" s="91" t="str">
        <f aca="false">IF(名簿!$D128="","",名簿!$C128)</f>
        <v/>
      </c>
      <c r="C128" s="59" t="str">
        <f aca="false">IF(名簿!$D128="","",名簿!$D128&amp;IF(名簿!$F128="転出","（転出）",""))</f>
        <v/>
      </c>
      <c r="D128" s="149"/>
      <c r="E128" s="61" t="str">
        <f aca="false">IF(OR($C128="",名簿!$F128="転出"),"",IF($C$2="学級ごと",$A128,IF($C$2="前の単元と同じ",単元13!$E128&amp;"",$D128&amp;"")))</f>
        <v/>
      </c>
      <c r="F128" s="150"/>
      <c r="G128" s="150"/>
      <c r="H128" s="150"/>
      <c r="I128" s="151"/>
      <c r="J128" s="41" t="str">
        <f aca="false">IF($E128="","",$E128&amp;"|"&amp;COUNTIF($E$5:$E128,$E128))</f>
        <v/>
      </c>
      <c r="K128" s="40" t="str">
        <f aca="false">IF($I128="","",LEN($I128))</f>
        <v/>
      </c>
      <c r="L128" s="13"/>
      <c r="M128" s="13"/>
      <c r="N128" s="13"/>
      <c r="O128" s="13"/>
      <c r="P128" s="152"/>
      <c r="Q128" s="149"/>
      <c r="R128" s="152"/>
      <c r="S128" s="152"/>
      <c r="T128" s="62" t="str">
        <f aca="false">IF(OR($C128="",R128=""),"",IF(R128/IF($R$2="",100,$R$2)&gt;=設定!$I$28,設定!$G$8,IF(R128/IF($R$2="",100,$R$2)&lt;設定!$I$29,設定!$G$10,設定!$G$9)))</f>
        <v/>
      </c>
      <c r="U128" s="62" t="str">
        <f aca="false">IF(OR($C128="",S128=""),"",IF(S128/IF($S$2="",100,$S$2)&gt;=設定!$I$28,設定!$G$8,IF(S128/IF($S$2="",100,$S$2)&lt;設定!$I$29,設定!$G$10,設定!$G$9)))</f>
        <v/>
      </c>
    </row>
    <row r="129" customFormat="false" ht="21" hidden="false" customHeight="true" outlineLevel="0" collapsed="false">
      <c r="A129" s="91" t="str">
        <f aca="false">IF(名簿!$D129="","",名簿!$B129&amp;"")</f>
        <v/>
      </c>
      <c r="B129" s="91" t="str">
        <f aca="false">IF(名簿!$D129="","",名簿!$C129)</f>
        <v/>
      </c>
      <c r="C129" s="59" t="str">
        <f aca="false">IF(名簿!$D129="","",名簿!$D129&amp;IF(名簿!$F129="転出","（転出）",""))</f>
        <v/>
      </c>
      <c r="D129" s="149"/>
      <c r="E129" s="61" t="str">
        <f aca="false">IF(OR($C129="",名簿!$F129="転出"),"",IF($C$2="学級ごと",$A129,IF($C$2="前の単元と同じ",単元13!$E129&amp;"",$D129&amp;"")))</f>
        <v/>
      </c>
      <c r="F129" s="150"/>
      <c r="G129" s="150"/>
      <c r="H129" s="150"/>
      <c r="I129" s="151"/>
      <c r="J129" s="41" t="str">
        <f aca="false">IF($E129="","",$E129&amp;"|"&amp;COUNTIF($E$5:$E129,$E129))</f>
        <v/>
      </c>
      <c r="K129" s="40" t="str">
        <f aca="false">IF($I129="","",LEN($I129))</f>
        <v/>
      </c>
      <c r="L129" s="13"/>
      <c r="M129" s="13"/>
      <c r="N129" s="13"/>
      <c r="O129" s="13"/>
      <c r="P129" s="152"/>
      <c r="Q129" s="149"/>
      <c r="R129" s="152"/>
      <c r="S129" s="152"/>
      <c r="T129" s="62" t="str">
        <f aca="false">IF(OR($C129="",R129=""),"",IF(R129/IF($R$2="",100,$R$2)&gt;=設定!$I$28,設定!$G$8,IF(R129/IF($R$2="",100,$R$2)&lt;設定!$I$29,設定!$G$10,設定!$G$9)))</f>
        <v/>
      </c>
      <c r="U129" s="62" t="str">
        <f aca="false">IF(OR($C129="",S129=""),"",IF(S129/IF($S$2="",100,$S$2)&gt;=設定!$I$28,設定!$G$8,IF(S129/IF($S$2="",100,$S$2)&lt;設定!$I$29,設定!$G$10,設定!$G$9)))</f>
        <v/>
      </c>
    </row>
    <row r="130" customFormat="false" ht="21" hidden="false" customHeight="true" outlineLevel="0" collapsed="false">
      <c r="A130" s="91" t="str">
        <f aca="false">IF(名簿!$D130="","",名簿!$B130&amp;"")</f>
        <v/>
      </c>
      <c r="B130" s="91" t="str">
        <f aca="false">IF(名簿!$D130="","",名簿!$C130)</f>
        <v/>
      </c>
      <c r="C130" s="59" t="str">
        <f aca="false">IF(名簿!$D130="","",名簿!$D130&amp;IF(名簿!$F130="転出","（転出）",""))</f>
        <v/>
      </c>
      <c r="D130" s="149"/>
      <c r="E130" s="61" t="str">
        <f aca="false">IF(OR($C130="",名簿!$F130="転出"),"",IF($C$2="学級ごと",$A130,IF($C$2="前の単元と同じ",単元13!$E130&amp;"",$D130&amp;"")))</f>
        <v/>
      </c>
      <c r="F130" s="150"/>
      <c r="G130" s="150"/>
      <c r="H130" s="150"/>
      <c r="I130" s="151"/>
      <c r="J130" s="41" t="str">
        <f aca="false">IF($E130="","",$E130&amp;"|"&amp;COUNTIF($E$5:$E130,$E130))</f>
        <v/>
      </c>
      <c r="K130" s="40" t="str">
        <f aca="false">IF($I130="","",LEN($I130))</f>
        <v/>
      </c>
      <c r="L130" s="13"/>
      <c r="M130" s="13"/>
      <c r="N130" s="13"/>
      <c r="O130" s="13"/>
      <c r="P130" s="152"/>
      <c r="Q130" s="149"/>
      <c r="R130" s="152"/>
      <c r="S130" s="152"/>
      <c r="T130" s="62" t="str">
        <f aca="false">IF(OR($C130="",R130=""),"",IF(R130/IF($R$2="",100,$R$2)&gt;=設定!$I$28,設定!$G$8,IF(R130/IF($R$2="",100,$R$2)&lt;設定!$I$29,設定!$G$10,設定!$G$9)))</f>
        <v/>
      </c>
      <c r="U130" s="62" t="str">
        <f aca="false">IF(OR($C130="",S130=""),"",IF(S130/IF($S$2="",100,$S$2)&gt;=設定!$I$28,設定!$G$8,IF(S130/IF($S$2="",100,$S$2)&lt;設定!$I$29,設定!$G$10,設定!$G$9)))</f>
        <v/>
      </c>
    </row>
    <row r="131" customFormat="false" ht="21" hidden="false" customHeight="true" outlineLevel="0" collapsed="false">
      <c r="A131" s="91" t="str">
        <f aca="false">IF(名簿!$D131="","",名簿!$B131&amp;"")</f>
        <v/>
      </c>
      <c r="B131" s="91" t="str">
        <f aca="false">IF(名簿!$D131="","",名簿!$C131)</f>
        <v/>
      </c>
      <c r="C131" s="59" t="str">
        <f aca="false">IF(名簿!$D131="","",名簿!$D131&amp;IF(名簿!$F131="転出","（転出）",""))</f>
        <v/>
      </c>
      <c r="D131" s="149"/>
      <c r="E131" s="61" t="str">
        <f aca="false">IF(OR($C131="",名簿!$F131="転出"),"",IF($C$2="学級ごと",$A131,IF($C$2="前の単元と同じ",単元13!$E131&amp;"",$D131&amp;"")))</f>
        <v/>
      </c>
      <c r="F131" s="150"/>
      <c r="G131" s="150"/>
      <c r="H131" s="150"/>
      <c r="I131" s="151"/>
      <c r="J131" s="41" t="str">
        <f aca="false">IF($E131="","",$E131&amp;"|"&amp;COUNTIF($E$5:$E131,$E131))</f>
        <v/>
      </c>
      <c r="K131" s="40" t="str">
        <f aca="false">IF($I131="","",LEN($I131))</f>
        <v/>
      </c>
      <c r="L131" s="13"/>
      <c r="M131" s="13"/>
      <c r="N131" s="13"/>
      <c r="O131" s="13"/>
      <c r="P131" s="152"/>
      <c r="Q131" s="149"/>
      <c r="R131" s="152"/>
      <c r="S131" s="152"/>
      <c r="T131" s="62" t="str">
        <f aca="false">IF(OR($C131="",R131=""),"",IF(R131/IF($R$2="",100,$R$2)&gt;=設定!$I$28,設定!$G$8,IF(R131/IF($R$2="",100,$R$2)&lt;設定!$I$29,設定!$G$10,設定!$G$9)))</f>
        <v/>
      </c>
      <c r="U131" s="62" t="str">
        <f aca="false">IF(OR($C131="",S131=""),"",IF(S131/IF($S$2="",100,$S$2)&gt;=設定!$I$28,設定!$G$8,IF(S131/IF($S$2="",100,$S$2)&lt;設定!$I$29,設定!$G$10,設定!$G$9)))</f>
        <v/>
      </c>
    </row>
    <row r="132" customFormat="false" ht="21" hidden="false" customHeight="true" outlineLevel="0" collapsed="false">
      <c r="A132" s="91" t="str">
        <f aca="false">IF(名簿!$D132="","",名簿!$B132&amp;"")</f>
        <v/>
      </c>
      <c r="B132" s="91" t="str">
        <f aca="false">IF(名簿!$D132="","",名簿!$C132)</f>
        <v/>
      </c>
      <c r="C132" s="59" t="str">
        <f aca="false">IF(名簿!$D132="","",名簿!$D132&amp;IF(名簿!$F132="転出","（転出）",""))</f>
        <v/>
      </c>
      <c r="D132" s="149"/>
      <c r="E132" s="61" t="str">
        <f aca="false">IF(OR($C132="",名簿!$F132="転出"),"",IF($C$2="学級ごと",$A132,IF($C$2="前の単元と同じ",単元13!$E132&amp;"",$D132&amp;"")))</f>
        <v/>
      </c>
      <c r="F132" s="150"/>
      <c r="G132" s="150"/>
      <c r="H132" s="150"/>
      <c r="I132" s="151"/>
      <c r="J132" s="41" t="str">
        <f aca="false">IF($E132="","",$E132&amp;"|"&amp;COUNTIF($E$5:$E132,$E132))</f>
        <v/>
      </c>
      <c r="K132" s="40" t="str">
        <f aca="false">IF($I132="","",LEN($I132))</f>
        <v/>
      </c>
      <c r="L132" s="13"/>
      <c r="M132" s="13"/>
      <c r="N132" s="13"/>
      <c r="O132" s="13"/>
      <c r="P132" s="152"/>
      <c r="Q132" s="149"/>
      <c r="R132" s="152"/>
      <c r="S132" s="152"/>
      <c r="T132" s="62" t="str">
        <f aca="false">IF(OR($C132="",R132=""),"",IF(R132/IF($R$2="",100,$R$2)&gt;=設定!$I$28,設定!$G$8,IF(R132/IF($R$2="",100,$R$2)&lt;設定!$I$29,設定!$G$10,設定!$G$9)))</f>
        <v/>
      </c>
      <c r="U132" s="62" t="str">
        <f aca="false">IF(OR($C132="",S132=""),"",IF(S132/IF($S$2="",100,$S$2)&gt;=設定!$I$28,設定!$G$8,IF(S132/IF($S$2="",100,$S$2)&lt;設定!$I$29,設定!$G$10,設定!$G$9)))</f>
        <v/>
      </c>
    </row>
    <row r="133" customFormat="false" ht="21" hidden="false" customHeight="true" outlineLevel="0" collapsed="false">
      <c r="A133" s="91" t="str">
        <f aca="false">IF(名簿!$D133="","",名簿!$B133&amp;"")</f>
        <v/>
      </c>
      <c r="B133" s="91" t="str">
        <f aca="false">IF(名簿!$D133="","",名簿!$C133)</f>
        <v/>
      </c>
      <c r="C133" s="59" t="str">
        <f aca="false">IF(名簿!$D133="","",名簿!$D133&amp;IF(名簿!$F133="転出","（転出）",""))</f>
        <v/>
      </c>
      <c r="D133" s="149"/>
      <c r="E133" s="61" t="str">
        <f aca="false">IF(OR($C133="",名簿!$F133="転出"),"",IF($C$2="学級ごと",$A133,IF($C$2="前の単元と同じ",単元13!$E133&amp;"",$D133&amp;"")))</f>
        <v/>
      </c>
      <c r="F133" s="150"/>
      <c r="G133" s="150"/>
      <c r="H133" s="150"/>
      <c r="I133" s="151"/>
      <c r="J133" s="41" t="str">
        <f aca="false">IF($E133="","",$E133&amp;"|"&amp;COUNTIF($E$5:$E133,$E133))</f>
        <v/>
      </c>
      <c r="K133" s="40" t="str">
        <f aca="false">IF($I133="","",LEN($I133))</f>
        <v/>
      </c>
      <c r="L133" s="13"/>
      <c r="M133" s="13"/>
      <c r="N133" s="13"/>
      <c r="O133" s="13"/>
      <c r="P133" s="152"/>
      <c r="Q133" s="149"/>
      <c r="R133" s="152"/>
      <c r="S133" s="152"/>
      <c r="T133" s="62" t="str">
        <f aca="false">IF(OR($C133="",R133=""),"",IF(R133/IF($R$2="",100,$R$2)&gt;=設定!$I$28,設定!$G$8,IF(R133/IF($R$2="",100,$R$2)&lt;設定!$I$29,設定!$G$10,設定!$G$9)))</f>
        <v/>
      </c>
      <c r="U133" s="62" t="str">
        <f aca="false">IF(OR($C133="",S133=""),"",IF(S133/IF($S$2="",100,$S$2)&gt;=設定!$I$28,設定!$G$8,IF(S133/IF($S$2="",100,$S$2)&lt;設定!$I$29,設定!$G$10,設定!$G$9)))</f>
        <v/>
      </c>
    </row>
    <row r="134" customFormat="false" ht="21" hidden="false" customHeight="true" outlineLevel="0" collapsed="false">
      <c r="A134" s="91" t="str">
        <f aca="false">IF(名簿!$D134="","",名簿!$B134&amp;"")</f>
        <v/>
      </c>
      <c r="B134" s="91" t="str">
        <f aca="false">IF(名簿!$D134="","",名簿!$C134)</f>
        <v/>
      </c>
      <c r="C134" s="59" t="str">
        <f aca="false">IF(名簿!$D134="","",名簿!$D134&amp;IF(名簿!$F134="転出","（転出）",""))</f>
        <v/>
      </c>
      <c r="D134" s="149"/>
      <c r="E134" s="61" t="str">
        <f aca="false">IF(OR($C134="",名簿!$F134="転出"),"",IF($C$2="学級ごと",$A134,IF($C$2="前の単元と同じ",単元13!$E134&amp;"",$D134&amp;"")))</f>
        <v/>
      </c>
      <c r="F134" s="150"/>
      <c r="G134" s="150"/>
      <c r="H134" s="150"/>
      <c r="I134" s="151"/>
      <c r="J134" s="41" t="str">
        <f aca="false">IF($E134="","",$E134&amp;"|"&amp;COUNTIF($E$5:$E134,$E134))</f>
        <v/>
      </c>
      <c r="K134" s="40" t="str">
        <f aca="false">IF($I134="","",LEN($I134))</f>
        <v/>
      </c>
      <c r="L134" s="13"/>
      <c r="M134" s="13"/>
      <c r="N134" s="13"/>
      <c r="O134" s="13"/>
      <c r="P134" s="152"/>
      <c r="Q134" s="149"/>
      <c r="R134" s="152"/>
      <c r="S134" s="152"/>
      <c r="T134" s="62" t="str">
        <f aca="false">IF(OR($C134="",R134=""),"",IF(R134/IF($R$2="",100,$R$2)&gt;=設定!$I$28,設定!$G$8,IF(R134/IF($R$2="",100,$R$2)&lt;設定!$I$29,設定!$G$10,設定!$G$9)))</f>
        <v/>
      </c>
      <c r="U134" s="62" t="str">
        <f aca="false">IF(OR($C134="",S134=""),"",IF(S134/IF($S$2="",100,$S$2)&gt;=設定!$I$28,設定!$G$8,IF(S134/IF($S$2="",100,$S$2)&lt;設定!$I$29,設定!$G$10,設定!$G$9)))</f>
        <v/>
      </c>
    </row>
    <row r="135" customFormat="false" ht="21" hidden="false" customHeight="true" outlineLevel="0" collapsed="false">
      <c r="A135" s="91" t="str">
        <f aca="false">IF(名簿!$D135="","",名簿!$B135&amp;"")</f>
        <v/>
      </c>
      <c r="B135" s="91" t="str">
        <f aca="false">IF(名簿!$D135="","",名簿!$C135)</f>
        <v/>
      </c>
      <c r="C135" s="59" t="str">
        <f aca="false">IF(名簿!$D135="","",名簿!$D135&amp;IF(名簿!$F135="転出","（転出）",""))</f>
        <v/>
      </c>
      <c r="D135" s="149"/>
      <c r="E135" s="61" t="str">
        <f aca="false">IF(OR($C135="",名簿!$F135="転出"),"",IF($C$2="学級ごと",$A135,IF($C$2="前の単元と同じ",単元13!$E135&amp;"",$D135&amp;"")))</f>
        <v/>
      </c>
      <c r="F135" s="150"/>
      <c r="G135" s="150"/>
      <c r="H135" s="150"/>
      <c r="I135" s="151"/>
      <c r="J135" s="41" t="str">
        <f aca="false">IF($E135="","",$E135&amp;"|"&amp;COUNTIF($E$5:$E135,$E135))</f>
        <v/>
      </c>
      <c r="K135" s="40" t="str">
        <f aca="false">IF($I135="","",LEN($I135))</f>
        <v/>
      </c>
      <c r="L135" s="13"/>
      <c r="M135" s="13"/>
      <c r="N135" s="13"/>
      <c r="O135" s="13"/>
      <c r="P135" s="152"/>
      <c r="Q135" s="149"/>
      <c r="R135" s="152"/>
      <c r="S135" s="152"/>
      <c r="T135" s="62" t="str">
        <f aca="false">IF(OR($C135="",R135=""),"",IF(R135/IF($R$2="",100,$R$2)&gt;=設定!$I$28,設定!$G$8,IF(R135/IF($R$2="",100,$R$2)&lt;設定!$I$29,設定!$G$10,設定!$G$9)))</f>
        <v/>
      </c>
      <c r="U135" s="62" t="str">
        <f aca="false">IF(OR($C135="",S135=""),"",IF(S135/IF($S$2="",100,$S$2)&gt;=設定!$I$28,設定!$G$8,IF(S135/IF($S$2="",100,$S$2)&lt;設定!$I$29,設定!$G$10,設定!$G$9)))</f>
        <v/>
      </c>
    </row>
    <row r="136" customFormat="false" ht="21" hidden="false" customHeight="true" outlineLevel="0" collapsed="false">
      <c r="A136" s="91" t="str">
        <f aca="false">IF(名簿!$D136="","",名簿!$B136&amp;"")</f>
        <v/>
      </c>
      <c r="B136" s="91" t="str">
        <f aca="false">IF(名簿!$D136="","",名簿!$C136)</f>
        <v/>
      </c>
      <c r="C136" s="59" t="str">
        <f aca="false">IF(名簿!$D136="","",名簿!$D136&amp;IF(名簿!$F136="転出","（転出）",""))</f>
        <v/>
      </c>
      <c r="D136" s="149"/>
      <c r="E136" s="61" t="str">
        <f aca="false">IF(OR($C136="",名簿!$F136="転出"),"",IF($C$2="学級ごと",$A136,IF($C$2="前の単元と同じ",単元13!$E136&amp;"",$D136&amp;"")))</f>
        <v/>
      </c>
      <c r="F136" s="150"/>
      <c r="G136" s="150"/>
      <c r="H136" s="150"/>
      <c r="I136" s="151"/>
      <c r="J136" s="41" t="str">
        <f aca="false">IF($E136="","",$E136&amp;"|"&amp;COUNTIF($E$5:$E136,$E136))</f>
        <v/>
      </c>
      <c r="K136" s="40" t="str">
        <f aca="false">IF($I136="","",LEN($I136))</f>
        <v/>
      </c>
      <c r="L136" s="13"/>
      <c r="M136" s="13"/>
      <c r="N136" s="13"/>
      <c r="O136" s="13"/>
      <c r="P136" s="152"/>
      <c r="Q136" s="149"/>
      <c r="R136" s="152"/>
      <c r="S136" s="152"/>
      <c r="T136" s="62" t="str">
        <f aca="false">IF(OR($C136="",R136=""),"",IF(R136/IF($R$2="",100,$R$2)&gt;=設定!$I$28,設定!$G$8,IF(R136/IF($R$2="",100,$R$2)&lt;設定!$I$29,設定!$G$10,設定!$G$9)))</f>
        <v/>
      </c>
      <c r="U136" s="62" t="str">
        <f aca="false">IF(OR($C136="",S136=""),"",IF(S136/IF($S$2="",100,$S$2)&gt;=設定!$I$28,設定!$G$8,IF(S136/IF($S$2="",100,$S$2)&lt;設定!$I$29,設定!$G$10,設定!$G$9)))</f>
        <v/>
      </c>
    </row>
    <row r="137" customFormat="false" ht="21" hidden="false" customHeight="true" outlineLevel="0" collapsed="false">
      <c r="A137" s="91" t="str">
        <f aca="false">IF(名簿!$D137="","",名簿!$B137&amp;"")</f>
        <v/>
      </c>
      <c r="B137" s="91" t="str">
        <f aca="false">IF(名簿!$D137="","",名簿!$C137)</f>
        <v/>
      </c>
      <c r="C137" s="59" t="str">
        <f aca="false">IF(名簿!$D137="","",名簿!$D137&amp;IF(名簿!$F137="転出","（転出）",""))</f>
        <v/>
      </c>
      <c r="D137" s="149"/>
      <c r="E137" s="61" t="str">
        <f aca="false">IF(OR($C137="",名簿!$F137="転出"),"",IF($C$2="学級ごと",$A137,IF($C$2="前の単元と同じ",単元13!$E137&amp;"",$D137&amp;"")))</f>
        <v/>
      </c>
      <c r="F137" s="150"/>
      <c r="G137" s="150"/>
      <c r="H137" s="150"/>
      <c r="I137" s="151"/>
      <c r="J137" s="41" t="str">
        <f aca="false">IF($E137="","",$E137&amp;"|"&amp;COUNTIF($E$5:$E137,$E137))</f>
        <v/>
      </c>
      <c r="K137" s="40" t="str">
        <f aca="false">IF($I137="","",LEN($I137))</f>
        <v/>
      </c>
      <c r="L137" s="13"/>
      <c r="M137" s="13"/>
      <c r="N137" s="13"/>
      <c r="O137" s="13"/>
      <c r="P137" s="152"/>
      <c r="Q137" s="149"/>
      <c r="R137" s="152"/>
      <c r="S137" s="152"/>
      <c r="T137" s="62" t="str">
        <f aca="false">IF(OR($C137="",R137=""),"",IF(R137/IF($R$2="",100,$R$2)&gt;=設定!$I$28,設定!$G$8,IF(R137/IF($R$2="",100,$R$2)&lt;設定!$I$29,設定!$G$10,設定!$G$9)))</f>
        <v/>
      </c>
      <c r="U137" s="62" t="str">
        <f aca="false">IF(OR($C137="",S137=""),"",IF(S137/IF($S$2="",100,$S$2)&gt;=設定!$I$28,設定!$G$8,IF(S137/IF($S$2="",100,$S$2)&lt;設定!$I$29,設定!$G$10,設定!$G$9)))</f>
        <v/>
      </c>
    </row>
    <row r="138" customFormat="false" ht="21" hidden="false" customHeight="true" outlineLevel="0" collapsed="false">
      <c r="A138" s="91" t="str">
        <f aca="false">IF(名簿!$D138="","",名簿!$B138&amp;"")</f>
        <v/>
      </c>
      <c r="B138" s="91" t="str">
        <f aca="false">IF(名簿!$D138="","",名簿!$C138)</f>
        <v/>
      </c>
      <c r="C138" s="59" t="str">
        <f aca="false">IF(名簿!$D138="","",名簿!$D138&amp;IF(名簿!$F138="転出","（転出）",""))</f>
        <v/>
      </c>
      <c r="D138" s="149"/>
      <c r="E138" s="61" t="str">
        <f aca="false">IF(OR($C138="",名簿!$F138="転出"),"",IF($C$2="学級ごと",$A138,IF($C$2="前の単元と同じ",単元13!$E138&amp;"",$D138&amp;"")))</f>
        <v/>
      </c>
      <c r="F138" s="150"/>
      <c r="G138" s="150"/>
      <c r="H138" s="150"/>
      <c r="I138" s="151"/>
      <c r="J138" s="41" t="str">
        <f aca="false">IF($E138="","",$E138&amp;"|"&amp;COUNTIF($E$5:$E138,$E138))</f>
        <v/>
      </c>
      <c r="K138" s="40" t="str">
        <f aca="false">IF($I138="","",LEN($I138))</f>
        <v/>
      </c>
      <c r="L138" s="13"/>
      <c r="M138" s="13"/>
      <c r="N138" s="13"/>
      <c r="O138" s="13"/>
      <c r="P138" s="152"/>
      <c r="Q138" s="149"/>
      <c r="R138" s="152"/>
      <c r="S138" s="152"/>
      <c r="T138" s="62" t="str">
        <f aca="false">IF(OR($C138="",R138=""),"",IF(R138/IF($R$2="",100,$R$2)&gt;=設定!$I$28,設定!$G$8,IF(R138/IF($R$2="",100,$R$2)&lt;設定!$I$29,設定!$G$10,設定!$G$9)))</f>
        <v/>
      </c>
      <c r="U138" s="62" t="str">
        <f aca="false">IF(OR($C138="",S138=""),"",IF(S138/IF($S$2="",100,$S$2)&gt;=設定!$I$28,設定!$G$8,IF(S138/IF($S$2="",100,$S$2)&lt;設定!$I$29,設定!$G$10,設定!$G$9)))</f>
        <v/>
      </c>
    </row>
    <row r="139" customFormat="false" ht="21" hidden="false" customHeight="true" outlineLevel="0" collapsed="false">
      <c r="A139" s="91" t="str">
        <f aca="false">IF(名簿!$D139="","",名簿!$B139&amp;"")</f>
        <v/>
      </c>
      <c r="B139" s="91" t="str">
        <f aca="false">IF(名簿!$D139="","",名簿!$C139)</f>
        <v/>
      </c>
      <c r="C139" s="59" t="str">
        <f aca="false">IF(名簿!$D139="","",名簿!$D139&amp;IF(名簿!$F139="転出","（転出）",""))</f>
        <v/>
      </c>
      <c r="D139" s="149"/>
      <c r="E139" s="61" t="str">
        <f aca="false">IF(OR($C139="",名簿!$F139="転出"),"",IF($C$2="学級ごと",$A139,IF($C$2="前の単元と同じ",単元13!$E139&amp;"",$D139&amp;"")))</f>
        <v/>
      </c>
      <c r="F139" s="150"/>
      <c r="G139" s="150"/>
      <c r="H139" s="150"/>
      <c r="I139" s="151"/>
      <c r="J139" s="41" t="str">
        <f aca="false">IF($E139="","",$E139&amp;"|"&amp;COUNTIF($E$5:$E139,$E139))</f>
        <v/>
      </c>
      <c r="K139" s="40" t="str">
        <f aca="false">IF($I139="","",LEN($I139))</f>
        <v/>
      </c>
      <c r="L139" s="13"/>
      <c r="M139" s="13"/>
      <c r="N139" s="13"/>
      <c r="O139" s="13"/>
      <c r="P139" s="152"/>
      <c r="Q139" s="149"/>
      <c r="R139" s="152"/>
      <c r="S139" s="152"/>
      <c r="T139" s="62" t="str">
        <f aca="false">IF(OR($C139="",R139=""),"",IF(R139/IF($R$2="",100,$R$2)&gt;=設定!$I$28,設定!$G$8,IF(R139/IF($R$2="",100,$R$2)&lt;設定!$I$29,設定!$G$10,設定!$G$9)))</f>
        <v/>
      </c>
      <c r="U139" s="62" t="str">
        <f aca="false">IF(OR($C139="",S139=""),"",IF(S139/IF($S$2="",100,$S$2)&gt;=設定!$I$28,設定!$G$8,IF(S139/IF($S$2="",100,$S$2)&lt;設定!$I$29,設定!$G$10,設定!$G$9)))</f>
        <v/>
      </c>
    </row>
    <row r="140" customFormat="false" ht="21" hidden="false" customHeight="true" outlineLevel="0" collapsed="false">
      <c r="A140" s="91" t="str">
        <f aca="false">IF(名簿!$D140="","",名簿!$B140&amp;"")</f>
        <v/>
      </c>
      <c r="B140" s="91" t="str">
        <f aca="false">IF(名簿!$D140="","",名簿!$C140)</f>
        <v/>
      </c>
      <c r="C140" s="59" t="str">
        <f aca="false">IF(名簿!$D140="","",名簿!$D140&amp;IF(名簿!$F140="転出","（転出）",""))</f>
        <v/>
      </c>
      <c r="D140" s="149"/>
      <c r="E140" s="61" t="str">
        <f aca="false">IF(OR($C140="",名簿!$F140="転出"),"",IF($C$2="学級ごと",$A140,IF($C$2="前の単元と同じ",単元13!$E140&amp;"",$D140&amp;"")))</f>
        <v/>
      </c>
      <c r="F140" s="150"/>
      <c r="G140" s="150"/>
      <c r="H140" s="150"/>
      <c r="I140" s="151"/>
      <c r="J140" s="41" t="str">
        <f aca="false">IF($E140="","",$E140&amp;"|"&amp;COUNTIF($E$5:$E140,$E140))</f>
        <v/>
      </c>
      <c r="K140" s="40" t="str">
        <f aca="false">IF($I140="","",LEN($I140))</f>
        <v/>
      </c>
      <c r="L140" s="13"/>
      <c r="M140" s="13"/>
      <c r="N140" s="13"/>
      <c r="O140" s="13"/>
      <c r="P140" s="152"/>
      <c r="Q140" s="149"/>
      <c r="R140" s="152"/>
      <c r="S140" s="152"/>
      <c r="T140" s="62" t="str">
        <f aca="false">IF(OR($C140="",R140=""),"",IF(R140/IF($R$2="",100,$R$2)&gt;=設定!$I$28,設定!$G$8,IF(R140/IF($R$2="",100,$R$2)&lt;設定!$I$29,設定!$G$10,設定!$G$9)))</f>
        <v/>
      </c>
      <c r="U140" s="62" t="str">
        <f aca="false">IF(OR($C140="",S140=""),"",IF(S140/IF($S$2="",100,$S$2)&gt;=設定!$I$28,設定!$G$8,IF(S140/IF($S$2="",100,$S$2)&lt;設定!$I$29,設定!$G$10,設定!$G$9)))</f>
        <v/>
      </c>
    </row>
    <row r="141" customFormat="false" ht="21" hidden="false" customHeight="true" outlineLevel="0" collapsed="false">
      <c r="A141" s="91" t="str">
        <f aca="false">IF(名簿!$D141="","",名簿!$B141&amp;"")</f>
        <v/>
      </c>
      <c r="B141" s="91" t="str">
        <f aca="false">IF(名簿!$D141="","",名簿!$C141)</f>
        <v/>
      </c>
      <c r="C141" s="59" t="str">
        <f aca="false">IF(名簿!$D141="","",名簿!$D141&amp;IF(名簿!$F141="転出","（転出）",""))</f>
        <v/>
      </c>
      <c r="D141" s="149"/>
      <c r="E141" s="61" t="str">
        <f aca="false">IF(OR($C141="",名簿!$F141="転出"),"",IF($C$2="学級ごと",$A141,IF($C$2="前の単元と同じ",単元13!$E141&amp;"",$D141&amp;"")))</f>
        <v/>
      </c>
      <c r="F141" s="150"/>
      <c r="G141" s="150"/>
      <c r="H141" s="150"/>
      <c r="I141" s="151"/>
      <c r="J141" s="41" t="str">
        <f aca="false">IF($E141="","",$E141&amp;"|"&amp;COUNTIF($E$5:$E141,$E141))</f>
        <v/>
      </c>
      <c r="K141" s="40" t="str">
        <f aca="false">IF($I141="","",LEN($I141))</f>
        <v/>
      </c>
      <c r="L141" s="13"/>
      <c r="M141" s="13"/>
      <c r="N141" s="13"/>
      <c r="O141" s="13"/>
      <c r="P141" s="152"/>
      <c r="Q141" s="149"/>
      <c r="R141" s="152"/>
      <c r="S141" s="152"/>
      <c r="T141" s="62" t="str">
        <f aca="false">IF(OR($C141="",R141=""),"",IF(R141/IF($R$2="",100,$R$2)&gt;=設定!$I$28,設定!$G$8,IF(R141/IF($R$2="",100,$R$2)&lt;設定!$I$29,設定!$G$10,設定!$G$9)))</f>
        <v/>
      </c>
      <c r="U141" s="62" t="str">
        <f aca="false">IF(OR($C141="",S141=""),"",IF(S141/IF($S$2="",100,$S$2)&gt;=設定!$I$28,設定!$G$8,IF(S141/IF($S$2="",100,$S$2)&lt;設定!$I$29,設定!$G$10,設定!$G$9)))</f>
        <v/>
      </c>
    </row>
    <row r="142" customFormat="false" ht="21" hidden="false" customHeight="true" outlineLevel="0" collapsed="false">
      <c r="A142" s="91" t="str">
        <f aca="false">IF(名簿!$D142="","",名簿!$B142&amp;"")</f>
        <v/>
      </c>
      <c r="B142" s="91" t="str">
        <f aca="false">IF(名簿!$D142="","",名簿!$C142)</f>
        <v/>
      </c>
      <c r="C142" s="59" t="str">
        <f aca="false">IF(名簿!$D142="","",名簿!$D142&amp;IF(名簿!$F142="転出","（転出）",""))</f>
        <v/>
      </c>
      <c r="D142" s="149"/>
      <c r="E142" s="61" t="str">
        <f aca="false">IF(OR($C142="",名簿!$F142="転出"),"",IF($C$2="学級ごと",$A142,IF($C$2="前の単元と同じ",単元13!$E142&amp;"",$D142&amp;"")))</f>
        <v/>
      </c>
      <c r="F142" s="150"/>
      <c r="G142" s="150"/>
      <c r="H142" s="150"/>
      <c r="I142" s="151"/>
      <c r="J142" s="41" t="str">
        <f aca="false">IF($E142="","",$E142&amp;"|"&amp;COUNTIF($E$5:$E142,$E142))</f>
        <v/>
      </c>
      <c r="K142" s="40" t="str">
        <f aca="false">IF($I142="","",LEN($I142))</f>
        <v/>
      </c>
      <c r="L142" s="13"/>
      <c r="M142" s="13"/>
      <c r="N142" s="13"/>
      <c r="O142" s="13"/>
      <c r="P142" s="152"/>
      <c r="Q142" s="149"/>
      <c r="R142" s="152"/>
      <c r="S142" s="152"/>
      <c r="T142" s="62" t="str">
        <f aca="false">IF(OR($C142="",R142=""),"",IF(R142/IF($R$2="",100,$R$2)&gt;=設定!$I$28,設定!$G$8,IF(R142/IF($R$2="",100,$R$2)&lt;設定!$I$29,設定!$G$10,設定!$G$9)))</f>
        <v/>
      </c>
      <c r="U142" s="62" t="str">
        <f aca="false">IF(OR($C142="",S142=""),"",IF(S142/IF($S$2="",100,$S$2)&gt;=設定!$I$28,設定!$G$8,IF(S142/IF($S$2="",100,$S$2)&lt;設定!$I$29,設定!$G$10,設定!$G$9)))</f>
        <v/>
      </c>
    </row>
    <row r="143" customFormat="false" ht="21" hidden="false" customHeight="true" outlineLevel="0" collapsed="false">
      <c r="A143" s="91" t="str">
        <f aca="false">IF(名簿!$D143="","",名簿!$B143&amp;"")</f>
        <v/>
      </c>
      <c r="B143" s="91" t="str">
        <f aca="false">IF(名簿!$D143="","",名簿!$C143)</f>
        <v/>
      </c>
      <c r="C143" s="59" t="str">
        <f aca="false">IF(名簿!$D143="","",名簿!$D143&amp;IF(名簿!$F143="転出","（転出）",""))</f>
        <v/>
      </c>
      <c r="D143" s="149"/>
      <c r="E143" s="61" t="str">
        <f aca="false">IF(OR($C143="",名簿!$F143="転出"),"",IF($C$2="学級ごと",$A143,IF($C$2="前の単元と同じ",単元13!$E143&amp;"",$D143&amp;"")))</f>
        <v/>
      </c>
      <c r="F143" s="150"/>
      <c r="G143" s="150"/>
      <c r="H143" s="150"/>
      <c r="I143" s="151"/>
      <c r="J143" s="41" t="str">
        <f aca="false">IF($E143="","",$E143&amp;"|"&amp;COUNTIF($E$5:$E143,$E143))</f>
        <v/>
      </c>
      <c r="K143" s="40" t="str">
        <f aca="false">IF($I143="","",LEN($I143))</f>
        <v/>
      </c>
      <c r="L143" s="13"/>
      <c r="M143" s="13"/>
      <c r="N143" s="13"/>
      <c r="O143" s="13"/>
      <c r="P143" s="152"/>
      <c r="Q143" s="149"/>
      <c r="R143" s="152"/>
      <c r="S143" s="152"/>
      <c r="T143" s="62" t="str">
        <f aca="false">IF(OR($C143="",R143=""),"",IF(R143/IF($R$2="",100,$R$2)&gt;=設定!$I$28,設定!$G$8,IF(R143/IF($R$2="",100,$R$2)&lt;設定!$I$29,設定!$G$10,設定!$G$9)))</f>
        <v/>
      </c>
      <c r="U143" s="62" t="str">
        <f aca="false">IF(OR($C143="",S143=""),"",IF(S143/IF($S$2="",100,$S$2)&gt;=設定!$I$28,設定!$G$8,IF(S143/IF($S$2="",100,$S$2)&lt;設定!$I$29,設定!$G$10,設定!$G$9)))</f>
        <v/>
      </c>
    </row>
    <row r="144" customFormat="false" ht="21" hidden="false" customHeight="true" outlineLevel="0" collapsed="false">
      <c r="A144" s="91" t="str">
        <f aca="false">IF(名簿!$D144="","",名簿!$B144&amp;"")</f>
        <v/>
      </c>
      <c r="B144" s="91" t="str">
        <f aca="false">IF(名簿!$D144="","",名簿!$C144)</f>
        <v/>
      </c>
      <c r="C144" s="59" t="str">
        <f aca="false">IF(名簿!$D144="","",名簿!$D144&amp;IF(名簿!$F144="転出","（転出）",""))</f>
        <v/>
      </c>
      <c r="D144" s="149"/>
      <c r="E144" s="61" t="str">
        <f aca="false">IF(OR($C144="",名簿!$F144="転出"),"",IF($C$2="学級ごと",$A144,IF($C$2="前の単元と同じ",単元13!$E144&amp;"",$D144&amp;"")))</f>
        <v/>
      </c>
      <c r="F144" s="150"/>
      <c r="G144" s="150"/>
      <c r="H144" s="150"/>
      <c r="I144" s="151"/>
      <c r="J144" s="41" t="str">
        <f aca="false">IF($E144="","",$E144&amp;"|"&amp;COUNTIF($E$5:$E144,$E144))</f>
        <v/>
      </c>
      <c r="K144" s="40" t="str">
        <f aca="false">IF($I144="","",LEN($I144))</f>
        <v/>
      </c>
      <c r="L144" s="13"/>
      <c r="M144" s="13"/>
      <c r="N144" s="13"/>
      <c r="O144" s="13"/>
      <c r="P144" s="152"/>
      <c r="Q144" s="149"/>
      <c r="R144" s="152"/>
      <c r="S144" s="152"/>
      <c r="T144" s="62" t="str">
        <f aca="false">IF(OR($C144="",R144=""),"",IF(R144/IF($R$2="",100,$R$2)&gt;=設定!$I$28,設定!$G$8,IF(R144/IF($R$2="",100,$R$2)&lt;設定!$I$29,設定!$G$10,設定!$G$9)))</f>
        <v/>
      </c>
      <c r="U144" s="62" t="str">
        <f aca="false">IF(OR($C144="",S144=""),"",IF(S144/IF($S$2="",100,$S$2)&gt;=設定!$I$28,設定!$G$8,IF(S144/IF($S$2="",100,$S$2)&lt;設定!$I$29,設定!$G$10,設定!$G$9)))</f>
        <v/>
      </c>
    </row>
    <row r="145" customFormat="false" ht="21" hidden="false" customHeight="true" outlineLevel="0" collapsed="false">
      <c r="A145" s="91" t="str">
        <f aca="false">IF(名簿!$D145="","",名簿!$B145&amp;"")</f>
        <v/>
      </c>
      <c r="B145" s="91" t="str">
        <f aca="false">IF(名簿!$D145="","",名簿!$C145)</f>
        <v/>
      </c>
      <c r="C145" s="59" t="str">
        <f aca="false">IF(名簿!$D145="","",名簿!$D145&amp;IF(名簿!$F145="転出","（転出）",""))</f>
        <v/>
      </c>
      <c r="D145" s="149"/>
      <c r="E145" s="61" t="str">
        <f aca="false">IF(OR($C145="",名簿!$F145="転出"),"",IF($C$2="学級ごと",$A145,IF($C$2="前の単元と同じ",単元13!$E145&amp;"",$D145&amp;"")))</f>
        <v/>
      </c>
      <c r="F145" s="150"/>
      <c r="G145" s="150"/>
      <c r="H145" s="150"/>
      <c r="I145" s="151"/>
      <c r="J145" s="41" t="str">
        <f aca="false">IF($E145="","",$E145&amp;"|"&amp;COUNTIF($E$5:$E145,$E145))</f>
        <v/>
      </c>
      <c r="K145" s="40" t="str">
        <f aca="false">IF($I145="","",LEN($I145))</f>
        <v/>
      </c>
      <c r="L145" s="13"/>
      <c r="M145" s="13"/>
      <c r="N145" s="13"/>
      <c r="O145" s="13"/>
      <c r="P145" s="152"/>
      <c r="Q145" s="149"/>
      <c r="R145" s="152"/>
      <c r="S145" s="152"/>
      <c r="T145" s="62" t="str">
        <f aca="false">IF(OR($C145="",R145=""),"",IF(R145/IF($R$2="",100,$R$2)&gt;=設定!$I$28,設定!$G$8,IF(R145/IF($R$2="",100,$R$2)&lt;設定!$I$29,設定!$G$10,設定!$G$9)))</f>
        <v/>
      </c>
      <c r="U145" s="62" t="str">
        <f aca="false">IF(OR($C145="",S145=""),"",IF(S145/IF($S$2="",100,$S$2)&gt;=設定!$I$28,設定!$G$8,IF(S145/IF($S$2="",100,$S$2)&lt;設定!$I$29,設定!$G$10,設定!$G$9)))</f>
        <v/>
      </c>
    </row>
    <row r="146" customFormat="false" ht="21" hidden="false" customHeight="true" outlineLevel="0" collapsed="false">
      <c r="A146" s="91" t="str">
        <f aca="false">IF(名簿!$D146="","",名簿!$B146&amp;"")</f>
        <v/>
      </c>
      <c r="B146" s="91" t="str">
        <f aca="false">IF(名簿!$D146="","",名簿!$C146)</f>
        <v/>
      </c>
      <c r="C146" s="59" t="str">
        <f aca="false">IF(名簿!$D146="","",名簿!$D146&amp;IF(名簿!$F146="転出","（転出）",""))</f>
        <v/>
      </c>
      <c r="D146" s="149"/>
      <c r="E146" s="61" t="str">
        <f aca="false">IF(OR($C146="",名簿!$F146="転出"),"",IF($C$2="学級ごと",$A146,IF($C$2="前の単元と同じ",単元13!$E146&amp;"",$D146&amp;"")))</f>
        <v/>
      </c>
      <c r="F146" s="150"/>
      <c r="G146" s="150"/>
      <c r="H146" s="150"/>
      <c r="I146" s="151"/>
      <c r="J146" s="41" t="str">
        <f aca="false">IF($E146="","",$E146&amp;"|"&amp;COUNTIF($E$5:$E146,$E146))</f>
        <v/>
      </c>
      <c r="K146" s="40" t="str">
        <f aca="false">IF($I146="","",LEN($I146))</f>
        <v/>
      </c>
      <c r="L146" s="13"/>
      <c r="M146" s="13"/>
      <c r="N146" s="13"/>
      <c r="O146" s="13"/>
      <c r="P146" s="152"/>
      <c r="Q146" s="149"/>
      <c r="R146" s="152"/>
      <c r="S146" s="152"/>
      <c r="T146" s="62" t="str">
        <f aca="false">IF(OR($C146="",R146=""),"",IF(R146/IF($R$2="",100,$R$2)&gt;=設定!$I$28,設定!$G$8,IF(R146/IF($R$2="",100,$R$2)&lt;設定!$I$29,設定!$G$10,設定!$G$9)))</f>
        <v/>
      </c>
      <c r="U146" s="62" t="str">
        <f aca="false">IF(OR($C146="",S146=""),"",IF(S146/IF($S$2="",100,$S$2)&gt;=設定!$I$28,設定!$G$8,IF(S146/IF($S$2="",100,$S$2)&lt;設定!$I$29,設定!$G$10,設定!$G$9)))</f>
        <v/>
      </c>
    </row>
    <row r="147" customFormat="false" ht="21" hidden="false" customHeight="true" outlineLevel="0" collapsed="false">
      <c r="A147" s="91" t="str">
        <f aca="false">IF(名簿!$D147="","",名簿!$B147&amp;"")</f>
        <v/>
      </c>
      <c r="B147" s="91" t="str">
        <f aca="false">IF(名簿!$D147="","",名簿!$C147)</f>
        <v/>
      </c>
      <c r="C147" s="59" t="str">
        <f aca="false">IF(名簿!$D147="","",名簿!$D147&amp;IF(名簿!$F147="転出","（転出）",""))</f>
        <v/>
      </c>
      <c r="D147" s="149"/>
      <c r="E147" s="61" t="str">
        <f aca="false">IF(OR($C147="",名簿!$F147="転出"),"",IF($C$2="学級ごと",$A147,IF($C$2="前の単元と同じ",単元13!$E147&amp;"",$D147&amp;"")))</f>
        <v/>
      </c>
      <c r="F147" s="150"/>
      <c r="G147" s="150"/>
      <c r="H147" s="150"/>
      <c r="I147" s="151"/>
      <c r="J147" s="41" t="str">
        <f aca="false">IF($E147="","",$E147&amp;"|"&amp;COUNTIF($E$5:$E147,$E147))</f>
        <v/>
      </c>
      <c r="K147" s="40" t="str">
        <f aca="false">IF($I147="","",LEN($I147))</f>
        <v/>
      </c>
      <c r="L147" s="13"/>
      <c r="M147" s="13"/>
      <c r="N147" s="13"/>
      <c r="O147" s="13"/>
      <c r="P147" s="152"/>
      <c r="Q147" s="149"/>
      <c r="R147" s="152"/>
      <c r="S147" s="152"/>
      <c r="T147" s="62" t="str">
        <f aca="false">IF(OR($C147="",R147=""),"",IF(R147/IF($R$2="",100,$R$2)&gt;=設定!$I$28,設定!$G$8,IF(R147/IF($R$2="",100,$R$2)&lt;設定!$I$29,設定!$G$10,設定!$G$9)))</f>
        <v/>
      </c>
      <c r="U147" s="62" t="str">
        <f aca="false">IF(OR($C147="",S147=""),"",IF(S147/IF($S$2="",100,$S$2)&gt;=設定!$I$28,設定!$G$8,IF(S147/IF($S$2="",100,$S$2)&lt;設定!$I$29,設定!$G$10,設定!$G$9)))</f>
        <v/>
      </c>
    </row>
    <row r="148" customFormat="false" ht="21" hidden="false" customHeight="true" outlineLevel="0" collapsed="false">
      <c r="A148" s="91" t="str">
        <f aca="false">IF(名簿!$D148="","",名簿!$B148&amp;"")</f>
        <v/>
      </c>
      <c r="B148" s="91" t="str">
        <f aca="false">IF(名簿!$D148="","",名簿!$C148)</f>
        <v/>
      </c>
      <c r="C148" s="59" t="str">
        <f aca="false">IF(名簿!$D148="","",名簿!$D148&amp;IF(名簿!$F148="転出","（転出）",""))</f>
        <v/>
      </c>
      <c r="D148" s="149"/>
      <c r="E148" s="61" t="str">
        <f aca="false">IF(OR($C148="",名簿!$F148="転出"),"",IF($C$2="学級ごと",$A148,IF($C$2="前の単元と同じ",単元13!$E148&amp;"",$D148&amp;"")))</f>
        <v/>
      </c>
      <c r="F148" s="150"/>
      <c r="G148" s="150"/>
      <c r="H148" s="150"/>
      <c r="I148" s="151"/>
      <c r="J148" s="41" t="str">
        <f aca="false">IF($E148="","",$E148&amp;"|"&amp;COUNTIF($E$5:$E148,$E148))</f>
        <v/>
      </c>
      <c r="K148" s="40" t="str">
        <f aca="false">IF($I148="","",LEN($I148))</f>
        <v/>
      </c>
      <c r="L148" s="13"/>
      <c r="M148" s="13"/>
      <c r="N148" s="13"/>
      <c r="O148" s="13"/>
      <c r="P148" s="152"/>
      <c r="Q148" s="149"/>
      <c r="R148" s="152"/>
      <c r="S148" s="152"/>
      <c r="T148" s="62" t="str">
        <f aca="false">IF(OR($C148="",R148=""),"",IF(R148/IF($R$2="",100,$R$2)&gt;=設定!$I$28,設定!$G$8,IF(R148/IF($R$2="",100,$R$2)&lt;設定!$I$29,設定!$G$10,設定!$G$9)))</f>
        <v/>
      </c>
      <c r="U148" s="62" t="str">
        <f aca="false">IF(OR($C148="",S148=""),"",IF(S148/IF($S$2="",100,$S$2)&gt;=設定!$I$28,設定!$G$8,IF(S148/IF($S$2="",100,$S$2)&lt;設定!$I$29,設定!$G$10,設定!$G$9)))</f>
        <v/>
      </c>
    </row>
    <row r="149" customFormat="false" ht="21" hidden="false" customHeight="true" outlineLevel="0" collapsed="false">
      <c r="A149" s="91" t="str">
        <f aca="false">IF(名簿!$D149="","",名簿!$B149&amp;"")</f>
        <v/>
      </c>
      <c r="B149" s="91" t="str">
        <f aca="false">IF(名簿!$D149="","",名簿!$C149)</f>
        <v/>
      </c>
      <c r="C149" s="59" t="str">
        <f aca="false">IF(名簿!$D149="","",名簿!$D149&amp;IF(名簿!$F149="転出","（転出）",""))</f>
        <v/>
      </c>
      <c r="D149" s="149"/>
      <c r="E149" s="61" t="str">
        <f aca="false">IF(OR($C149="",名簿!$F149="転出"),"",IF($C$2="学級ごと",$A149,IF($C$2="前の単元と同じ",単元13!$E149&amp;"",$D149&amp;"")))</f>
        <v/>
      </c>
      <c r="F149" s="150"/>
      <c r="G149" s="150"/>
      <c r="H149" s="150"/>
      <c r="I149" s="151"/>
      <c r="J149" s="41" t="str">
        <f aca="false">IF($E149="","",$E149&amp;"|"&amp;COUNTIF($E$5:$E149,$E149))</f>
        <v/>
      </c>
      <c r="K149" s="40" t="str">
        <f aca="false">IF($I149="","",LEN($I149))</f>
        <v/>
      </c>
      <c r="L149" s="13"/>
      <c r="M149" s="13"/>
      <c r="N149" s="13"/>
      <c r="O149" s="13"/>
      <c r="P149" s="152"/>
      <c r="Q149" s="149"/>
      <c r="R149" s="152"/>
      <c r="S149" s="152"/>
      <c r="T149" s="62" t="str">
        <f aca="false">IF(OR($C149="",R149=""),"",IF(R149/IF($R$2="",100,$R$2)&gt;=設定!$I$28,設定!$G$8,IF(R149/IF($R$2="",100,$R$2)&lt;設定!$I$29,設定!$G$10,設定!$G$9)))</f>
        <v/>
      </c>
      <c r="U149" s="62" t="str">
        <f aca="false">IF(OR($C149="",S149=""),"",IF(S149/IF($S$2="",100,$S$2)&gt;=設定!$I$28,設定!$G$8,IF(S149/IF($S$2="",100,$S$2)&lt;設定!$I$29,設定!$G$10,設定!$G$9)))</f>
        <v/>
      </c>
    </row>
    <row r="150" customFormat="false" ht="21" hidden="false" customHeight="true" outlineLevel="0" collapsed="false">
      <c r="A150" s="91" t="str">
        <f aca="false">IF(名簿!$D150="","",名簿!$B150&amp;"")</f>
        <v/>
      </c>
      <c r="B150" s="91" t="str">
        <f aca="false">IF(名簿!$D150="","",名簿!$C150)</f>
        <v/>
      </c>
      <c r="C150" s="59" t="str">
        <f aca="false">IF(名簿!$D150="","",名簿!$D150&amp;IF(名簿!$F150="転出","（転出）",""))</f>
        <v/>
      </c>
      <c r="D150" s="149"/>
      <c r="E150" s="61" t="str">
        <f aca="false">IF(OR($C150="",名簿!$F150="転出"),"",IF($C$2="学級ごと",$A150,IF($C$2="前の単元と同じ",単元13!$E150&amp;"",$D150&amp;"")))</f>
        <v/>
      </c>
      <c r="F150" s="150"/>
      <c r="G150" s="150"/>
      <c r="H150" s="150"/>
      <c r="I150" s="151"/>
      <c r="J150" s="41" t="str">
        <f aca="false">IF($E150="","",$E150&amp;"|"&amp;COUNTIF($E$5:$E150,$E150))</f>
        <v/>
      </c>
      <c r="K150" s="40" t="str">
        <f aca="false">IF($I150="","",LEN($I150))</f>
        <v/>
      </c>
      <c r="L150" s="13"/>
      <c r="M150" s="13"/>
      <c r="N150" s="13"/>
      <c r="O150" s="13"/>
      <c r="P150" s="152"/>
      <c r="Q150" s="149"/>
      <c r="R150" s="152"/>
      <c r="S150" s="152"/>
      <c r="T150" s="62" t="str">
        <f aca="false">IF(OR($C150="",R150=""),"",IF(R150/IF($R$2="",100,$R$2)&gt;=設定!$I$28,設定!$G$8,IF(R150/IF($R$2="",100,$R$2)&lt;設定!$I$29,設定!$G$10,設定!$G$9)))</f>
        <v/>
      </c>
      <c r="U150" s="62" t="str">
        <f aca="false">IF(OR($C150="",S150=""),"",IF(S150/IF($S$2="",100,$S$2)&gt;=設定!$I$28,設定!$G$8,IF(S150/IF($S$2="",100,$S$2)&lt;設定!$I$29,設定!$G$10,設定!$G$9)))</f>
        <v/>
      </c>
    </row>
    <row r="151" customFormat="false" ht="21" hidden="false" customHeight="true" outlineLevel="0" collapsed="false">
      <c r="A151" s="91" t="str">
        <f aca="false">IF(名簿!$D151="","",名簿!$B151&amp;"")</f>
        <v/>
      </c>
      <c r="B151" s="91" t="str">
        <f aca="false">IF(名簿!$D151="","",名簿!$C151)</f>
        <v/>
      </c>
      <c r="C151" s="59" t="str">
        <f aca="false">IF(名簿!$D151="","",名簿!$D151&amp;IF(名簿!$F151="転出","（転出）",""))</f>
        <v/>
      </c>
      <c r="D151" s="149"/>
      <c r="E151" s="61" t="str">
        <f aca="false">IF(OR($C151="",名簿!$F151="転出"),"",IF($C$2="学級ごと",$A151,IF($C$2="前の単元と同じ",単元13!$E151&amp;"",$D151&amp;"")))</f>
        <v/>
      </c>
      <c r="F151" s="150"/>
      <c r="G151" s="150"/>
      <c r="H151" s="150"/>
      <c r="I151" s="151"/>
      <c r="J151" s="41" t="str">
        <f aca="false">IF($E151="","",$E151&amp;"|"&amp;COUNTIF($E$5:$E151,$E151))</f>
        <v/>
      </c>
      <c r="K151" s="40" t="str">
        <f aca="false">IF($I151="","",LEN($I151))</f>
        <v/>
      </c>
      <c r="L151" s="13"/>
      <c r="M151" s="13"/>
      <c r="N151" s="13"/>
      <c r="O151" s="13"/>
      <c r="P151" s="152"/>
      <c r="Q151" s="149"/>
      <c r="R151" s="152"/>
      <c r="S151" s="152"/>
      <c r="T151" s="62" t="str">
        <f aca="false">IF(OR($C151="",R151=""),"",IF(R151/IF($R$2="",100,$R$2)&gt;=設定!$I$28,設定!$G$8,IF(R151/IF($R$2="",100,$R$2)&lt;設定!$I$29,設定!$G$10,設定!$G$9)))</f>
        <v/>
      </c>
      <c r="U151" s="62" t="str">
        <f aca="false">IF(OR($C151="",S151=""),"",IF(S151/IF($S$2="",100,$S$2)&gt;=設定!$I$28,設定!$G$8,IF(S151/IF($S$2="",100,$S$2)&lt;設定!$I$29,設定!$G$10,設定!$G$9)))</f>
        <v/>
      </c>
    </row>
    <row r="152" customFormat="false" ht="21" hidden="false" customHeight="true" outlineLevel="0" collapsed="false">
      <c r="A152" s="91" t="str">
        <f aca="false">IF(名簿!$D152="","",名簿!$B152&amp;"")</f>
        <v/>
      </c>
      <c r="B152" s="91" t="str">
        <f aca="false">IF(名簿!$D152="","",名簿!$C152)</f>
        <v/>
      </c>
      <c r="C152" s="59" t="str">
        <f aca="false">IF(名簿!$D152="","",名簿!$D152&amp;IF(名簿!$F152="転出","（転出）",""))</f>
        <v/>
      </c>
      <c r="D152" s="149"/>
      <c r="E152" s="61" t="str">
        <f aca="false">IF(OR($C152="",名簿!$F152="転出"),"",IF($C$2="学級ごと",$A152,IF($C$2="前の単元と同じ",単元13!$E152&amp;"",$D152&amp;"")))</f>
        <v/>
      </c>
      <c r="F152" s="150"/>
      <c r="G152" s="150"/>
      <c r="H152" s="150"/>
      <c r="I152" s="151"/>
      <c r="J152" s="41" t="str">
        <f aca="false">IF($E152="","",$E152&amp;"|"&amp;COUNTIF($E$5:$E152,$E152))</f>
        <v/>
      </c>
      <c r="K152" s="40" t="str">
        <f aca="false">IF($I152="","",LEN($I152))</f>
        <v/>
      </c>
      <c r="L152" s="13"/>
      <c r="M152" s="13"/>
      <c r="N152" s="13"/>
      <c r="O152" s="13"/>
      <c r="P152" s="152"/>
      <c r="Q152" s="149"/>
      <c r="R152" s="152"/>
      <c r="S152" s="152"/>
      <c r="T152" s="62" t="str">
        <f aca="false">IF(OR($C152="",R152=""),"",IF(R152/IF($R$2="",100,$R$2)&gt;=設定!$I$28,設定!$G$8,IF(R152/IF($R$2="",100,$R$2)&lt;設定!$I$29,設定!$G$10,設定!$G$9)))</f>
        <v/>
      </c>
      <c r="U152" s="62" t="str">
        <f aca="false">IF(OR($C152="",S152=""),"",IF(S152/IF($S$2="",100,$S$2)&gt;=設定!$I$28,設定!$G$8,IF(S152/IF($S$2="",100,$S$2)&lt;設定!$I$29,設定!$G$10,設定!$G$9)))</f>
        <v/>
      </c>
    </row>
    <row r="153" customFormat="false" ht="21" hidden="false" customHeight="true" outlineLevel="0" collapsed="false">
      <c r="A153" s="91" t="str">
        <f aca="false">IF(名簿!$D153="","",名簿!$B153&amp;"")</f>
        <v/>
      </c>
      <c r="B153" s="91" t="str">
        <f aca="false">IF(名簿!$D153="","",名簿!$C153)</f>
        <v/>
      </c>
      <c r="C153" s="59" t="str">
        <f aca="false">IF(名簿!$D153="","",名簿!$D153&amp;IF(名簿!$F153="転出","（転出）",""))</f>
        <v/>
      </c>
      <c r="D153" s="149"/>
      <c r="E153" s="61" t="str">
        <f aca="false">IF(OR($C153="",名簿!$F153="転出"),"",IF($C$2="学級ごと",$A153,IF($C$2="前の単元と同じ",単元13!$E153&amp;"",$D153&amp;"")))</f>
        <v/>
      </c>
      <c r="F153" s="150"/>
      <c r="G153" s="150"/>
      <c r="H153" s="150"/>
      <c r="I153" s="151"/>
      <c r="J153" s="41" t="str">
        <f aca="false">IF($E153="","",$E153&amp;"|"&amp;COUNTIF($E$5:$E153,$E153))</f>
        <v/>
      </c>
      <c r="K153" s="40" t="str">
        <f aca="false">IF($I153="","",LEN($I153))</f>
        <v/>
      </c>
      <c r="L153" s="13"/>
      <c r="M153" s="13"/>
      <c r="N153" s="13"/>
      <c r="O153" s="13"/>
      <c r="P153" s="152"/>
      <c r="Q153" s="149"/>
      <c r="R153" s="152"/>
      <c r="S153" s="152"/>
      <c r="T153" s="62" t="str">
        <f aca="false">IF(OR($C153="",R153=""),"",IF(R153/IF($R$2="",100,$R$2)&gt;=設定!$I$28,設定!$G$8,IF(R153/IF($R$2="",100,$R$2)&lt;設定!$I$29,設定!$G$10,設定!$G$9)))</f>
        <v/>
      </c>
      <c r="U153" s="62" t="str">
        <f aca="false">IF(OR($C153="",S153=""),"",IF(S153/IF($S$2="",100,$S$2)&gt;=設定!$I$28,設定!$G$8,IF(S153/IF($S$2="",100,$S$2)&lt;設定!$I$29,設定!$G$10,設定!$G$9)))</f>
        <v/>
      </c>
    </row>
    <row r="154" customFormat="false" ht="21" hidden="false" customHeight="true" outlineLevel="0" collapsed="false">
      <c r="A154" s="91" t="str">
        <f aca="false">IF(名簿!$D154="","",名簿!$B154&amp;"")</f>
        <v/>
      </c>
      <c r="B154" s="91" t="str">
        <f aca="false">IF(名簿!$D154="","",名簿!$C154)</f>
        <v/>
      </c>
      <c r="C154" s="59" t="str">
        <f aca="false">IF(名簿!$D154="","",名簿!$D154&amp;IF(名簿!$F154="転出","（転出）",""))</f>
        <v/>
      </c>
      <c r="D154" s="149"/>
      <c r="E154" s="61" t="str">
        <f aca="false">IF(OR($C154="",名簿!$F154="転出"),"",IF($C$2="学級ごと",$A154,IF($C$2="前の単元と同じ",単元13!$E154&amp;"",$D154&amp;"")))</f>
        <v/>
      </c>
      <c r="F154" s="150"/>
      <c r="G154" s="150"/>
      <c r="H154" s="150"/>
      <c r="I154" s="151"/>
      <c r="J154" s="41" t="str">
        <f aca="false">IF($E154="","",$E154&amp;"|"&amp;COUNTIF($E$5:$E154,$E154))</f>
        <v/>
      </c>
      <c r="K154" s="40" t="str">
        <f aca="false">IF($I154="","",LEN($I154))</f>
        <v/>
      </c>
      <c r="L154" s="13"/>
      <c r="M154" s="13"/>
      <c r="N154" s="13"/>
      <c r="O154" s="13"/>
      <c r="P154" s="152"/>
      <c r="Q154" s="149"/>
      <c r="R154" s="152"/>
      <c r="S154" s="152"/>
      <c r="T154" s="62" t="str">
        <f aca="false">IF(OR($C154="",R154=""),"",IF(R154/IF($R$2="",100,$R$2)&gt;=設定!$I$28,設定!$G$8,IF(R154/IF($R$2="",100,$R$2)&lt;設定!$I$29,設定!$G$10,設定!$G$9)))</f>
        <v/>
      </c>
      <c r="U154" s="62" t="str">
        <f aca="false">IF(OR($C154="",S154=""),"",IF(S154/IF($S$2="",100,$S$2)&gt;=設定!$I$28,設定!$G$8,IF(S154/IF($S$2="",100,$S$2)&lt;設定!$I$29,設定!$G$10,設定!$G$9)))</f>
        <v/>
      </c>
    </row>
    <row r="155" customFormat="false" ht="21" hidden="false" customHeight="true" outlineLevel="0" collapsed="false">
      <c r="A155" s="91" t="str">
        <f aca="false">IF(名簿!$D155="","",名簿!$B155&amp;"")</f>
        <v/>
      </c>
      <c r="B155" s="91" t="str">
        <f aca="false">IF(名簿!$D155="","",名簿!$C155)</f>
        <v/>
      </c>
      <c r="C155" s="59" t="str">
        <f aca="false">IF(名簿!$D155="","",名簿!$D155&amp;IF(名簿!$F155="転出","（転出）",""))</f>
        <v/>
      </c>
      <c r="D155" s="149"/>
      <c r="E155" s="61" t="str">
        <f aca="false">IF(OR($C155="",名簿!$F155="転出"),"",IF($C$2="学級ごと",$A155,IF($C$2="前の単元と同じ",単元13!$E155&amp;"",$D155&amp;"")))</f>
        <v/>
      </c>
      <c r="F155" s="150"/>
      <c r="G155" s="150"/>
      <c r="H155" s="150"/>
      <c r="I155" s="151"/>
      <c r="J155" s="41" t="str">
        <f aca="false">IF($E155="","",$E155&amp;"|"&amp;COUNTIF($E$5:$E155,$E155))</f>
        <v/>
      </c>
      <c r="K155" s="40" t="str">
        <f aca="false">IF($I155="","",LEN($I155))</f>
        <v/>
      </c>
      <c r="L155" s="13"/>
      <c r="M155" s="13"/>
      <c r="N155" s="13"/>
      <c r="O155" s="13"/>
      <c r="P155" s="152"/>
      <c r="Q155" s="149"/>
      <c r="R155" s="152"/>
      <c r="S155" s="152"/>
      <c r="T155" s="62" t="str">
        <f aca="false">IF(OR($C155="",R155=""),"",IF(R155/IF($R$2="",100,$R$2)&gt;=設定!$I$28,設定!$G$8,IF(R155/IF($R$2="",100,$R$2)&lt;設定!$I$29,設定!$G$10,設定!$G$9)))</f>
        <v/>
      </c>
      <c r="U155" s="62" t="str">
        <f aca="false">IF(OR($C155="",S155=""),"",IF(S155/IF($S$2="",100,$S$2)&gt;=設定!$I$28,設定!$G$8,IF(S155/IF($S$2="",100,$S$2)&lt;設定!$I$29,設定!$G$10,設定!$G$9)))</f>
        <v/>
      </c>
    </row>
    <row r="156" customFormat="false" ht="21" hidden="false" customHeight="true" outlineLevel="0" collapsed="false">
      <c r="A156" s="91" t="str">
        <f aca="false">IF(名簿!$D156="","",名簿!$B156&amp;"")</f>
        <v/>
      </c>
      <c r="B156" s="91" t="str">
        <f aca="false">IF(名簿!$D156="","",名簿!$C156)</f>
        <v/>
      </c>
      <c r="C156" s="59" t="str">
        <f aca="false">IF(名簿!$D156="","",名簿!$D156&amp;IF(名簿!$F156="転出","（転出）",""))</f>
        <v/>
      </c>
      <c r="D156" s="149"/>
      <c r="E156" s="61" t="str">
        <f aca="false">IF(OR($C156="",名簿!$F156="転出"),"",IF($C$2="学級ごと",$A156,IF($C$2="前の単元と同じ",単元13!$E156&amp;"",$D156&amp;"")))</f>
        <v/>
      </c>
      <c r="F156" s="150"/>
      <c r="G156" s="150"/>
      <c r="H156" s="150"/>
      <c r="I156" s="151"/>
      <c r="J156" s="41" t="str">
        <f aca="false">IF($E156="","",$E156&amp;"|"&amp;COUNTIF($E$5:$E156,$E156))</f>
        <v/>
      </c>
      <c r="K156" s="40" t="str">
        <f aca="false">IF($I156="","",LEN($I156))</f>
        <v/>
      </c>
      <c r="L156" s="13"/>
      <c r="M156" s="13"/>
      <c r="N156" s="13"/>
      <c r="O156" s="13"/>
      <c r="P156" s="152"/>
      <c r="Q156" s="149"/>
      <c r="R156" s="152"/>
      <c r="S156" s="152"/>
      <c r="T156" s="62" t="str">
        <f aca="false">IF(OR($C156="",R156=""),"",IF(R156/IF($R$2="",100,$R$2)&gt;=設定!$I$28,設定!$G$8,IF(R156/IF($R$2="",100,$R$2)&lt;設定!$I$29,設定!$G$10,設定!$G$9)))</f>
        <v/>
      </c>
      <c r="U156" s="62" t="str">
        <f aca="false">IF(OR($C156="",S156=""),"",IF(S156/IF($S$2="",100,$S$2)&gt;=設定!$I$28,設定!$G$8,IF(S156/IF($S$2="",100,$S$2)&lt;設定!$I$29,設定!$G$10,設定!$G$9)))</f>
        <v/>
      </c>
    </row>
    <row r="157" customFormat="false" ht="21" hidden="false" customHeight="true" outlineLevel="0" collapsed="false">
      <c r="A157" s="91" t="str">
        <f aca="false">IF(名簿!$D157="","",名簿!$B157&amp;"")</f>
        <v/>
      </c>
      <c r="B157" s="91" t="str">
        <f aca="false">IF(名簿!$D157="","",名簿!$C157)</f>
        <v/>
      </c>
      <c r="C157" s="59" t="str">
        <f aca="false">IF(名簿!$D157="","",名簿!$D157&amp;IF(名簿!$F157="転出","（転出）",""))</f>
        <v/>
      </c>
      <c r="D157" s="149"/>
      <c r="E157" s="61" t="str">
        <f aca="false">IF(OR($C157="",名簿!$F157="転出"),"",IF($C$2="学級ごと",$A157,IF($C$2="前の単元と同じ",単元13!$E157&amp;"",$D157&amp;"")))</f>
        <v/>
      </c>
      <c r="F157" s="150"/>
      <c r="G157" s="150"/>
      <c r="H157" s="150"/>
      <c r="I157" s="151"/>
      <c r="J157" s="41" t="str">
        <f aca="false">IF($E157="","",$E157&amp;"|"&amp;COUNTIF($E$5:$E157,$E157))</f>
        <v/>
      </c>
      <c r="K157" s="40" t="str">
        <f aca="false">IF($I157="","",LEN($I157))</f>
        <v/>
      </c>
      <c r="L157" s="13"/>
      <c r="M157" s="13"/>
      <c r="N157" s="13"/>
      <c r="O157" s="13"/>
      <c r="P157" s="152"/>
      <c r="Q157" s="149"/>
      <c r="R157" s="152"/>
      <c r="S157" s="152"/>
      <c r="T157" s="62" t="str">
        <f aca="false">IF(OR($C157="",R157=""),"",IF(R157/IF($R$2="",100,$R$2)&gt;=設定!$I$28,設定!$G$8,IF(R157/IF($R$2="",100,$R$2)&lt;設定!$I$29,設定!$G$10,設定!$G$9)))</f>
        <v/>
      </c>
      <c r="U157" s="62" t="str">
        <f aca="false">IF(OR($C157="",S157=""),"",IF(S157/IF($S$2="",100,$S$2)&gt;=設定!$I$28,設定!$G$8,IF(S157/IF($S$2="",100,$S$2)&lt;設定!$I$29,設定!$G$10,設定!$G$9)))</f>
        <v/>
      </c>
    </row>
    <row r="158" customFormat="false" ht="21" hidden="false" customHeight="true" outlineLevel="0" collapsed="false">
      <c r="A158" s="91" t="str">
        <f aca="false">IF(名簿!$D158="","",名簿!$B158&amp;"")</f>
        <v/>
      </c>
      <c r="B158" s="91" t="str">
        <f aca="false">IF(名簿!$D158="","",名簿!$C158)</f>
        <v/>
      </c>
      <c r="C158" s="59" t="str">
        <f aca="false">IF(名簿!$D158="","",名簿!$D158&amp;IF(名簿!$F158="転出","（転出）",""))</f>
        <v/>
      </c>
      <c r="D158" s="149"/>
      <c r="E158" s="61" t="str">
        <f aca="false">IF(OR($C158="",名簿!$F158="転出"),"",IF($C$2="学級ごと",$A158,IF($C$2="前の単元と同じ",単元13!$E158&amp;"",$D158&amp;"")))</f>
        <v/>
      </c>
      <c r="F158" s="150"/>
      <c r="G158" s="150"/>
      <c r="H158" s="150"/>
      <c r="I158" s="151"/>
      <c r="J158" s="41" t="str">
        <f aca="false">IF($E158="","",$E158&amp;"|"&amp;COUNTIF($E$5:$E158,$E158))</f>
        <v/>
      </c>
      <c r="K158" s="40" t="str">
        <f aca="false">IF($I158="","",LEN($I158))</f>
        <v/>
      </c>
      <c r="L158" s="13"/>
      <c r="M158" s="13"/>
      <c r="N158" s="13"/>
      <c r="O158" s="13"/>
      <c r="P158" s="152"/>
      <c r="Q158" s="149"/>
      <c r="R158" s="152"/>
      <c r="S158" s="152"/>
      <c r="T158" s="62" t="str">
        <f aca="false">IF(OR($C158="",R158=""),"",IF(R158/IF($R$2="",100,$R$2)&gt;=設定!$I$28,設定!$G$8,IF(R158/IF($R$2="",100,$R$2)&lt;設定!$I$29,設定!$G$10,設定!$G$9)))</f>
        <v/>
      </c>
      <c r="U158" s="62" t="str">
        <f aca="false">IF(OR($C158="",S158=""),"",IF(S158/IF($S$2="",100,$S$2)&gt;=設定!$I$28,設定!$G$8,IF(S158/IF($S$2="",100,$S$2)&lt;設定!$I$29,設定!$G$10,設定!$G$9)))</f>
        <v/>
      </c>
    </row>
    <row r="159" customFormat="false" ht="21" hidden="false" customHeight="true" outlineLevel="0" collapsed="false">
      <c r="A159" s="91" t="str">
        <f aca="false">IF(名簿!$D159="","",名簿!$B159&amp;"")</f>
        <v/>
      </c>
      <c r="B159" s="91" t="str">
        <f aca="false">IF(名簿!$D159="","",名簿!$C159)</f>
        <v/>
      </c>
      <c r="C159" s="59" t="str">
        <f aca="false">IF(名簿!$D159="","",名簿!$D159&amp;IF(名簿!$F159="転出","（転出）",""))</f>
        <v/>
      </c>
      <c r="D159" s="149"/>
      <c r="E159" s="61" t="str">
        <f aca="false">IF(OR($C159="",名簿!$F159="転出"),"",IF($C$2="学級ごと",$A159,IF($C$2="前の単元と同じ",単元13!$E159&amp;"",$D159&amp;"")))</f>
        <v/>
      </c>
      <c r="F159" s="150"/>
      <c r="G159" s="150"/>
      <c r="H159" s="150"/>
      <c r="I159" s="151"/>
      <c r="J159" s="41" t="str">
        <f aca="false">IF($E159="","",$E159&amp;"|"&amp;COUNTIF($E$5:$E159,$E159))</f>
        <v/>
      </c>
      <c r="K159" s="40" t="str">
        <f aca="false">IF($I159="","",LEN($I159))</f>
        <v/>
      </c>
      <c r="L159" s="13"/>
      <c r="M159" s="13"/>
      <c r="N159" s="13"/>
      <c r="O159" s="13"/>
      <c r="P159" s="152"/>
      <c r="Q159" s="149"/>
      <c r="R159" s="152"/>
      <c r="S159" s="152"/>
      <c r="T159" s="62" t="str">
        <f aca="false">IF(OR($C159="",R159=""),"",IF(R159/IF($R$2="",100,$R$2)&gt;=設定!$I$28,設定!$G$8,IF(R159/IF($R$2="",100,$R$2)&lt;設定!$I$29,設定!$G$10,設定!$G$9)))</f>
        <v/>
      </c>
      <c r="U159" s="62" t="str">
        <f aca="false">IF(OR($C159="",S159=""),"",IF(S159/IF($S$2="",100,$S$2)&gt;=設定!$I$28,設定!$G$8,IF(S159/IF($S$2="",100,$S$2)&lt;設定!$I$29,設定!$G$10,設定!$G$9)))</f>
        <v/>
      </c>
    </row>
    <row r="160" customFormat="false" ht="21" hidden="false" customHeight="true" outlineLevel="0" collapsed="false">
      <c r="A160" s="91" t="str">
        <f aca="false">IF(名簿!$D160="","",名簿!$B160&amp;"")</f>
        <v/>
      </c>
      <c r="B160" s="91" t="str">
        <f aca="false">IF(名簿!$D160="","",名簿!$C160)</f>
        <v/>
      </c>
      <c r="C160" s="59" t="str">
        <f aca="false">IF(名簿!$D160="","",名簿!$D160&amp;IF(名簿!$F160="転出","（転出）",""))</f>
        <v/>
      </c>
      <c r="D160" s="149"/>
      <c r="E160" s="61" t="str">
        <f aca="false">IF(OR($C160="",名簿!$F160="転出"),"",IF($C$2="学級ごと",$A160,IF($C$2="前の単元と同じ",単元13!$E160&amp;"",$D160&amp;"")))</f>
        <v/>
      </c>
      <c r="F160" s="150"/>
      <c r="G160" s="150"/>
      <c r="H160" s="150"/>
      <c r="I160" s="151"/>
      <c r="J160" s="41" t="str">
        <f aca="false">IF($E160="","",$E160&amp;"|"&amp;COUNTIF($E$5:$E160,$E160))</f>
        <v/>
      </c>
      <c r="K160" s="40" t="str">
        <f aca="false">IF($I160="","",LEN($I160))</f>
        <v/>
      </c>
      <c r="L160" s="13"/>
      <c r="M160" s="13"/>
      <c r="N160" s="13"/>
      <c r="O160" s="13"/>
      <c r="P160" s="152"/>
      <c r="Q160" s="149"/>
      <c r="R160" s="152"/>
      <c r="S160" s="152"/>
      <c r="T160" s="62" t="str">
        <f aca="false">IF(OR($C160="",R160=""),"",IF(R160/IF($R$2="",100,$R$2)&gt;=設定!$I$28,設定!$G$8,IF(R160/IF($R$2="",100,$R$2)&lt;設定!$I$29,設定!$G$10,設定!$G$9)))</f>
        <v/>
      </c>
      <c r="U160" s="62" t="str">
        <f aca="false">IF(OR($C160="",S160=""),"",IF(S160/IF($S$2="",100,$S$2)&gt;=設定!$I$28,設定!$G$8,IF(S160/IF($S$2="",100,$S$2)&lt;設定!$I$29,設定!$G$10,設定!$G$9)))</f>
        <v/>
      </c>
    </row>
    <row r="161" customFormat="false" ht="21" hidden="false" customHeight="true" outlineLevel="0" collapsed="false">
      <c r="A161" s="91" t="str">
        <f aca="false">IF(名簿!$D161="","",名簿!$B161&amp;"")</f>
        <v/>
      </c>
      <c r="B161" s="91" t="str">
        <f aca="false">IF(名簿!$D161="","",名簿!$C161)</f>
        <v/>
      </c>
      <c r="C161" s="59" t="str">
        <f aca="false">IF(名簿!$D161="","",名簿!$D161&amp;IF(名簿!$F161="転出","（転出）",""))</f>
        <v/>
      </c>
      <c r="D161" s="149"/>
      <c r="E161" s="61" t="str">
        <f aca="false">IF(OR($C161="",名簿!$F161="転出"),"",IF($C$2="学級ごと",$A161,IF($C$2="前の単元と同じ",単元13!$E161&amp;"",$D161&amp;"")))</f>
        <v/>
      </c>
      <c r="F161" s="150"/>
      <c r="G161" s="150"/>
      <c r="H161" s="150"/>
      <c r="I161" s="151"/>
      <c r="J161" s="41" t="str">
        <f aca="false">IF($E161="","",$E161&amp;"|"&amp;COUNTIF($E$5:$E161,$E161))</f>
        <v/>
      </c>
      <c r="K161" s="40" t="str">
        <f aca="false">IF($I161="","",LEN($I161))</f>
        <v/>
      </c>
      <c r="L161" s="13"/>
      <c r="M161" s="13"/>
      <c r="N161" s="13"/>
      <c r="O161" s="13"/>
      <c r="P161" s="152"/>
      <c r="Q161" s="149"/>
      <c r="R161" s="152"/>
      <c r="S161" s="152"/>
      <c r="T161" s="62" t="str">
        <f aca="false">IF(OR($C161="",R161=""),"",IF(R161/IF($R$2="",100,$R$2)&gt;=設定!$I$28,設定!$G$8,IF(R161/IF($R$2="",100,$R$2)&lt;設定!$I$29,設定!$G$10,設定!$G$9)))</f>
        <v/>
      </c>
      <c r="U161" s="62" t="str">
        <f aca="false">IF(OR($C161="",S161=""),"",IF(S161/IF($S$2="",100,$S$2)&gt;=設定!$I$28,設定!$G$8,IF(S161/IF($S$2="",100,$S$2)&lt;設定!$I$29,設定!$G$10,設定!$G$9)))</f>
        <v/>
      </c>
    </row>
    <row r="162" customFormat="false" ht="21" hidden="false" customHeight="true" outlineLevel="0" collapsed="false">
      <c r="A162" s="91" t="str">
        <f aca="false">IF(名簿!$D162="","",名簿!$B162&amp;"")</f>
        <v/>
      </c>
      <c r="B162" s="91" t="str">
        <f aca="false">IF(名簿!$D162="","",名簿!$C162)</f>
        <v/>
      </c>
      <c r="C162" s="59" t="str">
        <f aca="false">IF(名簿!$D162="","",名簿!$D162&amp;IF(名簿!$F162="転出","（転出）",""))</f>
        <v/>
      </c>
      <c r="D162" s="149"/>
      <c r="E162" s="61" t="str">
        <f aca="false">IF(OR($C162="",名簿!$F162="転出"),"",IF($C$2="学級ごと",$A162,IF($C$2="前の単元と同じ",単元13!$E162&amp;"",$D162&amp;"")))</f>
        <v/>
      </c>
      <c r="F162" s="150"/>
      <c r="G162" s="150"/>
      <c r="H162" s="150"/>
      <c r="I162" s="151"/>
      <c r="J162" s="41" t="str">
        <f aca="false">IF($E162="","",$E162&amp;"|"&amp;COUNTIF($E$5:$E162,$E162))</f>
        <v/>
      </c>
      <c r="K162" s="40" t="str">
        <f aca="false">IF($I162="","",LEN($I162))</f>
        <v/>
      </c>
      <c r="L162" s="13"/>
      <c r="M162" s="13"/>
      <c r="N162" s="13"/>
      <c r="O162" s="13"/>
      <c r="P162" s="152"/>
      <c r="Q162" s="149"/>
      <c r="R162" s="152"/>
      <c r="S162" s="152"/>
      <c r="T162" s="62" t="str">
        <f aca="false">IF(OR($C162="",R162=""),"",IF(R162/IF($R$2="",100,$R$2)&gt;=設定!$I$28,設定!$G$8,IF(R162/IF($R$2="",100,$R$2)&lt;設定!$I$29,設定!$G$10,設定!$G$9)))</f>
        <v/>
      </c>
      <c r="U162" s="62" t="str">
        <f aca="false">IF(OR($C162="",S162=""),"",IF(S162/IF($S$2="",100,$S$2)&gt;=設定!$I$28,設定!$G$8,IF(S162/IF($S$2="",100,$S$2)&lt;設定!$I$29,設定!$G$10,設定!$G$9)))</f>
        <v/>
      </c>
    </row>
    <row r="163" customFormat="false" ht="21" hidden="false" customHeight="true" outlineLevel="0" collapsed="false">
      <c r="A163" s="91" t="str">
        <f aca="false">IF(名簿!$D163="","",名簿!$B163&amp;"")</f>
        <v/>
      </c>
      <c r="B163" s="91" t="str">
        <f aca="false">IF(名簿!$D163="","",名簿!$C163)</f>
        <v/>
      </c>
      <c r="C163" s="59" t="str">
        <f aca="false">IF(名簿!$D163="","",名簿!$D163&amp;IF(名簿!$F163="転出","（転出）",""))</f>
        <v/>
      </c>
      <c r="D163" s="149"/>
      <c r="E163" s="61" t="str">
        <f aca="false">IF(OR($C163="",名簿!$F163="転出"),"",IF($C$2="学級ごと",$A163,IF($C$2="前の単元と同じ",単元13!$E163&amp;"",$D163&amp;"")))</f>
        <v/>
      </c>
      <c r="F163" s="150"/>
      <c r="G163" s="150"/>
      <c r="H163" s="150"/>
      <c r="I163" s="151"/>
      <c r="J163" s="41" t="str">
        <f aca="false">IF($E163="","",$E163&amp;"|"&amp;COUNTIF($E$5:$E163,$E163))</f>
        <v/>
      </c>
      <c r="K163" s="40" t="str">
        <f aca="false">IF($I163="","",LEN($I163))</f>
        <v/>
      </c>
      <c r="L163" s="13"/>
      <c r="M163" s="13"/>
      <c r="N163" s="13"/>
      <c r="O163" s="13"/>
      <c r="P163" s="152"/>
      <c r="Q163" s="149"/>
      <c r="R163" s="152"/>
      <c r="S163" s="152"/>
      <c r="T163" s="62" t="str">
        <f aca="false">IF(OR($C163="",R163=""),"",IF(R163/IF($R$2="",100,$R$2)&gt;=設定!$I$28,設定!$G$8,IF(R163/IF($R$2="",100,$R$2)&lt;設定!$I$29,設定!$G$10,設定!$G$9)))</f>
        <v/>
      </c>
      <c r="U163" s="62" t="str">
        <f aca="false">IF(OR($C163="",S163=""),"",IF(S163/IF($S$2="",100,$S$2)&gt;=設定!$I$28,設定!$G$8,IF(S163/IF($S$2="",100,$S$2)&lt;設定!$I$29,設定!$G$10,設定!$G$9)))</f>
        <v/>
      </c>
    </row>
    <row r="164" customFormat="false" ht="21" hidden="false" customHeight="true" outlineLevel="0" collapsed="false">
      <c r="A164" s="91" t="str">
        <f aca="false">IF(名簿!$D164="","",名簿!$B164&amp;"")</f>
        <v/>
      </c>
      <c r="B164" s="91" t="str">
        <f aca="false">IF(名簿!$D164="","",名簿!$C164)</f>
        <v/>
      </c>
      <c r="C164" s="59" t="str">
        <f aca="false">IF(名簿!$D164="","",名簿!$D164&amp;IF(名簿!$F164="転出","（転出）",""))</f>
        <v/>
      </c>
      <c r="D164" s="149"/>
      <c r="E164" s="61" t="str">
        <f aca="false">IF(OR($C164="",名簿!$F164="転出"),"",IF($C$2="学級ごと",$A164,IF($C$2="前の単元と同じ",単元13!$E164&amp;"",$D164&amp;"")))</f>
        <v/>
      </c>
      <c r="F164" s="150"/>
      <c r="G164" s="150"/>
      <c r="H164" s="150"/>
      <c r="I164" s="151"/>
      <c r="J164" s="41" t="str">
        <f aca="false">IF($E164="","",$E164&amp;"|"&amp;COUNTIF($E$5:$E164,$E164))</f>
        <v/>
      </c>
      <c r="K164" s="40" t="str">
        <f aca="false">IF($I164="","",LEN($I164))</f>
        <v/>
      </c>
      <c r="L164" s="13"/>
      <c r="M164" s="13"/>
      <c r="N164" s="13"/>
      <c r="O164" s="13"/>
      <c r="P164" s="152"/>
      <c r="Q164" s="149"/>
      <c r="R164" s="152"/>
      <c r="S164" s="152"/>
      <c r="T164" s="62" t="str">
        <f aca="false">IF(OR($C164="",R164=""),"",IF(R164/IF($R$2="",100,$R$2)&gt;=設定!$I$28,設定!$G$8,IF(R164/IF($R$2="",100,$R$2)&lt;設定!$I$29,設定!$G$10,設定!$G$9)))</f>
        <v/>
      </c>
      <c r="U164" s="62" t="str">
        <f aca="false">IF(OR($C164="",S164=""),"",IF(S164/IF($S$2="",100,$S$2)&gt;=設定!$I$28,設定!$G$8,IF(S164/IF($S$2="",100,$S$2)&lt;設定!$I$29,設定!$G$10,設定!$G$9)))</f>
        <v/>
      </c>
    </row>
  </sheetData>
  <sheetProtection sheet="true" formatColumns="false" formatRows="false" autoFilter="false"/>
  <autoFilter ref="A4:I164"/>
  <mergeCells count="5">
    <mergeCell ref="A1:I1"/>
    <mergeCell ref="R1:U1"/>
    <mergeCell ref="A2:B2"/>
    <mergeCell ref="D2:I2"/>
    <mergeCell ref="T2:U2"/>
  </mergeCells>
  <conditionalFormatting sqref="A5:C164">
    <cfRule type="expression" priority="2" aboveAverage="0" equalAverage="0" bottom="0" percent="0" rank="0" text="" dxfId="37">
      <formula>RIGHT($C5,4)="（転出）"</formula>
    </cfRule>
    <cfRule type="expression" priority="3" aboveAverage="0" equalAverage="0" bottom="0" percent="0" rank="0" text="" dxfId="8">
      <formula>$C5&lt;&gt;""</formula>
    </cfRule>
  </conditionalFormatting>
  <conditionalFormatting sqref="D5:D164">
    <cfRule type="expression" priority="4" aboveAverage="0" equalAverage="0" bottom="0" percent="0" rank="0" text="" dxfId="37">
      <formula>RIGHT($C5,4)="（転出）"</formula>
    </cfRule>
    <cfRule type="expression" priority="5" aboveAverage="0" equalAverage="0" bottom="0" percent="0" rank="0" text="" dxfId="38">
      <formula>AND($C5&lt;&gt;"",$C$2&lt;&gt;"習熟度別")</formula>
    </cfRule>
    <cfRule type="expression" priority="6" aboveAverage="0" equalAverage="0" bottom="0" percent="0" rank="0" text="" dxfId="39">
      <formula>AND($C5&lt;&gt;"",$E5="")</formula>
    </cfRule>
    <cfRule type="expression" priority="7" aboveAverage="0" equalAverage="0" bottom="0" percent="0" rank="0" text="" dxfId="39">
      <formula>AND($C5&lt;&gt;"",$D5&lt;&gt;"",COUNTIF(コース一覧,$D5)=0)</formula>
    </cfRule>
    <cfRule type="expression" priority="8" aboveAverage="0" equalAverage="0" bottom="0" percent="0" rank="0" text="" dxfId="40">
      <formula>AND($C5&lt;&gt;"",$C$2="習熟度別",$Q5&lt;&gt;"",$E5&lt;&gt;"",$Q5&lt;&gt;$E5)</formula>
    </cfRule>
    <cfRule type="expression" priority="9" aboveAverage="0" equalAverage="0" bottom="0" percent="0" rank="0" text="" dxfId="41">
      <formula>$C5&lt;&gt;""</formula>
    </cfRule>
  </conditionalFormatting>
  <conditionalFormatting sqref="E5:E164">
    <cfRule type="expression" priority="10" aboveAverage="0" equalAverage="0" bottom="0" percent="0" rank="0" text="" dxfId="37">
      <formula>RIGHT($C5,4)="（転出）"</formula>
    </cfRule>
    <cfRule type="expression" priority="11" aboveAverage="0" equalAverage="0" bottom="0" percent="0" rank="0" text="" dxfId="42">
      <formula>AND($E5&lt;&gt;"",$E5=$L$2)</formula>
    </cfRule>
    <cfRule type="expression" priority="12" aboveAverage="0" equalAverage="0" bottom="0" percent="0" rank="0" text="" dxfId="43">
      <formula>AND($E5&lt;&gt;"",$E5=$L$3)</formula>
    </cfRule>
    <cfRule type="expression" priority="13" aboveAverage="0" equalAverage="0" bottom="0" percent="0" rank="0" text="" dxfId="44">
      <formula>AND($E5&lt;&gt;"",$E5=$L$4)</formula>
    </cfRule>
    <cfRule type="expression" priority="14" aboveAverage="0" equalAverage="0" bottom="0" percent="0" rank="0" text="" dxfId="45">
      <formula>AND($E5&lt;&gt;"",$E5=$L$5)</formula>
    </cfRule>
    <cfRule type="expression" priority="15" aboveAverage="0" equalAverage="0" bottom="0" percent="0" rank="0" text="" dxfId="46">
      <formula>AND($E5&lt;&gt;"",$E5=$L$6)</formula>
    </cfRule>
    <cfRule type="expression" priority="16" aboveAverage="0" equalAverage="0" bottom="0" percent="0" rank="0" text="" dxfId="8">
      <formula>$C5&lt;&gt;""</formula>
    </cfRule>
  </conditionalFormatting>
  <conditionalFormatting sqref="F5:H164">
    <cfRule type="expression" priority="17" aboveAverage="0" equalAverage="0" bottom="0" percent="0" rank="0" text="" dxfId="37">
      <formula>RIGHT($C5,4)="（転出）"</formula>
    </cfRule>
    <cfRule type="expression" priority="18" aboveAverage="0" equalAverage="0" bottom="0" percent="0" rank="0" text="" dxfId="12">
      <formula>AND(F5&lt;&gt;"",F5=設定!$G$10)</formula>
    </cfRule>
    <cfRule type="expression" priority="19" aboveAverage="0" equalAverage="0" bottom="0" percent="0" rank="0" text="" dxfId="47">
      <formula>AND(F5&lt;&gt;"",F5=設定!$G$8)</formula>
    </cfRule>
    <cfRule type="expression" priority="20" aboveAverage="0" equalAverage="0" bottom="0" percent="0" rank="0" text="" dxfId="41">
      <formula>AND($C5&lt;&gt;"",$E5&lt;&gt;"")</formula>
    </cfRule>
    <cfRule type="expression" priority="21" aboveAverage="0" equalAverage="0" bottom="0" percent="0" rank="0" text="" dxfId="8">
      <formula>$C5&lt;&gt;""</formula>
    </cfRule>
  </conditionalFormatting>
  <conditionalFormatting sqref="I5:I164">
    <cfRule type="expression" priority="22" aboveAverage="0" equalAverage="0" bottom="0" percent="0" rank="0" text="" dxfId="37">
      <formula>RIGHT($C5,4)="（転出）"</formula>
    </cfRule>
    <cfRule type="expression" priority="23" aboveAverage="0" equalAverage="0" bottom="0" percent="0" rank="0" text="" dxfId="48">
      <formula>AND($C5&lt;&gt;"",$I5&lt;&gt;"",ISNUMBER(設定!$I$22),LEN($I5)&gt;設定!$I$22)</formula>
    </cfRule>
    <cfRule type="expression" priority="24" aboveAverage="0" equalAverage="0" bottom="0" percent="0" rank="0" text="" dxfId="41">
      <formula>AND($C5&lt;&gt;"",$E5&lt;&gt;"")</formula>
    </cfRule>
    <cfRule type="expression" priority="25" aboveAverage="0" equalAverage="0" bottom="0" percent="0" rank="0" text="" dxfId="8">
      <formula>$C5&lt;&gt;""</formula>
    </cfRule>
  </conditionalFormatting>
  <conditionalFormatting sqref="K5:K164">
    <cfRule type="expression" priority="26" aboveAverage="0" equalAverage="0" bottom="0" percent="0" rank="0" text="" dxfId="49">
      <formula>AND($K5&lt;&gt;"",ISNUMBER(設定!$I$22),$K5&gt;設定!$I$22)</formula>
    </cfRule>
    <cfRule type="expression" priority="27" aboveAverage="0" equalAverage="0" bottom="0" percent="0" rank="0" text="" dxfId="50">
      <formula>$C5&lt;&gt;""</formula>
    </cfRule>
  </conditionalFormatting>
  <conditionalFormatting sqref="P5:P164">
    <cfRule type="expression" priority="28" aboveAverage="0" equalAverage="0" bottom="0" percent="0" rank="0" text="" dxfId="41">
      <formula>$C5&lt;&gt;""</formula>
    </cfRule>
  </conditionalFormatting>
  <conditionalFormatting sqref="R5:R164">
    <cfRule type="expression" priority="29" aboveAverage="0" equalAverage="0" bottom="0" percent="0" rank="0" text="" dxfId="49">
      <formula>AND($C5&lt;&gt;"",$R5&lt;&gt;"",$R$2&lt;&gt;"",$R5&gt;$R$2)</formula>
    </cfRule>
    <cfRule type="expression" priority="30" aboveAverage="0" equalAverage="0" bottom="0" percent="0" rank="0" text="" dxfId="41">
      <formula>$C5&lt;&gt;""</formula>
    </cfRule>
  </conditionalFormatting>
  <conditionalFormatting sqref="S5:S164">
    <cfRule type="expression" priority="31" aboveAverage="0" equalAverage="0" bottom="0" percent="0" rank="0" text="" dxfId="49">
      <formula>AND($C5&lt;&gt;"",$S5&lt;&gt;"",$S$2&lt;&gt;"",$S5&gt;$S$2)</formula>
    </cfRule>
    <cfRule type="expression" priority="32" aboveAverage="0" equalAverage="0" bottom="0" percent="0" rank="0" text="" dxfId="41">
      <formula>$C5&lt;&gt;""</formula>
    </cfRule>
  </conditionalFormatting>
  <conditionalFormatting sqref="T5:U164">
    <cfRule type="expression" priority="33" aboveAverage="0" equalAverage="0" bottom="0" percent="0" rank="0" text="" dxfId="12">
      <formula>AND(T5&lt;&gt;"",T5=設定!$G$10)</formula>
    </cfRule>
    <cfRule type="expression" priority="34" aboveAverage="0" equalAverage="0" bottom="0" percent="0" rank="0" text="" dxfId="51">
      <formula>AND(T5&lt;&gt;"",T5=設定!$G$8)</formula>
    </cfRule>
    <cfRule type="expression" priority="35" aboveAverage="0" equalAverage="0" bottom="0" percent="0" rank="0" text="" dxfId="19">
      <formula>$C5&lt;&gt;""</formula>
    </cfRule>
  </conditionalFormatting>
  <conditionalFormatting sqref="Q5:Q164">
    <cfRule type="expression" priority="36" aboveAverage="0" equalAverage="0" bottom="0" percent="0" rank="0" text="" dxfId="40">
      <formula>AND($C5&lt;&gt;"",$Q5&lt;&gt;"",$E5&lt;&gt;"",$Q5&lt;&gt;$E5)</formula>
    </cfRule>
    <cfRule type="expression" priority="37" aboveAverage="0" equalAverage="0" bottom="0" percent="0" rank="0" text="" dxfId="41">
      <formula>$C5&lt;&gt;""</formula>
    </cfRule>
  </conditionalFormatting>
  <conditionalFormatting sqref="L2:N2">
    <cfRule type="expression" priority="38" aboveAverage="0" equalAverage="0" bottom="0" percent="0" rank="0" text="" dxfId="14">
      <formula>$L2=""</formula>
    </cfRule>
  </conditionalFormatting>
  <conditionalFormatting sqref="L3:N3">
    <cfRule type="expression" priority="39" aboveAverage="0" equalAverage="0" bottom="0" percent="0" rank="0" text="" dxfId="14">
      <formula>$L3=""</formula>
    </cfRule>
  </conditionalFormatting>
  <conditionalFormatting sqref="L4:N4">
    <cfRule type="expression" priority="40" aboveAverage="0" equalAverage="0" bottom="0" percent="0" rank="0" text="" dxfId="14">
      <formula>$L4=""</formula>
    </cfRule>
  </conditionalFormatting>
  <conditionalFormatting sqref="L5:N5">
    <cfRule type="expression" priority="41" aboveAverage="0" equalAverage="0" bottom="0" percent="0" rank="0" text="" dxfId="14">
      <formula>$L5=""</formula>
    </cfRule>
  </conditionalFormatting>
  <conditionalFormatting sqref="L6:N6">
    <cfRule type="expression" priority="42" aboveAverage="0" equalAverage="0" bottom="0" percent="0" rank="0" text="" dxfId="14">
      <formula>$L6=""</formula>
    </cfRule>
  </conditionalFormatting>
  <conditionalFormatting sqref="N7">
    <cfRule type="expression" priority="43" aboveAverage="0" equalAverage="0" bottom="0" percent="0" rank="0" text="" dxfId="52">
      <formula>$N$7=0</formula>
    </cfRule>
  </conditionalFormatting>
  <dataValidations count="6">
    <dataValidation allowBlank="true" error="点数（数字）を入力してください。" errorStyle="stop" operator="between" showDropDown="false" showErrorMessage="true" showInputMessage="false" sqref="R2:S2 P5:P164 R5:S164" type="decimal">
      <formula1>0</formula1>
      <formula2>1000</formula2>
    </dataValidation>
    <dataValidation allowBlank="false" error="一覧から選んでください。" errorStyle="stop" errorTitle="入力エラー" operator="between" showDropDown="false" showErrorMessage="true" showInputMessage="false" sqref="C2" type="list">
      <formula1>"習熟度別,前の単元と同じ,学級ごと"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D5:D164" type="list">
      <formula1>コース一覧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Q5:Q164" type="list">
      <formula1>コース一覧</formula1>
      <formula2>0</formula2>
    </dataValidation>
    <dataValidation allowBlank="true" error="設定シートの評価記号（A/B/C）から選んでください。" errorStyle="stop" errorTitle="入力エラー" operator="between" showDropDown="false" showErrorMessage="true" showInputMessage="false" sqref="F5:H164" type="list">
      <formula1>評価記号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M2:M6" type="list">
      <formula1>担当者一覧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U16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5"/>
    <col collapsed="false" customWidth="true" hidden="false" outlineLevel="0" max="3" min="3" style="0" width="17"/>
    <col collapsed="false" customWidth="true" hidden="false" outlineLevel="0" max="4" min="4" style="0" width="11"/>
    <col collapsed="false" customWidth="true" hidden="false" outlineLevel="0" max="5" min="5" style="0" width="12"/>
    <col collapsed="false" customWidth="true" hidden="false" outlineLevel="0" max="8" min="6" style="0" width="6"/>
    <col collapsed="false" customWidth="true" hidden="false" outlineLevel="0" max="9" min="9" style="0" width="55"/>
    <col collapsed="false" customWidth="true" hidden="true" outlineLevel="0" max="10" min="10" style="0" width="3"/>
    <col collapsed="false" customWidth="true" hidden="false" outlineLevel="0" max="11" min="11" style="0" width="5"/>
    <col collapsed="false" customWidth="true" hidden="false" outlineLevel="0" max="12" min="12" style="0" width="14"/>
    <col collapsed="false" customWidth="true" hidden="false" outlineLevel="0" max="13" min="13" style="0" width="13"/>
    <col collapsed="false" customWidth="true" hidden="false" outlineLevel="0" max="14" min="14" style="0" width="7"/>
    <col collapsed="false" customWidth="true" hidden="false" outlineLevel="0" max="15" min="15" style="0" width="2"/>
    <col collapsed="false" customWidth="true" hidden="false" outlineLevel="0" max="16" min="16" style="0" width="9"/>
    <col collapsed="false" customWidth="true" hidden="false" outlineLevel="0" max="17" min="17" style="0" width="12"/>
    <col collapsed="false" customWidth="true" hidden="false" outlineLevel="0" max="19" min="18" style="0" width="7"/>
    <col collapsed="false" customWidth="true" hidden="false" outlineLevel="0" max="21" min="20" style="0" width="6"/>
  </cols>
  <sheetData>
    <row r="1" customFormat="false" ht="33.75" hidden="false" customHeight="true" outlineLevel="0" collapsed="false">
      <c r="A1" s="14" t="str">
        <f aca="false">"単元15　"&amp;IF(設定!$D$31="","（設定シートで単元名を入力）",設定!$D$31)&amp;IF(設定!$C$31="","","　／　"&amp;設定!$C$31&amp;IF(ISNUMBER(設定!$C$31),"学期",""))</f>
        <v>単元15　（設定シートで単元名を入力）</v>
      </c>
      <c r="B1" s="14"/>
      <c r="C1" s="14"/>
      <c r="D1" s="14"/>
      <c r="E1" s="14"/>
      <c r="F1" s="14"/>
      <c r="G1" s="14"/>
      <c r="H1" s="14"/>
      <c r="I1" s="14"/>
      <c r="J1" s="13"/>
      <c r="K1" s="13"/>
      <c r="L1" s="16" t="s">
        <v>153</v>
      </c>
      <c r="M1" s="16" t="s">
        <v>68</v>
      </c>
      <c r="N1" s="16" t="s">
        <v>128</v>
      </c>
      <c r="O1" s="13"/>
      <c r="P1" s="13"/>
      <c r="Q1" s="13"/>
      <c r="R1" s="131" t="s">
        <v>154</v>
      </c>
      <c r="S1" s="131"/>
      <c r="T1" s="131"/>
      <c r="U1" s="131"/>
    </row>
    <row r="2" customFormat="false" ht="25.5" hidden="false" customHeight="true" outlineLevel="0" collapsed="false">
      <c r="A2" s="16" t="s">
        <v>131</v>
      </c>
      <c r="B2" s="16"/>
      <c r="C2" s="138" t="s">
        <v>164</v>
      </c>
      <c r="D2" s="139" t="str">
        <f aca="false">IF($C$2="習熟度別","← D列「コース」で一人ずつ選びます",IF($C$2="前の単元と同じ","← 前の単元のコースをそのまま使います","← 在籍学級のまま分かれます"))</f>
        <v>← D列「コース」で一人ずつ選びます</v>
      </c>
      <c r="E2" s="139"/>
      <c r="F2" s="139"/>
      <c r="G2" s="139"/>
      <c r="H2" s="139"/>
      <c r="I2" s="139"/>
      <c r="J2" s="13"/>
      <c r="K2" s="13"/>
      <c r="L2" s="119" t="str">
        <f aca="false">IF($C$2="前の単元と同じ",単元14!$L2&amp;"",IF($C$2="学級ごと",IF(設定!$B$8="","",設定!$B$8&amp;""),IF(設定!$D$8="","",設定!$D$8&amp;"")))</f>
        <v>深める</v>
      </c>
      <c r="M2" s="39"/>
      <c r="N2" s="140" t="n">
        <f aca="false">IF($L2="","",COUNTIF($E$5:$E$164,$L2))</f>
        <v>0</v>
      </c>
      <c r="O2" s="13"/>
      <c r="P2" s="13"/>
      <c r="Q2" s="13"/>
      <c r="R2" s="141" t="n">
        <v>100</v>
      </c>
      <c r="S2" s="141" t="n">
        <v>100</v>
      </c>
      <c r="T2" s="142" t="s">
        <v>165</v>
      </c>
      <c r="U2" s="142"/>
    </row>
    <row r="3" customFormat="false" ht="17.15" hidden="false" customHeight="false" outlineLevel="0" collapsed="false">
      <c r="A3" s="4" t="s">
        <v>166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23" t="str">
        <f aca="false">IF($C$2="前の単元と同じ",単元14!$L3&amp;"",IF($C$2="学級ごと",IF(設定!$B$9="","",設定!$B$9&amp;""),IF(設定!$D$9="","",設定!$D$9&amp;"")))</f>
        <v>広げるA</v>
      </c>
      <c r="M3" s="39"/>
      <c r="N3" s="140" t="n">
        <f aca="false">IF($L3="","",COUNTIF($E$5:$E$164,$L3))</f>
        <v>0</v>
      </c>
      <c r="O3" s="13"/>
      <c r="P3" s="143" t="s">
        <v>167</v>
      </c>
      <c r="Q3" s="13"/>
      <c r="R3" s="144" t="s">
        <v>168</v>
      </c>
      <c r="S3" s="13"/>
      <c r="T3" s="13"/>
      <c r="U3" s="13"/>
    </row>
    <row r="4" customFormat="false" ht="30" hidden="false" customHeight="true" outlineLevel="0" collapsed="false">
      <c r="A4" s="16" t="s">
        <v>121</v>
      </c>
      <c r="B4" s="16" t="s">
        <v>122</v>
      </c>
      <c r="C4" s="16" t="s">
        <v>123</v>
      </c>
      <c r="D4" s="145" t="s">
        <v>153</v>
      </c>
      <c r="E4" s="16" t="s">
        <v>169</v>
      </c>
      <c r="F4" s="146" t="str">
        <f aca="false">設定!$I$8</f>
        <v>知</v>
      </c>
      <c r="G4" s="146" t="str">
        <f aca="false">設定!$I$9</f>
        <v>思</v>
      </c>
      <c r="H4" s="146" t="str">
        <f aca="false">設定!$I$10</f>
        <v>態</v>
      </c>
      <c r="I4" s="146" t="s">
        <v>107</v>
      </c>
      <c r="J4" s="16"/>
      <c r="K4" s="110" t="s">
        <v>170</v>
      </c>
      <c r="L4" s="124" t="str">
        <f aca="false">IF($C$2="前の単元と同じ",単元14!$L4&amp;"",IF($C$2="学級ごと",IF(設定!$B$10="","",設定!$B$10&amp;""),IF(設定!$D$10="","",設定!$D$10&amp;"")))</f>
        <v>広げるB</v>
      </c>
      <c r="M4" s="39"/>
      <c r="N4" s="140" t="n">
        <f aca="false">IF($L4="","",COUNTIF($E$5:$E$164,$L4))</f>
        <v>0</v>
      </c>
      <c r="O4" s="13"/>
      <c r="P4" s="147" t="s">
        <v>171</v>
      </c>
      <c r="Q4" s="147" t="s">
        <v>172</v>
      </c>
      <c r="R4" s="131" t="str">
        <f aca="false">設定!$I$8&amp;"得点"</f>
        <v>知得点</v>
      </c>
      <c r="S4" s="131" t="str">
        <f aca="false">設定!$I$9&amp;"得点"</f>
        <v>思得点</v>
      </c>
      <c r="T4" s="148" t="str">
        <f aca="false">設定!$I$8&amp;"目安"</f>
        <v>知目安</v>
      </c>
      <c r="U4" s="148" t="str">
        <f aca="false">設定!$I$9&amp;"目安"</f>
        <v>思目安</v>
      </c>
    </row>
    <row r="5" customFormat="false" ht="21" hidden="false" customHeight="true" outlineLevel="0" collapsed="false">
      <c r="A5" s="91" t="str">
        <f aca="false">IF(名簿!$D5="","",名簿!$B5&amp;"")</f>
        <v/>
      </c>
      <c r="B5" s="91" t="str">
        <f aca="false">IF(名簿!$D5="","",名簿!$C5)</f>
        <v/>
      </c>
      <c r="C5" s="59" t="str">
        <f aca="false">IF(名簿!$D5="","",名簿!$D5&amp;IF(名簿!$F5="転出","（転出）",""))</f>
        <v/>
      </c>
      <c r="D5" s="149"/>
      <c r="E5" s="61" t="str">
        <f aca="false">IF(OR($C5="",名簿!$F5="転出"),"",IF($C$2="学級ごと",$A5,IF($C$2="前の単元と同じ",単元14!$E5&amp;"",$D5&amp;"")))</f>
        <v/>
      </c>
      <c r="F5" s="150"/>
      <c r="G5" s="150"/>
      <c r="H5" s="150"/>
      <c r="I5" s="151"/>
      <c r="J5" s="41" t="str">
        <f aca="false">IF($E5="","",$E5&amp;"|"&amp;COUNTIF($E$5:$E5,$E5))</f>
        <v/>
      </c>
      <c r="K5" s="40" t="str">
        <f aca="false">IF($I5="","",LEN($I5))</f>
        <v/>
      </c>
      <c r="L5" s="125" t="str">
        <f aca="false">IF($C$2="前の単元と同じ",単元14!$L5&amp;"",IF($C$2="学級ごと",IF(設定!$B$11="","",設定!$B$11&amp;""),IF(設定!$D$11="","",設定!$D$11&amp;"")))</f>
        <v>かためる</v>
      </c>
      <c r="M5" s="39"/>
      <c r="N5" s="140" t="n">
        <f aca="false">IF($L5="","",COUNTIF($E$5:$E$164,$L5))</f>
        <v>0</v>
      </c>
      <c r="O5" s="13"/>
      <c r="P5" s="152"/>
      <c r="Q5" s="149"/>
      <c r="R5" s="152"/>
      <c r="S5" s="152"/>
      <c r="T5" s="62" t="str">
        <f aca="false">IF(OR($C5="",R5=""),"",IF(R5/IF($R$2="",100,$R$2)&gt;=設定!$I$28,設定!$G$8,IF(R5/IF($R$2="",100,$R$2)&lt;設定!$I$29,設定!$G$10,設定!$G$9)))</f>
        <v/>
      </c>
      <c r="U5" s="62" t="str">
        <f aca="false">IF(OR($C5="",S5=""),"",IF(S5/IF($S$2="",100,$S$2)&gt;=設定!$I$28,設定!$G$8,IF(S5/IF($S$2="",100,$S$2)&lt;設定!$I$29,設定!$G$10,設定!$G$9)))</f>
        <v/>
      </c>
    </row>
    <row r="6" customFormat="false" ht="21" hidden="false" customHeight="true" outlineLevel="0" collapsed="false">
      <c r="A6" s="91" t="str">
        <f aca="false">IF(名簿!$D6="","",名簿!$B6&amp;"")</f>
        <v/>
      </c>
      <c r="B6" s="91" t="str">
        <f aca="false">IF(名簿!$D6="","",名簿!$C6)</f>
        <v/>
      </c>
      <c r="C6" s="59" t="str">
        <f aca="false">IF(名簿!$D6="","",名簿!$D6&amp;IF(名簿!$F6="転出","（転出）",""))</f>
        <v/>
      </c>
      <c r="D6" s="149"/>
      <c r="E6" s="61" t="str">
        <f aca="false">IF(OR($C6="",名簿!$F6="転出"),"",IF($C$2="学級ごと",$A6,IF($C$2="前の単元と同じ",単元14!$E6&amp;"",$D6&amp;"")))</f>
        <v/>
      </c>
      <c r="F6" s="150"/>
      <c r="G6" s="150"/>
      <c r="H6" s="150"/>
      <c r="I6" s="151"/>
      <c r="J6" s="41" t="str">
        <f aca="false">IF($E6="","",$E6&amp;"|"&amp;COUNTIF($E$5:$E6,$E6))</f>
        <v/>
      </c>
      <c r="K6" s="40" t="str">
        <f aca="false">IF($I6="","",LEN($I6))</f>
        <v/>
      </c>
      <c r="L6" s="126" t="str">
        <f aca="false">IF($C$2="前の単元と同じ",単元14!$L6&amp;"",IF($C$2="学級ごと",IF(設定!$B$12="","",設定!$B$12&amp;""),IF(設定!$D$12="","",設定!$D$12&amp;"")))</f>
        <v/>
      </c>
      <c r="M6" s="39"/>
      <c r="N6" s="153" t="str">
        <f aca="false">IF($L6="","",COUNTIF($E$5:$E$164,$L6))</f>
        <v/>
      </c>
      <c r="O6" s="13"/>
      <c r="P6" s="152"/>
      <c r="Q6" s="149"/>
      <c r="R6" s="152"/>
      <c r="S6" s="152"/>
      <c r="T6" s="62" t="str">
        <f aca="false">IF(OR($C6="",R6=""),"",IF(R6/IF($R$2="",100,$R$2)&gt;=設定!$I$28,設定!$G$8,IF(R6/IF($R$2="",100,$R$2)&lt;設定!$I$29,設定!$G$10,設定!$G$9)))</f>
        <v/>
      </c>
      <c r="U6" s="62" t="str">
        <f aca="false">IF(OR($C6="",S6=""),"",IF(S6/IF($S$2="",100,$S$2)&gt;=設定!$I$28,設定!$G$8,IF(S6/IF($S$2="",100,$S$2)&lt;設定!$I$29,設定!$G$10,設定!$G$9)))</f>
        <v/>
      </c>
    </row>
    <row r="7" customFormat="false" ht="21" hidden="false" customHeight="true" outlineLevel="0" collapsed="false">
      <c r="A7" s="91" t="str">
        <f aca="false">IF(名簿!$D7="","",名簿!$B7&amp;"")</f>
        <v/>
      </c>
      <c r="B7" s="91" t="str">
        <f aca="false">IF(名簿!$D7="","",名簿!$C7)</f>
        <v/>
      </c>
      <c r="C7" s="59" t="str">
        <f aca="false">IF(名簿!$D7="","",名簿!$D7&amp;IF(名簿!$F7="転出","（転出）",""))</f>
        <v/>
      </c>
      <c r="D7" s="149"/>
      <c r="E7" s="61" t="str">
        <f aca="false">IF(OR($C7="",名簿!$F7="転出"),"",IF($C$2="学級ごと",$A7,IF($C$2="前の単元と同じ",単元14!$E7&amp;"",$D7&amp;"")))</f>
        <v/>
      </c>
      <c r="F7" s="150"/>
      <c r="G7" s="150"/>
      <c r="H7" s="150"/>
      <c r="I7" s="151"/>
      <c r="J7" s="41" t="str">
        <f aca="false">IF($E7="","",$E7&amp;"|"&amp;COUNTIF($E$5:$E7,$E7))</f>
        <v/>
      </c>
      <c r="K7" s="40" t="str">
        <f aca="false">IF($I7="","",LEN($I7))</f>
        <v/>
      </c>
      <c r="L7" s="154" t="s">
        <v>133</v>
      </c>
      <c r="M7" s="155" t="s">
        <v>173</v>
      </c>
      <c r="N7" s="156" t="n">
        <f aca="false">SUMPRODUCT(($C$5:$C$164&lt;&gt;"")*(名簿!$F$5:$F$164&lt;&gt;"転出")*($E$5:$E$164=""))</f>
        <v>0</v>
      </c>
      <c r="O7" s="13"/>
      <c r="P7" s="152"/>
      <c r="Q7" s="149"/>
      <c r="R7" s="152"/>
      <c r="S7" s="152"/>
      <c r="T7" s="62" t="str">
        <f aca="false">IF(OR($C7="",R7=""),"",IF(R7/IF($R$2="",100,$R$2)&gt;=設定!$I$28,設定!$G$8,IF(R7/IF($R$2="",100,$R$2)&lt;設定!$I$29,設定!$G$10,設定!$G$9)))</f>
        <v/>
      </c>
      <c r="U7" s="62" t="str">
        <f aca="false">IF(OR($C7="",S7=""),"",IF(S7/IF($S$2="",100,$S$2)&gt;=設定!$I$28,設定!$G$8,IF(S7/IF($S$2="",100,$S$2)&lt;設定!$I$29,設定!$G$10,設定!$G$9)))</f>
        <v/>
      </c>
    </row>
    <row r="8" customFormat="false" ht="21" hidden="false" customHeight="true" outlineLevel="0" collapsed="false">
      <c r="A8" s="91" t="str">
        <f aca="false">IF(名簿!$D8="","",名簿!$B8&amp;"")</f>
        <v/>
      </c>
      <c r="B8" s="91" t="str">
        <f aca="false">IF(名簿!$D8="","",名簿!$C8)</f>
        <v/>
      </c>
      <c r="C8" s="59" t="str">
        <f aca="false">IF(名簿!$D8="","",名簿!$D8&amp;IF(名簿!$F8="転出","（転出）",""))</f>
        <v/>
      </c>
      <c r="D8" s="149"/>
      <c r="E8" s="61" t="str">
        <f aca="false">IF(OR($C8="",名簿!$F8="転出"),"",IF($C$2="学級ごと",$A8,IF($C$2="前の単元と同じ",単元14!$E8&amp;"",$D8&amp;"")))</f>
        <v/>
      </c>
      <c r="F8" s="150"/>
      <c r="G8" s="150"/>
      <c r="H8" s="150"/>
      <c r="I8" s="151"/>
      <c r="J8" s="41" t="str">
        <f aca="false">IF($E8="","",$E8&amp;"|"&amp;COUNTIF($E$5:$E8,$E8))</f>
        <v/>
      </c>
      <c r="K8" s="40" t="str">
        <f aca="false">IF($I8="","",LEN($I8))</f>
        <v/>
      </c>
      <c r="L8" s="157" t="s">
        <v>174</v>
      </c>
      <c r="M8" s="158" t="s">
        <v>175</v>
      </c>
      <c r="N8" s="159" t="n">
        <f aca="false">SUMPRODUCT(($E$5:$E$164&lt;&gt;"")*(($F$5:$F$164="")+($G$5:$G$164="")+($H$5:$H$164="")&gt;0))</f>
        <v>0</v>
      </c>
      <c r="O8" s="13"/>
      <c r="P8" s="152"/>
      <c r="Q8" s="149"/>
      <c r="R8" s="152"/>
      <c r="S8" s="152"/>
      <c r="T8" s="62" t="str">
        <f aca="false">IF(OR($C8="",R8=""),"",IF(R8/IF($R$2="",100,$R$2)&gt;=設定!$I$28,設定!$G$8,IF(R8/IF($R$2="",100,$R$2)&lt;設定!$I$29,設定!$G$10,設定!$G$9)))</f>
        <v/>
      </c>
      <c r="U8" s="62" t="str">
        <f aca="false">IF(OR($C8="",S8=""),"",IF(S8/IF($S$2="",100,$S$2)&gt;=設定!$I$28,設定!$G$8,IF(S8/IF($S$2="",100,$S$2)&lt;設定!$I$29,設定!$G$10,設定!$G$9)))</f>
        <v/>
      </c>
    </row>
    <row r="9" customFormat="false" ht="21" hidden="false" customHeight="true" outlineLevel="0" collapsed="false">
      <c r="A9" s="91" t="str">
        <f aca="false">IF(名簿!$D9="","",名簿!$B9&amp;"")</f>
        <v/>
      </c>
      <c r="B9" s="91" t="str">
        <f aca="false">IF(名簿!$D9="","",名簿!$C9)</f>
        <v/>
      </c>
      <c r="C9" s="59" t="str">
        <f aca="false">IF(名簿!$D9="","",名簿!$D9&amp;IF(名簿!$F9="転出","（転出）",""))</f>
        <v/>
      </c>
      <c r="D9" s="149"/>
      <c r="E9" s="61" t="str">
        <f aca="false">IF(OR($C9="",名簿!$F9="転出"),"",IF($C$2="学級ごと",$A9,IF($C$2="前の単元と同じ",単元14!$E9&amp;"",$D9&amp;"")))</f>
        <v/>
      </c>
      <c r="F9" s="150"/>
      <c r="G9" s="150"/>
      <c r="H9" s="150"/>
      <c r="I9" s="151"/>
      <c r="J9" s="41" t="str">
        <f aca="false">IF($E9="","",$E9&amp;"|"&amp;COUNTIF($E$5:$E9,$E9))</f>
        <v/>
      </c>
      <c r="K9" s="40" t="str">
        <f aca="false">IF($I9="","",LEN($I9))</f>
        <v/>
      </c>
      <c r="L9" s="13"/>
      <c r="M9" s="13"/>
      <c r="N9" s="13"/>
      <c r="O9" s="13"/>
      <c r="P9" s="152"/>
      <c r="Q9" s="149"/>
      <c r="R9" s="152"/>
      <c r="S9" s="152"/>
      <c r="T9" s="62" t="str">
        <f aca="false">IF(OR($C9="",R9=""),"",IF(R9/IF($R$2="",100,$R$2)&gt;=設定!$I$28,設定!$G$8,IF(R9/IF($R$2="",100,$R$2)&lt;設定!$I$29,設定!$G$10,設定!$G$9)))</f>
        <v/>
      </c>
      <c r="U9" s="62" t="str">
        <f aca="false">IF(OR($C9="",S9=""),"",IF(S9/IF($S$2="",100,$S$2)&gt;=設定!$I$28,設定!$G$8,IF(S9/IF($S$2="",100,$S$2)&lt;設定!$I$29,設定!$G$10,設定!$G$9)))</f>
        <v/>
      </c>
    </row>
    <row r="10" customFormat="false" ht="21" hidden="false" customHeight="true" outlineLevel="0" collapsed="false">
      <c r="A10" s="91" t="str">
        <f aca="false">IF(名簿!$D10="","",名簿!$B10&amp;"")</f>
        <v/>
      </c>
      <c r="B10" s="91" t="str">
        <f aca="false">IF(名簿!$D10="","",名簿!$C10)</f>
        <v/>
      </c>
      <c r="C10" s="59" t="str">
        <f aca="false">IF(名簿!$D10="","",名簿!$D10&amp;IF(名簿!$F10="転出","（転出）",""))</f>
        <v/>
      </c>
      <c r="D10" s="149"/>
      <c r="E10" s="61" t="str">
        <f aca="false">IF(OR($C10="",名簿!$F10="転出"),"",IF($C$2="学級ごと",$A10,IF($C$2="前の単元と同じ",単元14!$E10&amp;"",$D10&amp;"")))</f>
        <v/>
      </c>
      <c r="F10" s="150"/>
      <c r="G10" s="150"/>
      <c r="H10" s="150"/>
      <c r="I10" s="151"/>
      <c r="J10" s="41" t="str">
        <f aca="false">IF($E10="","",$E10&amp;"|"&amp;COUNTIF($E$5:$E10,$E10))</f>
        <v/>
      </c>
      <c r="K10" s="40" t="str">
        <f aca="false">IF($I10="","",LEN($I10))</f>
        <v/>
      </c>
      <c r="L10" s="13"/>
      <c r="M10" s="13"/>
      <c r="N10" s="13"/>
      <c r="O10" s="13"/>
      <c r="P10" s="152"/>
      <c r="Q10" s="149"/>
      <c r="R10" s="152"/>
      <c r="S10" s="152"/>
      <c r="T10" s="62" t="str">
        <f aca="false">IF(OR($C10="",R10=""),"",IF(R10/IF($R$2="",100,$R$2)&gt;=設定!$I$28,設定!$G$8,IF(R10/IF($R$2="",100,$R$2)&lt;設定!$I$29,設定!$G$10,設定!$G$9)))</f>
        <v/>
      </c>
      <c r="U10" s="62" t="str">
        <f aca="false">IF(OR($C10="",S10=""),"",IF(S10/IF($S$2="",100,$S$2)&gt;=設定!$I$28,設定!$G$8,IF(S10/IF($S$2="",100,$S$2)&lt;設定!$I$29,設定!$G$10,設定!$G$9)))</f>
        <v/>
      </c>
    </row>
    <row r="11" customFormat="false" ht="21" hidden="false" customHeight="true" outlineLevel="0" collapsed="false">
      <c r="A11" s="91" t="str">
        <f aca="false">IF(名簿!$D11="","",名簿!$B11&amp;"")</f>
        <v/>
      </c>
      <c r="B11" s="91" t="str">
        <f aca="false">IF(名簿!$D11="","",名簿!$C11)</f>
        <v/>
      </c>
      <c r="C11" s="59" t="str">
        <f aca="false">IF(名簿!$D11="","",名簿!$D11&amp;IF(名簿!$F11="転出","（転出）",""))</f>
        <v/>
      </c>
      <c r="D11" s="149"/>
      <c r="E11" s="61" t="str">
        <f aca="false">IF(OR($C11="",名簿!$F11="転出"),"",IF($C$2="学級ごと",$A11,IF($C$2="前の単元と同じ",単元14!$E11&amp;"",$D11&amp;"")))</f>
        <v/>
      </c>
      <c r="F11" s="150"/>
      <c r="G11" s="150"/>
      <c r="H11" s="150"/>
      <c r="I11" s="151"/>
      <c r="J11" s="41" t="str">
        <f aca="false">IF($E11="","",$E11&amp;"|"&amp;COUNTIF($E$5:$E11,$E11))</f>
        <v/>
      </c>
      <c r="K11" s="40" t="str">
        <f aca="false">IF($I11="","",LEN($I11))</f>
        <v/>
      </c>
      <c r="L11" s="13"/>
      <c r="M11" s="13"/>
      <c r="N11" s="13"/>
      <c r="O11" s="13"/>
      <c r="P11" s="152"/>
      <c r="Q11" s="149"/>
      <c r="R11" s="152"/>
      <c r="S11" s="152"/>
      <c r="T11" s="62" t="str">
        <f aca="false">IF(OR($C11="",R11=""),"",IF(R11/IF($R$2="",100,$R$2)&gt;=設定!$I$28,設定!$G$8,IF(R11/IF($R$2="",100,$R$2)&lt;設定!$I$29,設定!$G$10,設定!$G$9)))</f>
        <v/>
      </c>
      <c r="U11" s="62" t="str">
        <f aca="false">IF(OR($C11="",S11=""),"",IF(S11/IF($S$2="",100,$S$2)&gt;=設定!$I$28,設定!$G$8,IF(S11/IF($S$2="",100,$S$2)&lt;設定!$I$29,設定!$G$10,設定!$G$9)))</f>
        <v/>
      </c>
    </row>
    <row r="12" customFormat="false" ht="21" hidden="false" customHeight="true" outlineLevel="0" collapsed="false">
      <c r="A12" s="91" t="str">
        <f aca="false">IF(名簿!$D12="","",名簿!$B12&amp;"")</f>
        <v/>
      </c>
      <c r="B12" s="91" t="str">
        <f aca="false">IF(名簿!$D12="","",名簿!$C12)</f>
        <v/>
      </c>
      <c r="C12" s="59" t="str">
        <f aca="false">IF(名簿!$D12="","",名簿!$D12&amp;IF(名簿!$F12="転出","（転出）",""))</f>
        <v/>
      </c>
      <c r="D12" s="149"/>
      <c r="E12" s="61" t="str">
        <f aca="false">IF(OR($C12="",名簿!$F12="転出"),"",IF($C$2="学級ごと",$A12,IF($C$2="前の単元と同じ",単元14!$E12&amp;"",$D12&amp;"")))</f>
        <v/>
      </c>
      <c r="F12" s="150"/>
      <c r="G12" s="150"/>
      <c r="H12" s="150"/>
      <c r="I12" s="151"/>
      <c r="J12" s="41" t="str">
        <f aca="false">IF($E12="","",$E12&amp;"|"&amp;COUNTIF($E$5:$E12,$E12))</f>
        <v/>
      </c>
      <c r="K12" s="40" t="str">
        <f aca="false">IF($I12="","",LEN($I12))</f>
        <v/>
      </c>
      <c r="L12" s="13"/>
      <c r="M12" s="13"/>
      <c r="N12" s="13"/>
      <c r="O12" s="13"/>
      <c r="P12" s="152"/>
      <c r="Q12" s="149"/>
      <c r="R12" s="152"/>
      <c r="S12" s="152"/>
      <c r="T12" s="62" t="str">
        <f aca="false">IF(OR($C12="",R12=""),"",IF(R12/IF($R$2="",100,$R$2)&gt;=設定!$I$28,設定!$G$8,IF(R12/IF($R$2="",100,$R$2)&lt;設定!$I$29,設定!$G$10,設定!$G$9)))</f>
        <v/>
      </c>
      <c r="U12" s="62" t="str">
        <f aca="false">IF(OR($C12="",S12=""),"",IF(S12/IF($S$2="",100,$S$2)&gt;=設定!$I$28,設定!$G$8,IF(S12/IF($S$2="",100,$S$2)&lt;設定!$I$29,設定!$G$10,設定!$G$9)))</f>
        <v/>
      </c>
    </row>
    <row r="13" customFormat="false" ht="21" hidden="false" customHeight="true" outlineLevel="0" collapsed="false">
      <c r="A13" s="91" t="str">
        <f aca="false">IF(名簿!$D13="","",名簿!$B13&amp;"")</f>
        <v/>
      </c>
      <c r="B13" s="91" t="str">
        <f aca="false">IF(名簿!$D13="","",名簿!$C13)</f>
        <v/>
      </c>
      <c r="C13" s="59" t="str">
        <f aca="false">IF(名簿!$D13="","",名簿!$D13&amp;IF(名簿!$F13="転出","（転出）",""))</f>
        <v/>
      </c>
      <c r="D13" s="149"/>
      <c r="E13" s="61" t="str">
        <f aca="false">IF(OR($C13="",名簿!$F13="転出"),"",IF($C$2="学級ごと",$A13,IF($C$2="前の単元と同じ",単元14!$E13&amp;"",$D13&amp;"")))</f>
        <v/>
      </c>
      <c r="F13" s="150"/>
      <c r="G13" s="150"/>
      <c r="H13" s="150"/>
      <c r="I13" s="151"/>
      <c r="J13" s="41" t="str">
        <f aca="false">IF($E13="","",$E13&amp;"|"&amp;COUNTIF($E$5:$E13,$E13))</f>
        <v/>
      </c>
      <c r="K13" s="40" t="str">
        <f aca="false">IF($I13="","",LEN($I13))</f>
        <v/>
      </c>
      <c r="L13" s="13"/>
      <c r="M13" s="13"/>
      <c r="N13" s="13"/>
      <c r="O13" s="13"/>
      <c r="P13" s="152"/>
      <c r="Q13" s="149"/>
      <c r="R13" s="152"/>
      <c r="S13" s="152"/>
      <c r="T13" s="62" t="str">
        <f aca="false">IF(OR($C13="",R13=""),"",IF(R13/IF($R$2="",100,$R$2)&gt;=設定!$I$28,設定!$G$8,IF(R13/IF($R$2="",100,$R$2)&lt;設定!$I$29,設定!$G$10,設定!$G$9)))</f>
        <v/>
      </c>
      <c r="U13" s="62" t="str">
        <f aca="false">IF(OR($C13="",S13=""),"",IF(S13/IF($S$2="",100,$S$2)&gt;=設定!$I$28,設定!$G$8,IF(S13/IF($S$2="",100,$S$2)&lt;設定!$I$29,設定!$G$10,設定!$G$9)))</f>
        <v/>
      </c>
    </row>
    <row r="14" customFormat="false" ht="21" hidden="false" customHeight="true" outlineLevel="0" collapsed="false">
      <c r="A14" s="91" t="str">
        <f aca="false">IF(名簿!$D14="","",名簿!$B14&amp;"")</f>
        <v/>
      </c>
      <c r="B14" s="91" t="str">
        <f aca="false">IF(名簿!$D14="","",名簿!$C14)</f>
        <v/>
      </c>
      <c r="C14" s="59" t="str">
        <f aca="false">IF(名簿!$D14="","",名簿!$D14&amp;IF(名簿!$F14="転出","（転出）",""))</f>
        <v/>
      </c>
      <c r="D14" s="149"/>
      <c r="E14" s="61" t="str">
        <f aca="false">IF(OR($C14="",名簿!$F14="転出"),"",IF($C$2="学級ごと",$A14,IF($C$2="前の単元と同じ",単元14!$E14&amp;"",$D14&amp;"")))</f>
        <v/>
      </c>
      <c r="F14" s="150"/>
      <c r="G14" s="150"/>
      <c r="H14" s="150"/>
      <c r="I14" s="151"/>
      <c r="J14" s="41" t="str">
        <f aca="false">IF($E14="","",$E14&amp;"|"&amp;COUNTIF($E$5:$E14,$E14))</f>
        <v/>
      </c>
      <c r="K14" s="40" t="str">
        <f aca="false">IF($I14="","",LEN($I14))</f>
        <v/>
      </c>
      <c r="L14" s="13"/>
      <c r="M14" s="13"/>
      <c r="N14" s="13"/>
      <c r="O14" s="13"/>
      <c r="P14" s="152"/>
      <c r="Q14" s="149"/>
      <c r="R14" s="152"/>
      <c r="S14" s="152"/>
      <c r="T14" s="62" t="str">
        <f aca="false">IF(OR($C14="",R14=""),"",IF(R14/IF($R$2="",100,$R$2)&gt;=設定!$I$28,設定!$G$8,IF(R14/IF($R$2="",100,$R$2)&lt;設定!$I$29,設定!$G$10,設定!$G$9)))</f>
        <v/>
      </c>
      <c r="U14" s="62" t="str">
        <f aca="false">IF(OR($C14="",S14=""),"",IF(S14/IF($S$2="",100,$S$2)&gt;=設定!$I$28,設定!$G$8,IF(S14/IF($S$2="",100,$S$2)&lt;設定!$I$29,設定!$G$10,設定!$G$9)))</f>
        <v/>
      </c>
    </row>
    <row r="15" customFormat="false" ht="21" hidden="false" customHeight="true" outlineLevel="0" collapsed="false">
      <c r="A15" s="91" t="str">
        <f aca="false">IF(名簿!$D15="","",名簿!$B15&amp;"")</f>
        <v/>
      </c>
      <c r="B15" s="91" t="str">
        <f aca="false">IF(名簿!$D15="","",名簿!$C15)</f>
        <v/>
      </c>
      <c r="C15" s="59" t="str">
        <f aca="false">IF(名簿!$D15="","",名簿!$D15&amp;IF(名簿!$F15="転出","（転出）",""))</f>
        <v/>
      </c>
      <c r="D15" s="149"/>
      <c r="E15" s="61" t="str">
        <f aca="false">IF(OR($C15="",名簿!$F15="転出"),"",IF($C$2="学級ごと",$A15,IF($C$2="前の単元と同じ",単元14!$E15&amp;"",$D15&amp;"")))</f>
        <v/>
      </c>
      <c r="F15" s="150"/>
      <c r="G15" s="150"/>
      <c r="H15" s="150"/>
      <c r="I15" s="151"/>
      <c r="J15" s="41" t="str">
        <f aca="false">IF($E15="","",$E15&amp;"|"&amp;COUNTIF($E$5:$E15,$E15))</f>
        <v/>
      </c>
      <c r="K15" s="40" t="str">
        <f aca="false">IF($I15="","",LEN($I15))</f>
        <v/>
      </c>
      <c r="L15" s="13"/>
      <c r="M15" s="13"/>
      <c r="N15" s="13"/>
      <c r="O15" s="13"/>
      <c r="P15" s="152"/>
      <c r="Q15" s="149"/>
      <c r="R15" s="152"/>
      <c r="S15" s="152"/>
      <c r="T15" s="62" t="str">
        <f aca="false">IF(OR($C15="",R15=""),"",IF(R15/IF($R$2="",100,$R$2)&gt;=設定!$I$28,設定!$G$8,IF(R15/IF($R$2="",100,$R$2)&lt;設定!$I$29,設定!$G$10,設定!$G$9)))</f>
        <v/>
      </c>
      <c r="U15" s="62" t="str">
        <f aca="false">IF(OR($C15="",S15=""),"",IF(S15/IF($S$2="",100,$S$2)&gt;=設定!$I$28,設定!$G$8,IF(S15/IF($S$2="",100,$S$2)&lt;設定!$I$29,設定!$G$10,設定!$G$9)))</f>
        <v/>
      </c>
    </row>
    <row r="16" customFormat="false" ht="21" hidden="false" customHeight="true" outlineLevel="0" collapsed="false">
      <c r="A16" s="91" t="str">
        <f aca="false">IF(名簿!$D16="","",名簿!$B16&amp;"")</f>
        <v/>
      </c>
      <c r="B16" s="91" t="str">
        <f aca="false">IF(名簿!$D16="","",名簿!$C16)</f>
        <v/>
      </c>
      <c r="C16" s="59" t="str">
        <f aca="false">IF(名簿!$D16="","",名簿!$D16&amp;IF(名簿!$F16="転出","（転出）",""))</f>
        <v/>
      </c>
      <c r="D16" s="149"/>
      <c r="E16" s="61" t="str">
        <f aca="false">IF(OR($C16="",名簿!$F16="転出"),"",IF($C$2="学級ごと",$A16,IF($C$2="前の単元と同じ",単元14!$E16&amp;"",$D16&amp;"")))</f>
        <v/>
      </c>
      <c r="F16" s="150"/>
      <c r="G16" s="150"/>
      <c r="H16" s="150"/>
      <c r="I16" s="151"/>
      <c r="J16" s="41" t="str">
        <f aca="false">IF($E16="","",$E16&amp;"|"&amp;COUNTIF($E$5:$E16,$E16))</f>
        <v/>
      </c>
      <c r="K16" s="40" t="str">
        <f aca="false">IF($I16="","",LEN($I16))</f>
        <v/>
      </c>
      <c r="L16" s="13"/>
      <c r="M16" s="13"/>
      <c r="N16" s="13"/>
      <c r="O16" s="13"/>
      <c r="P16" s="152"/>
      <c r="Q16" s="149"/>
      <c r="R16" s="152"/>
      <c r="S16" s="152"/>
      <c r="T16" s="62" t="str">
        <f aca="false">IF(OR($C16="",R16=""),"",IF(R16/IF($R$2="",100,$R$2)&gt;=設定!$I$28,設定!$G$8,IF(R16/IF($R$2="",100,$R$2)&lt;設定!$I$29,設定!$G$10,設定!$G$9)))</f>
        <v/>
      </c>
      <c r="U16" s="62" t="str">
        <f aca="false">IF(OR($C16="",S16=""),"",IF(S16/IF($S$2="",100,$S$2)&gt;=設定!$I$28,設定!$G$8,IF(S16/IF($S$2="",100,$S$2)&lt;設定!$I$29,設定!$G$10,設定!$G$9)))</f>
        <v/>
      </c>
    </row>
    <row r="17" customFormat="false" ht="21" hidden="false" customHeight="true" outlineLevel="0" collapsed="false">
      <c r="A17" s="91" t="str">
        <f aca="false">IF(名簿!$D17="","",名簿!$B17&amp;"")</f>
        <v/>
      </c>
      <c r="B17" s="91" t="str">
        <f aca="false">IF(名簿!$D17="","",名簿!$C17)</f>
        <v/>
      </c>
      <c r="C17" s="59" t="str">
        <f aca="false">IF(名簿!$D17="","",名簿!$D17&amp;IF(名簿!$F17="転出","（転出）",""))</f>
        <v/>
      </c>
      <c r="D17" s="149"/>
      <c r="E17" s="61" t="str">
        <f aca="false">IF(OR($C17="",名簿!$F17="転出"),"",IF($C$2="学級ごと",$A17,IF($C$2="前の単元と同じ",単元14!$E17&amp;"",$D17&amp;"")))</f>
        <v/>
      </c>
      <c r="F17" s="150"/>
      <c r="G17" s="150"/>
      <c r="H17" s="150"/>
      <c r="I17" s="151"/>
      <c r="J17" s="41" t="str">
        <f aca="false">IF($E17="","",$E17&amp;"|"&amp;COUNTIF($E$5:$E17,$E17))</f>
        <v/>
      </c>
      <c r="K17" s="40" t="str">
        <f aca="false">IF($I17="","",LEN($I17))</f>
        <v/>
      </c>
      <c r="L17" s="13"/>
      <c r="M17" s="13"/>
      <c r="N17" s="13"/>
      <c r="O17" s="13"/>
      <c r="P17" s="152"/>
      <c r="Q17" s="149"/>
      <c r="R17" s="152"/>
      <c r="S17" s="152"/>
      <c r="T17" s="62" t="str">
        <f aca="false">IF(OR($C17="",R17=""),"",IF(R17/IF($R$2="",100,$R$2)&gt;=設定!$I$28,設定!$G$8,IF(R17/IF($R$2="",100,$R$2)&lt;設定!$I$29,設定!$G$10,設定!$G$9)))</f>
        <v/>
      </c>
      <c r="U17" s="62" t="str">
        <f aca="false">IF(OR($C17="",S17=""),"",IF(S17/IF($S$2="",100,$S$2)&gt;=設定!$I$28,設定!$G$8,IF(S17/IF($S$2="",100,$S$2)&lt;設定!$I$29,設定!$G$10,設定!$G$9)))</f>
        <v/>
      </c>
    </row>
    <row r="18" customFormat="false" ht="21" hidden="false" customHeight="true" outlineLevel="0" collapsed="false">
      <c r="A18" s="91" t="str">
        <f aca="false">IF(名簿!$D18="","",名簿!$B18&amp;"")</f>
        <v/>
      </c>
      <c r="B18" s="91" t="str">
        <f aca="false">IF(名簿!$D18="","",名簿!$C18)</f>
        <v/>
      </c>
      <c r="C18" s="59" t="str">
        <f aca="false">IF(名簿!$D18="","",名簿!$D18&amp;IF(名簿!$F18="転出","（転出）",""))</f>
        <v/>
      </c>
      <c r="D18" s="149"/>
      <c r="E18" s="61" t="str">
        <f aca="false">IF(OR($C18="",名簿!$F18="転出"),"",IF($C$2="学級ごと",$A18,IF($C$2="前の単元と同じ",単元14!$E18&amp;"",$D18&amp;"")))</f>
        <v/>
      </c>
      <c r="F18" s="150"/>
      <c r="G18" s="150"/>
      <c r="H18" s="150"/>
      <c r="I18" s="151"/>
      <c r="J18" s="41" t="str">
        <f aca="false">IF($E18="","",$E18&amp;"|"&amp;COUNTIF($E$5:$E18,$E18))</f>
        <v/>
      </c>
      <c r="K18" s="40" t="str">
        <f aca="false">IF($I18="","",LEN($I18))</f>
        <v/>
      </c>
      <c r="L18" s="13"/>
      <c r="M18" s="13"/>
      <c r="N18" s="13"/>
      <c r="O18" s="13"/>
      <c r="P18" s="152"/>
      <c r="Q18" s="149"/>
      <c r="R18" s="152"/>
      <c r="S18" s="152"/>
      <c r="T18" s="62" t="str">
        <f aca="false">IF(OR($C18="",R18=""),"",IF(R18/IF($R$2="",100,$R$2)&gt;=設定!$I$28,設定!$G$8,IF(R18/IF($R$2="",100,$R$2)&lt;設定!$I$29,設定!$G$10,設定!$G$9)))</f>
        <v/>
      </c>
      <c r="U18" s="62" t="str">
        <f aca="false">IF(OR($C18="",S18=""),"",IF(S18/IF($S$2="",100,$S$2)&gt;=設定!$I$28,設定!$G$8,IF(S18/IF($S$2="",100,$S$2)&lt;設定!$I$29,設定!$G$10,設定!$G$9)))</f>
        <v/>
      </c>
    </row>
    <row r="19" customFormat="false" ht="21" hidden="false" customHeight="true" outlineLevel="0" collapsed="false">
      <c r="A19" s="91" t="str">
        <f aca="false">IF(名簿!$D19="","",名簿!$B19&amp;"")</f>
        <v/>
      </c>
      <c r="B19" s="91" t="str">
        <f aca="false">IF(名簿!$D19="","",名簿!$C19)</f>
        <v/>
      </c>
      <c r="C19" s="59" t="str">
        <f aca="false">IF(名簿!$D19="","",名簿!$D19&amp;IF(名簿!$F19="転出","（転出）",""))</f>
        <v/>
      </c>
      <c r="D19" s="149"/>
      <c r="E19" s="61" t="str">
        <f aca="false">IF(OR($C19="",名簿!$F19="転出"),"",IF($C$2="学級ごと",$A19,IF($C$2="前の単元と同じ",単元14!$E19&amp;"",$D19&amp;"")))</f>
        <v/>
      </c>
      <c r="F19" s="150"/>
      <c r="G19" s="150"/>
      <c r="H19" s="150"/>
      <c r="I19" s="151"/>
      <c r="J19" s="41" t="str">
        <f aca="false">IF($E19="","",$E19&amp;"|"&amp;COUNTIF($E$5:$E19,$E19))</f>
        <v/>
      </c>
      <c r="K19" s="40" t="str">
        <f aca="false">IF($I19="","",LEN($I19))</f>
        <v/>
      </c>
      <c r="L19" s="13"/>
      <c r="M19" s="13"/>
      <c r="N19" s="13"/>
      <c r="O19" s="13"/>
      <c r="P19" s="152"/>
      <c r="Q19" s="149"/>
      <c r="R19" s="152"/>
      <c r="S19" s="152"/>
      <c r="T19" s="62" t="str">
        <f aca="false">IF(OR($C19="",R19=""),"",IF(R19/IF($R$2="",100,$R$2)&gt;=設定!$I$28,設定!$G$8,IF(R19/IF($R$2="",100,$R$2)&lt;設定!$I$29,設定!$G$10,設定!$G$9)))</f>
        <v/>
      </c>
      <c r="U19" s="62" t="str">
        <f aca="false">IF(OR($C19="",S19=""),"",IF(S19/IF($S$2="",100,$S$2)&gt;=設定!$I$28,設定!$G$8,IF(S19/IF($S$2="",100,$S$2)&lt;設定!$I$29,設定!$G$10,設定!$G$9)))</f>
        <v/>
      </c>
    </row>
    <row r="20" customFormat="false" ht="21" hidden="false" customHeight="true" outlineLevel="0" collapsed="false">
      <c r="A20" s="91" t="str">
        <f aca="false">IF(名簿!$D20="","",名簿!$B20&amp;"")</f>
        <v/>
      </c>
      <c r="B20" s="91" t="str">
        <f aca="false">IF(名簿!$D20="","",名簿!$C20)</f>
        <v/>
      </c>
      <c r="C20" s="59" t="str">
        <f aca="false">IF(名簿!$D20="","",名簿!$D20&amp;IF(名簿!$F20="転出","（転出）",""))</f>
        <v/>
      </c>
      <c r="D20" s="149"/>
      <c r="E20" s="61" t="str">
        <f aca="false">IF(OR($C20="",名簿!$F20="転出"),"",IF($C$2="学級ごと",$A20,IF($C$2="前の単元と同じ",単元14!$E20&amp;"",$D20&amp;"")))</f>
        <v/>
      </c>
      <c r="F20" s="150"/>
      <c r="G20" s="150"/>
      <c r="H20" s="150"/>
      <c r="I20" s="151"/>
      <c r="J20" s="41" t="str">
        <f aca="false">IF($E20="","",$E20&amp;"|"&amp;COUNTIF($E$5:$E20,$E20))</f>
        <v/>
      </c>
      <c r="K20" s="40" t="str">
        <f aca="false">IF($I20="","",LEN($I20))</f>
        <v/>
      </c>
      <c r="L20" s="13"/>
      <c r="M20" s="13"/>
      <c r="N20" s="13"/>
      <c r="O20" s="13"/>
      <c r="P20" s="152"/>
      <c r="Q20" s="149"/>
      <c r="R20" s="152"/>
      <c r="S20" s="152"/>
      <c r="T20" s="62" t="str">
        <f aca="false">IF(OR($C20="",R20=""),"",IF(R20/IF($R$2="",100,$R$2)&gt;=設定!$I$28,設定!$G$8,IF(R20/IF($R$2="",100,$R$2)&lt;設定!$I$29,設定!$G$10,設定!$G$9)))</f>
        <v/>
      </c>
      <c r="U20" s="62" t="str">
        <f aca="false">IF(OR($C20="",S20=""),"",IF(S20/IF($S$2="",100,$S$2)&gt;=設定!$I$28,設定!$G$8,IF(S20/IF($S$2="",100,$S$2)&lt;設定!$I$29,設定!$G$10,設定!$G$9)))</f>
        <v/>
      </c>
    </row>
    <row r="21" customFormat="false" ht="21" hidden="false" customHeight="true" outlineLevel="0" collapsed="false">
      <c r="A21" s="91" t="str">
        <f aca="false">IF(名簿!$D21="","",名簿!$B21&amp;"")</f>
        <v/>
      </c>
      <c r="B21" s="91" t="str">
        <f aca="false">IF(名簿!$D21="","",名簿!$C21)</f>
        <v/>
      </c>
      <c r="C21" s="59" t="str">
        <f aca="false">IF(名簿!$D21="","",名簿!$D21&amp;IF(名簿!$F21="転出","（転出）",""))</f>
        <v/>
      </c>
      <c r="D21" s="149"/>
      <c r="E21" s="61" t="str">
        <f aca="false">IF(OR($C21="",名簿!$F21="転出"),"",IF($C$2="学級ごと",$A21,IF($C$2="前の単元と同じ",単元14!$E21&amp;"",$D21&amp;"")))</f>
        <v/>
      </c>
      <c r="F21" s="150"/>
      <c r="G21" s="150"/>
      <c r="H21" s="150"/>
      <c r="I21" s="151"/>
      <c r="J21" s="41" t="str">
        <f aca="false">IF($E21="","",$E21&amp;"|"&amp;COUNTIF($E$5:$E21,$E21))</f>
        <v/>
      </c>
      <c r="K21" s="40" t="str">
        <f aca="false">IF($I21="","",LEN($I21))</f>
        <v/>
      </c>
      <c r="L21" s="13"/>
      <c r="M21" s="13"/>
      <c r="N21" s="13"/>
      <c r="O21" s="13"/>
      <c r="P21" s="152"/>
      <c r="Q21" s="149"/>
      <c r="R21" s="152"/>
      <c r="S21" s="152"/>
      <c r="T21" s="62" t="str">
        <f aca="false">IF(OR($C21="",R21=""),"",IF(R21/IF($R$2="",100,$R$2)&gt;=設定!$I$28,設定!$G$8,IF(R21/IF($R$2="",100,$R$2)&lt;設定!$I$29,設定!$G$10,設定!$G$9)))</f>
        <v/>
      </c>
      <c r="U21" s="62" t="str">
        <f aca="false">IF(OR($C21="",S21=""),"",IF(S21/IF($S$2="",100,$S$2)&gt;=設定!$I$28,設定!$G$8,IF(S21/IF($S$2="",100,$S$2)&lt;設定!$I$29,設定!$G$10,設定!$G$9)))</f>
        <v/>
      </c>
    </row>
    <row r="22" customFormat="false" ht="21" hidden="false" customHeight="true" outlineLevel="0" collapsed="false">
      <c r="A22" s="91" t="str">
        <f aca="false">IF(名簿!$D22="","",名簿!$B22&amp;"")</f>
        <v/>
      </c>
      <c r="B22" s="91" t="str">
        <f aca="false">IF(名簿!$D22="","",名簿!$C22)</f>
        <v/>
      </c>
      <c r="C22" s="59" t="str">
        <f aca="false">IF(名簿!$D22="","",名簿!$D22&amp;IF(名簿!$F22="転出","（転出）",""))</f>
        <v/>
      </c>
      <c r="D22" s="149"/>
      <c r="E22" s="61" t="str">
        <f aca="false">IF(OR($C22="",名簿!$F22="転出"),"",IF($C$2="学級ごと",$A22,IF($C$2="前の単元と同じ",単元14!$E22&amp;"",$D22&amp;"")))</f>
        <v/>
      </c>
      <c r="F22" s="150"/>
      <c r="G22" s="150"/>
      <c r="H22" s="150"/>
      <c r="I22" s="151"/>
      <c r="J22" s="41" t="str">
        <f aca="false">IF($E22="","",$E22&amp;"|"&amp;COUNTIF($E$5:$E22,$E22))</f>
        <v/>
      </c>
      <c r="K22" s="40" t="str">
        <f aca="false">IF($I22="","",LEN($I22))</f>
        <v/>
      </c>
      <c r="L22" s="13"/>
      <c r="M22" s="13"/>
      <c r="N22" s="13"/>
      <c r="O22" s="13"/>
      <c r="P22" s="152"/>
      <c r="Q22" s="149"/>
      <c r="R22" s="152"/>
      <c r="S22" s="152"/>
      <c r="T22" s="62" t="str">
        <f aca="false">IF(OR($C22="",R22=""),"",IF(R22/IF($R$2="",100,$R$2)&gt;=設定!$I$28,設定!$G$8,IF(R22/IF($R$2="",100,$R$2)&lt;設定!$I$29,設定!$G$10,設定!$G$9)))</f>
        <v/>
      </c>
      <c r="U22" s="62" t="str">
        <f aca="false">IF(OR($C22="",S22=""),"",IF(S22/IF($S$2="",100,$S$2)&gt;=設定!$I$28,設定!$G$8,IF(S22/IF($S$2="",100,$S$2)&lt;設定!$I$29,設定!$G$10,設定!$G$9)))</f>
        <v/>
      </c>
    </row>
    <row r="23" customFormat="false" ht="21" hidden="false" customHeight="true" outlineLevel="0" collapsed="false">
      <c r="A23" s="91" t="str">
        <f aca="false">IF(名簿!$D23="","",名簿!$B23&amp;"")</f>
        <v/>
      </c>
      <c r="B23" s="91" t="str">
        <f aca="false">IF(名簿!$D23="","",名簿!$C23)</f>
        <v/>
      </c>
      <c r="C23" s="59" t="str">
        <f aca="false">IF(名簿!$D23="","",名簿!$D23&amp;IF(名簿!$F23="転出","（転出）",""))</f>
        <v/>
      </c>
      <c r="D23" s="149"/>
      <c r="E23" s="61" t="str">
        <f aca="false">IF(OR($C23="",名簿!$F23="転出"),"",IF($C$2="学級ごと",$A23,IF($C$2="前の単元と同じ",単元14!$E23&amp;"",$D23&amp;"")))</f>
        <v/>
      </c>
      <c r="F23" s="150"/>
      <c r="G23" s="150"/>
      <c r="H23" s="150"/>
      <c r="I23" s="151"/>
      <c r="J23" s="41" t="str">
        <f aca="false">IF($E23="","",$E23&amp;"|"&amp;COUNTIF($E$5:$E23,$E23))</f>
        <v/>
      </c>
      <c r="K23" s="40" t="str">
        <f aca="false">IF($I23="","",LEN($I23))</f>
        <v/>
      </c>
      <c r="L23" s="13"/>
      <c r="M23" s="13"/>
      <c r="N23" s="13"/>
      <c r="O23" s="13"/>
      <c r="P23" s="152"/>
      <c r="Q23" s="149"/>
      <c r="R23" s="152"/>
      <c r="S23" s="152"/>
      <c r="T23" s="62" t="str">
        <f aca="false">IF(OR($C23="",R23=""),"",IF(R23/IF($R$2="",100,$R$2)&gt;=設定!$I$28,設定!$G$8,IF(R23/IF($R$2="",100,$R$2)&lt;設定!$I$29,設定!$G$10,設定!$G$9)))</f>
        <v/>
      </c>
      <c r="U23" s="62" t="str">
        <f aca="false">IF(OR($C23="",S23=""),"",IF(S23/IF($S$2="",100,$S$2)&gt;=設定!$I$28,設定!$G$8,IF(S23/IF($S$2="",100,$S$2)&lt;設定!$I$29,設定!$G$10,設定!$G$9)))</f>
        <v/>
      </c>
    </row>
    <row r="24" customFormat="false" ht="21" hidden="false" customHeight="true" outlineLevel="0" collapsed="false">
      <c r="A24" s="91" t="str">
        <f aca="false">IF(名簿!$D24="","",名簿!$B24&amp;"")</f>
        <v/>
      </c>
      <c r="B24" s="91" t="str">
        <f aca="false">IF(名簿!$D24="","",名簿!$C24)</f>
        <v/>
      </c>
      <c r="C24" s="59" t="str">
        <f aca="false">IF(名簿!$D24="","",名簿!$D24&amp;IF(名簿!$F24="転出","（転出）",""))</f>
        <v/>
      </c>
      <c r="D24" s="149"/>
      <c r="E24" s="61" t="str">
        <f aca="false">IF(OR($C24="",名簿!$F24="転出"),"",IF($C$2="学級ごと",$A24,IF($C$2="前の単元と同じ",単元14!$E24&amp;"",$D24&amp;"")))</f>
        <v/>
      </c>
      <c r="F24" s="150"/>
      <c r="G24" s="150"/>
      <c r="H24" s="150"/>
      <c r="I24" s="151"/>
      <c r="J24" s="41" t="str">
        <f aca="false">IF($E24="","",$E24&amp;"|"&amp;COUNTIF($E$5:$E24,$E24))</f>
        <v/>
      </c>
      <c r="K24" s="40" t="str">
        <f aca="false">IF($I24="","",LEN($I24))</f>
        <v/>
      </c>
      <c r="L24" s="13"/>
      <c r="M24" s="13"/>
      <c r="N24" s="13"/>
      <c r="O24" s="13"/>
      <c r="P24" s="152"/>
      <c r="Q24" s="149"/>
      <c r="R24" s="152"/>
      <c r="S24" s="152"/>
      <c r="T24" s="62" t="str">
        <f aca="false">IF(OR($C24="",R24=""),"",IF(R24/IF($R$2="",100,$R$2)&gt;=設定!$I$28,設定!$G$8,IF(R24/IF($R$2="",100,$R$2)&lt;設定!$I$29,設定!$G$10,設定!$G$9)))</f>
        <v/>
      </c>
      <c r="U24" s="62" t="str">
        <f aca="false">IF(OR($C24="",S24=""),"",IF(S24/IF($S$2="",100,$S$2)&gt;=設定!$I$28,設定!$G$8,IF(S24/IF($S$2="",100,$S$2)&lt;設定!$I$29,設定!$G$10,設定!$G$9)))</f>
        <v/>
      </c>
    </row>
    <row r="25" customFormat="false" ht="21" hidden="false" customHeight="true" outlineLevel="0" collapsed="false">
      <c r="A25" s="91" t="str">
        <f aca="false">IF(名簿!$D25="","",名簿!$B25&amp;"")</f>
        <v/>
      </c>
      <c r="B25" s="91" t="str">
        <f aca="false">IF(名簿!$D25="","",名簿!$C25)</f>
        <v/>
      </c>
      <c r="C25" s="59" t="str">
        <f aca="false">IF(名簿!$D25="","",名簿!$D25&amp;IF(名簿!$F25="転出","（転出）",""))</f>
        <v/>
      </c>
      <c r="D25" s="149"/>
      <c r="E25" s="61" t="str">
        <f aca="false">IF(OR($C25="",名簿!$F25="転出"),"",IF($C$2="学級ごと",$A25,IF($C$2="前の単元と同じ",単元14!$E25&amp;"",$D25&amp;"")))</f>
        <v/>
      </c>
      <c r="F25" s="150"/>
      <c r="G25" s="150"/>
      <c r="H25" s="150"/>
      <c r="I25" s="151"/>
      <c r="J25" s="41" t="str">
        <f aca="false">IF($E25="","",$E25&amp;"|"&amp;COUNTIF($E$5:$E25,$E25))</f>
        <v/>
      </c>
      <c r="K25" s="40" t="str">
        <f aca="false">IF($I25="","",LEN($I25))</f>
        <v/>
      </c>
      <c r="L25" s="13"/>
      <c r="M25" s="13"/>
      <c r="N25" s="13"/>
      <c r="O25" s="13"/>
      <c r="P25" s="152"/>
      <c r="Q25" s="149"/>
      <c r="R25" s="152"/>
      <c r="S25" s="152"/>
      <c r="T25" s="62" t="str">
        <f aca="false">IF(OR($C25="",R25=""),"",IF(R25/IF($R$2="",100,$R$2)&gt;=設定!$I$28,設定!$G$8,IF(R25/IF($R$2="",100,$R$2)&lt;設定!$I$29,設定!$G$10,設定!$G$9)))</f>
        <v/>
      </c>
      <c r="U25" s="62" t="str">
        <f aca="false">IF(OR($C25="",S25=""),"",IF(S25/IF($S$2="",100,$S$2)&gt;=設定!$I$28,設定!$G$8,IF(S25/IF($S$2="",100,$S$2)&lt;設定!$I$29,設定!$G$10,設定!$G$9)))</f>
        <v/>
      </c>
    </row>
    <row r="26" customFormat="false" ht="21" hidden="false" customHeight="true" outlineLevel="0" collapsed="false">
      <c r="A26" s="91" t="str">
        <f aca="false">IF(名簿!$D26="","",名簿!$B26&amp;"")</f>
        <v/>
      </c>
      <c r="B26" s="91" t="str">
        <f aca="false">IF(名簿!$D26="","",名簿!$C26)</f>
        <v/>
      </c>
      <c r="C26" s="59" t="str">
        <f aca="false">IF(名簿!$D26="","",名簿!$D26&amp;IF(名簿!$F26="転出","（転出）",""))</f>
        <v/>
      </c>
      <c r="D26" s="149"/>
      <c r="E26" s="61" t="str">
        <f aca="false">IF(OR($C26="",名簿!$F26="転出"),"",IF($C$2="学級ごと",$A26,IF($C$2="前の単元と同じ",単元14!$E26&amp;"",$D26&amp;"")))</f>
        <v/>
      </c>
      <c r="F26" s="150"/>
      <c r="G26" s="150"/>
      <c r="H26" s="150"/>
      <c r="I26" s="151"/>
      <c r="J26" s="41" t="str">
        <f aca="false">IF($E26="","",$E26&amp;"|"&amp;COUNTIF($E$5:$E26,$E26))</f>
        <v/>
      </c>
      <c r="K26" s="40" t="str">
        <f aca="false">IF($I26="","",LEN($I26))</f>
        <v/>
      </c>
      <c r="L26" s="13"/>
      <c r="M26" s="13"/>
      <c r="N26" s="13"/>
      <c r="O26" s="13"/>
      <c r="P26" s="152"/>
      <c r="Q26" s="149"/>
      <c r="R26" s="152"/>
      <c r="S26" s="152"/>
      <c r="T26" s="62" t="str">
        <f aca="false">IF(OR($C26="",R26=""),"",IF(R26/IF($R$2="",100,$R$2)&gt;=設定!$I$28,設定!$G$8,IF(R26/IF($R$2="",100,$R$2)&lt;設定!$I$29,設定!$G$10,設定!$G$9)))</f>
        <v/>
      </c>
      <c r="U26" s="62" t="str">
        <f aca="false">IF(OR($C26="",S26=""),"",IF(S26/IF($S$2="",100,$S$2)&gt;=設定!$I$28,設定!$G$8,IF(S26/IF($S$2="",100,$S$2)&lt;設定!$I$29,設定!$G$10,設定!$G$9)))</f>
        <v/>
      </c>
    </row>
    <row r="27" customFormat="false" ht="21" hidden="false" customHeight="true" outlineLevel="0" collapsed="false">
      <c r="A27" s="91" t="str">
        <f aca="false">IF(名簿!$D27="","",名簿!$B27&amp;"")</f>
        <v/>
      </c>
      <c r="B27" s="91" t="str">
        <f aca="false">IF(名簿!$D27="","",名簿!$C27)</f>
        <v/>
      </c>
      <c r="C27" s="59" t="str">
        <f aca="false">IF(名簿!$D27="","",名簿!$D27&amp;IF(名簿!$F27="転出","（転出）",""))</f>
        <v/>
      </c>
      <c r="D27" s="149"/>
      <c r="E27" s="61" t="str">
        <f aca="false">IF(OR($C27="",名簿!$F27="転出"),"",IF($C$2="学級ごと",$A27,IF($C$2="前の単元と同じ",単元14!$E27&amp;"",$D27&amp;"")))</f>
        <v/>
      </c>
      <c r="F27" s="150"/>
      <c r="G27" s="150"/>
      <c r="H27" s="150"/>
      <c r="I27" s="151"/>
      <c r="J27" s="41" t="str">
        <f aca="false">IF($E27="","",$E27&amp;"|"&amp;COUNTIF($E$5:$E27,$E27))</f>
        <v/>
      </c>
      <c r="K27" s="40" t="str">
        <f aca="false">IF($I27="","",LEN($I27))</f>
        <v/>
      </c>
      <c r="L27" s="13"/>
      <c r="M27" s="13"/>
      <c r="N27" s="13"/>
      <c r="O27" s="13"/>
      <c r="P27" s="152"/>
      <c r="Q27" s="149"/>
      <c r="R27" s="152"/>
      <c r="S27" s="152"/>
      <c r="T27" s="62" t="str">
        <f aca="false">IF(OR($C27="",R27=""),"",IF(R27/IF($R$2="",100,$R$2)&gt;=設定!$I$28,設定!$G$8,IF(R27/IF($R$2="",100,$R$2)&lt;設定!$I$29,設定!$G$10,設定!$G$9)))</f>
        <v/>
      </c>
      <c r="U27" s="62" t="str">
        <f aca="false">IF(OR($C27="",S27=""),"",IF(S27/IF($S$2="",100,$S$2)&gt;=設定!$I$28,設定!$G$8,IF(S27/IF($S$2="",100,$S$2)&lt;設定!$I$29,設定!$G$10,設定!$G$9)))</f>
        <v/>
      </c>
    </row>
    <row r="28" customFormat="false" ht="21" hidden="false" customHeight="true" outlineLevel="0" collapsed="false">
      <c r="A28" s="91" t="str">
        <f aca="false">IF(名簿!$D28="","",名簿!$B28&amp;"")</f>
        <v/>
      </c>
      <c r="B28" s="91" t="str">
        <f aca="false">IF(名簿!$D28="","",名簿!$C28)</f>
        <v/>
      </c>
      <c r="C28" s="59" t="str">
        <f aca="false">IF(名簿!$D28="","",名簿!$D28&amp;IF(名簿!$F28="転出","（転出）",""))</f>
        <v/>
      </c>
      <c r="D28" s="149"/>
      <c r="E28" s="61" t="str">
        <f aca="false">IF(OR($C28="",名簿!$F28="転出"),"",IF($C$2="学級ごと",$A28,IF($C$2="前の単元と同じ",単元14!$E28&amp;"",$D28&amp;"")))</f>
        <v/>
      </c>
      <c r="F28" s="150"/>
      <c r="G28" s="150"/>
      <c r="H28" s="150"/>
      <c r="I28" s="151"/>
      <c r="J28" s="41" t="str">
        <f aca="false">IF($E28="","",$E28&amp;"|"&amp;COUNTIF($E$5:$E28,$E28))</f>
        <v/>
      </c>
      <c r="K28" s="40" t="str">
        <f aca="false">IF($I28="","",LEN($I28))</f>
        <v/>
      </c>
      <c r="L28" s="13"/>
      <c r="M28" s="13"/>
      <c r="N28" s="13"/>
      <c r="O28" s="13"/>
      <c r="P28" s="152"/>
      <c r="Q28" s="149"/>
      <c r="R28" s="152"/>
      <c r="S28" s="152"/>
      <c r="T28" s="62" t="str">
        <f aca="false">IF(OR($C28="",R28=""),"",IF(R28/IF($R$2="",100,$R$2)&gt;=設定!$I$28,設定!$G$8,IF(R28/IF($R$2="",100,$R$2)&lt;設定!$I$29,設定!$G$10,設定!$G$9)))</f>
        <v/>
      </c>
      <c r="U28" s="62" t="str">
        <f aca="false">IF(OR($C28="",S28=""),"",IF(S28/IF($S$2="",100,$S$2)&gt;=設定!$I$28,設定!$G$8,IF(S28/IF($S$2="",100,$S$2)&lt;設定!$I$29,設定!$G$10,設定!$G$9)))</f>
        <v/>
      </c>
    </row>
    <row r="29" customFormat="false" ht="21" hidden="false" customHeight="true" outlineLevel="0" collapsed="false">
      <c r="A29" s="91" t="str">
        <f aca="false">IF(名簿!$D29="","",名簿!$B29&amp;"")</f>
        <v/>
      </c>
      <c r="B29" s="91" t="str">
        <f aca="false">IF(名簿!$D29="","",名簿!$C29)</f>
        <v/>
      </c>
      <c r="C29" s="59" t="str">
        <f aca="false">IF(名簿!$D29="","",名簿!$D29&amp;IF(名簿!$F29="転出","（転出）",""))</f>
        <v/>
      </c>
      <c r="D29" s="149"/>
      <c r="E29" s="61" t="str">
        <f aca="false">IF(OR($C29="",名簿!$F29="転出"),"",IF($C$2="学級ごと",$A29,IF($C$2="前の単元と同じ",単元14!$E29&amp;"",$D29&amp;"")))</f>
        <v/>
      </c>
      <c r="F29" s="150"/>
      <c r="G29" s="150"/>
      <c r="H29" s="150"/>
      <c r="I29" s="151"/>
      <c r="J29" s="41" t="str">
        <f aca="false">IF($E29="","",$E29&amp;"|"&amp;COUNTIF($E$5:$E29,$E29))</f>
        <v/>
      </c>
      <c r="K29" s="40" t="str">
        <f aca="false">IF($I29="","",LEN($I29))</f>
        <v/>
      </c>
      <c r="L29" s="13"/>
      <c r="M29" s="13"/>
      <c r="N29" s="13"/>
      <c r="O29" s="13"/>
      <c r="P29" s="152"/>
      <c r="Q29" s="149"/>
      <c r="R29" s="152"/>
      <c r="S29" s="152"/>
      <c r="T29" s="62" t="str">
        <f aca="false">IF(OR($C29="",R29=""),"",IF(R29/IF($R$2="",100,$R$2)&gt;=設定!$I$28,設定!$G$8,IF(R29/IF($R$2="",100,$R$2)&lt;設定!$I$29,設定!$G$10,設定!$G$9)))</f>
        <v/>
      </c>
      <c r="U29" s="62" t="str">
        <f aca="false">IF(OR($C29="",S29=""),"",IF(S29/IF($S$2="",100,$S$2)&gt;=設定!$I$28,設定!$G$8,IF(S29/IF($S$2="",100,$S$2)&lt;設定!$I$29,設定!$G$10,設定!$G$9)))</f>
        <v/>
      </c>
    </row>
    <row r="30" customFormat="false" ht="21" hidden="false" customHeight="true" outlineLevel="0" collapsed="false">
      <c r="A30" s="91" t="str">
        <f aca="false">IF(名簿!$D30="","",名簿!$B30&amp;"")</f>
        <v/>
      </c>
      <c r="B30" s="91" t="str">
        <f aca="false">IF(名簿!$D30="","",名簿!$C30)</f>
        <v/>
      </c>
      <c r="C30" s="59" t="str">
        <f aca="false">IF(名簿!$D30="","",名簿!$D30&amp;IF(名簿!$F30="転出","（転出）",""))</f>
        <v/>
      </c>
      <c r="D30" s="149"/>
      <c r="E30" s="61" t="str">
        <f aca="false">IF(OR($C30="",名簿!$F30="転出"),"",IF($C$2="学級ごと",$A30,IF($C$2="前の単元と同じ",単元14!$E30&amp;"",$D30&amp;"")))</f>
        <v/>
      </c>
      <c r="F30" s="150"/>
      <c r="G30" s="150"/>
      <c r="H30" s="150"/>
      <c r="I30" s="151"/>
      <c r="J30" s="41" t="str">
        <f aca="false">IF($E30="","",$E30&amp;"|"&amp;COUNTIF($E$5:$E30,$E30))</f>
        <v/>
      </c>
      <c r="K30" s="40" t="str">
        <f aca="false">IF($I30="","",LEN($I30))</f>
        <v/>
      </c>
      <c r="L30" s="13"/>
      <c r="M30" s="13"/>
      <c r="N30" s="13"/>
      <c r="O30" s="13"/>
      <c r="P30" s="152"/>
      <c r="Q30" s="149"/>
      <c r="R30" s="152"/>
      <c r="S30" s="152"/>
      <c r="T30" s="62" t="str">
        <f aca="false">IF(OR($C30="",R30=""),"",IF(R30/IF($R$2="",100,$R$2)&gt;=設定!$I$28,設定!$G$8,IF(R30/IF($R$2="",100,$R$2)&lt;設定!$I$29,設定!$G$10,設定!$G$9)))</f>
        <v/>
      </c>
      <c r="U30" s="62" t="str">
        <f aca="false">IF(OR($C30="",S30=""),"",IF(S30/IF($S$2="",100,$S$2)&gt;=設定!$I$28,設定!$G$8,IF(S30/IF($S$2="",100,$S$2)&lt;設定!$I$29,設定!$G$10,設定!$G$9)))</f>
        <v/>
      </c>
    </row>
    <row r="31" customFormat="false" ht="21" hidden="false" customHeight="true" outlineLevel="0" collapsed="false">
      <c r="A31" s="91" t="str">
        <f aca="false">IF(名簿!$D31="","",名簿!$B31&amp;"")</f>
        <v/>
      </c>
      <c r="B31" s="91" t="str">
        <f aca="false">IF(名簿!$D31="","",名簿!$C31)</f>
        <v/>
      </c>
      <c r="C31" s="59" t="str">
        <f aca="false">IF(名簿!$D31="","",名簿!$D31&amp;IF(名簿!$F31="転出","（転出）",""))</f>
        <v/>
      </c>
      <c r="D31" s="149"/>
      <c r="E31" s="61" t="str">
        <f aca="false">IF(OR($C31="",名簿!$F31="転出"),"",IF($C$2="学級ごと",$A31,IF($C$2="前の単元と同じ",単元14!$E31&amp;"",$D31&amp;"")))</f>
        <v/>
      </c>
      <c r="F31" s="150"/>
      <c r="G31" s="150"/>
      <c r="H31" s="150"/>
      <c r="I31" s="151"/>
      <c r="J31" s="41" t="str">
        <f aca="false">IF($E31="","",$E31&amp;"|"&amp;COUNTIF($E$5:$E31,$E31))</f>
        <v/>
      </c>
      <c r="K31" s="40" t="str">
        <f aca="false">IF($I31="","",LEN($I31))</f>
        <v/>
      </c>
      <c r="L31" s="13"/>
      <c r="M31" s="13"/>
      <c r="N31" s="13"/>
      <c r="O31" s="13"/>
      <c r="P31" s="152"/>
      <c r="Q31" s="149"/>
      <c r="R31" s="152"/>
      <c r="S31" s="152"/>
      <c r="T31" s="62" t="str">
        <f aca="false">IF(OR($C31="",R31=""),"",IF(R31/IF($R$2="",100,$R$2)&gt;=設定!$I$28,設定!$G$8,IF(R31/IF($R$2="",100,$R$2)&lt;設定!$I$29,設定!$G$10,設定!$G$9)))</f>
        <v/>
      </c>
      <c r="U31" s="62" t="str">
        <f aca="false">IF(OR($C31="",S31=""),"",IF(S31/IF($S$2="",100,$S$2)&gt;=設定!$I$28,設定!$G$8,IF(S31/IF($S$2="",100,$S$2)&lt;設定!$I$29,設定!$G$10,設定!$G$9)))</f>
        <v/>
      </c>
    </row>
    <row r="32" customFormat="false" ht="21" hidden="false" customHeight="true" outlineLevel="0" collapsed="false">
      <c r="A32" s="91" t="str">
        <f aca="false">IF(名簿!$D32="","",名簿!$B32&amp;"")</f>
        <v/>
      </c>
      <c r="B32" s="91" t="str">
        <f aca="false">IF(名簿!$D32="","",名簿!$C32)</f>
        <v/>
      </c>
      <c r="C32" s="59" t="str">
        <f aca="false">IF(名簿!$D32="","",名簿!$D32&amp;IF(名簿!$F32="転出","（転出）",""))</f>
        <v/>
      </c>
      <c r="D32" s="149"/>
      <c r="E32" s="61" t="str">
        <f aca="false">IF(OR($C32="",名簿!$F32="転出"),"",IF($C$2="学級ごと",$A32,IF($C$2="前の単元と同じ",単元14!$E32&amp;"",$D32&amp;"")))</f>
        <v/>
      </c>
      <c r="F32" s="150"/>
      <c r="G32" s="150"/>
      <c r="H32" s="150"/>
      <c r="I32" s="151"/>
      <c r="J32" s="41" t="str">
        <f aca="false">IF($E32="","",$E32&amp;"|"&amp;COUNTIF($E$5:$E32,$E32))</f>
        <v/>
      </c>
      <c r="K32" s="40" t="str">
        <f aca="false">IF($I32="","",LEN($I32))</f>
        <v/>
      </c>
      <c r="L32" s="13"/>
      <c r="M32" s="13"/>
      <c r="N32" s="13"/>
      <c r="O32" s="13"/>
      <c r="P32" s="152"/>
      <c r="Q32" s="149"/>
      <c r="R32" s="152"/>
      <c r="S32" s="152"/>
      <c r="T32" s="62" t="str">
        <f aca="false">IF(OR($C32="",R32=""),"",IF(R32/IF($R$2="",100,$R$2)&gt;=設定!$I$28,設定!$G$8,IF(R32/IF($R$2="",100,$R$2)&lt;設定!$I$29,設定!$G$10,設定!$G$9)))</f>
        <v/>
      </c>
      <c r="U32" s="62" t="str">
        <f aca="false">IF(OR($C32="",S32=""),"",IF(S32/IF($S$2="",100,$S$2)&gt;=設定!$I$28,設定!$G$8,IF(S32/IF($S$2="",100,$S$2)&lt;設定!$I$29,設定!$G$10,設定!$G$9)))</f>
        <v/>
      </c>
    </row>
    <row r="33" customFormat="false" ht="21" hidden="false" customHeight="true" outlineLevel="0" collapsed="false">
      <c r="A33" s="91" t="str">
        <f aca="false">IF(名簿!$D33="","",名簿!$B33&amp;"")</f>
        <v/>
      </c>
      <c r="B33" s="91" t="str">
        <f aca="false">IF(名簿!$D33="","",名簿!$C33)</f>
        <v/>
      </c>
      <c r="C33" s="59" t="str">
        <f aca="false">IF(名簿!$D33="","",名簿!$D33&amp;IF(名簿!$F33="転出","（転出）",""))</f>
        <v/>
      </c>
      <c r="D33" s="149"/>
      <c r="E33" s="61" t="str">
        <f aca="false">IF(OR($C33="",名簿!$F33="転出"),"",IF($C$2="学級ごと",$A33,IF($C$2="前の単元と同じ",単元14!$E33&amp;"",$D33&amp;"")))</f>
        <v/>
      </c>
      <c r="F33" s="150"/>
      <c r="G33" s="150"/>
      <c r="H33" s="150"/>
      <c r="I33" s="151"/>
      <c r="J33" s="41" t="str">
        <f aca="false">IF($E33="","",$E33&amp;"|"&amp;COUNTIF($E$5:$E33,$E33))</f>
        <v/>
      </c>
      <c r="K33" s="40" t="str">
        <f aca="false">IF($I33="","",LEN($I33))</f>
        <v/>
      </c>
      <c r="L33" s="13"/>
      <c r="M33" s="13"/>
      <c r="N33" s="13"/>
      <c r="O33" s="13"/>
      <c r="P33" s="152"/>
      <c r="Q33" s="149"/>
      <c r="R33" s="152"/>
      <c r="S33" s="152"/>
      <c r="T33" s="62" t="str">
        <f aca="false">IF(OR($C33="",R33=""),"",IF(R33/IF($R$2="",100,$R$2)&gt;=設定!$I$28,設定!$G$8,IF(R33/IF($R$2="",100,$R$2)&lt;設定!$I$29,設定!$G$10,設定!$G$9)))</f>
        <v/>
      </c>
      <c r="U33" s="62" t="str">
        <f aca="false">IF(OR($C33="",S33=""),"",IF(S33/IF($S$2="",100,$S$2)&gt;=設定!$I$28,設定!$G$8,IF(S33/IF($S$2="",100,$S$2)&lt;設定!$I$29,設定!$G$10,設定!$G$9)))</f>
        <v/>
      </c>
    </row>
    <row r="34" customFormat="false" ht="21" hidden="false" customHeight="true" outlineLevel="0" collapsed="false">
      <c r="A34" s="91" t="str">
        <f aca="false">IF(名簿!$D34="","",名簿!$B34&amp;"")</f>
        <v/>
      </c>
      <c r="B34" s="91" t="str">
        <f aca="false">IF(名簿!$D34="","",名簿!$C34)</f>
        <v/>
      </c>
      <c r="C34" s="59" t="str">
        <f aca="false">IF(名簿!$D34="","",名簿!$D34&amp;IF(名簿!$F34="転出","（転出）",""))</f>
        <v/>
      </c>
      <c r="D34" s="149"/>
      <c r="E34" s="61" t="str">
        <f aca="false">IF(OR($C34="",名簿!$F34="転出"),"",IF($C$2="学級ごと",$A34,IF($C$2="前の単元と同じ",単元14!$E34&amp;"",$D34&amp;"")))</f>
        <v/>
      </c>
      <c r="F34" s="150"/>
      <c r="G34" s="150"/>
      <c r="H34" s="150"/>
      <c r="I34" s="151"/>
      <c r="J34" s="41" t="str">
        <f aca="false">IF($E34="","",$E34&amp;"|"&amp;COUNTIF($E$5:$E34,$E34))</f>
        <v/>
      </c>
      <c r="K34" s="40" t="str">
        <f aca="false">IF($I34="","",LEN($I34))</f>
        <v/>
      </c>
      <c r="L34" s="13"/>
      <c r="M34" s="13"/>
      <c r="N34" s="13"/>
      <c r="O34" s="13"/>
      <c r="P34" s="152"/>
      <c r="Q34" s="149"/>
      <c r="R34" s="152"/>
      <c r="S34" s="152"/>
      <c r="T34" s="62" t="str">
        <f aca="false">IF(OR($C34="",R34=""),"",IF(R34/IF($R$2="",100,$R$2)&gt;=設定!$I$28,設定!$G$8,IF(R34/IF($R$2="",100,$R$2)&lt;設定!$I$29,設定!$G$10,設定!$G$9)))</f>
        <v/>
      </c>
      <c r="U34" s="62" t="str">
        <f aca="false">IF(OR($C34="",S34=""),"",IF(S34/IF($S$2="",100,$S$2)&gt;=設定!$I$28,設定!$G$8,IF(S34/IF($S$2="",100,$S$2)&lt;設定!$I$29,設定!$G$10,設定!$G$9)))</f>
        <v/>
      </c>
    </row>
    <row r="35" customFormat="false" ht="21" hidden="false" customHeight="true" outlineLevel="0" collapsed="false">
      <c r="A35" s="91" t="str">
        <f aca="false">IF(名簿!$D35="","",名簿!$B35&amp;"")</f>
        <v/>
      </c>
      <c r="B35" s="91" t="str">
        <f aca="false">IF(名簿!$D35="","",名簿!$C35)</f>
        <v/>
      </c>
      <c r="C35" s="59" t="str">
        <f aca="false">IF(名簿!$D35="","",名簿!$D35&amp;IF(名簿!$F35="転出","（転出）",""))</f>
        <v/>
      </c>
      <c r="D35" s="149"/>
      <c r="E35" s="61" t="str">
        <f aca="false">IF(OR($C35="",名簿!$F35="転出"),"",IF($C$2="学級ごと",$A35,IF($C$2="前の単元と同じ",単元14!$E35&amp;"",$D35&amp;"")))</f>
        <v/>
      </c>
      <c r="F35" s="150"/>
      <c r="G35" s="150"/>
      <c r="H35" s="150"/>
      <c r="I35" s="151"/>
      <c r="J35" s="41" t="str">
        <f aca="false">IF($E35="","",$E35&amp;"|"&amp;COUNTIF($E$5:$E35,$E35))</f>
        <v/>
      </c>
      <c r="K35" s="40" t="str">
        <f aca="false">IF($I35="","",LEN($I35))</f>
        <v/>
      </c>
      <c r="L35" s="13"/>
      <c r="M35" s="13"/>
      <c r="N35" s="13"/>
      <c r="O35" s="13"/>
      <c r="P35" s="152"/>
      <c r="Q35" s="149"/>
      <c r="R35" s="152"/>
      <c r="S35" s="152"/>
      <c r="T35" s="62" t="str">
        <f aca="false">IF(OR($C35="",R35=""),"",IF(R35/IF($R$2="",100,$R$2)&gt;=設定!$I$28,設定!$G$8,IF(R35/IF($R$2="",100,$R$2)&lt;設定!$I$29,設定!$G$10,設定!$G$9)))</f>
        <v/>
      </c>
      <c r="U35" s="62" t="str">
        <f aca="false">IF(OR($C35="",S35=""),"",IF(S35/IF($S$2="",100,$S$2)&gt;=設定!$I$28,設定!$G$8,IF(S35/IF($S$2="",100,$S$2)&lt;設定!$I$29,設定!$G$10,設定!$G$9)))</f>
        <v/>
      </c>
    </row>
    <row r="36" customFormat="false" ht="21" hidden="false" customHeight="true" outlineLevel="0" collapsed="false">
      <c r="A36" s="91" t="str">
        <f aca="false">IF(名簿!$D36="","",名簿!$B36&amp;"")</f>
        <v/>
      </c>
      <c r="B36" s="91" t="str">
        <f aca="false">IF(名簿!$D36="","",名簿!$C36)</f>
        <v/>
      </c>
      <c r="C36" s="59" t="str">
        <f aca="false">IF(名簿!$D36="","",名簿!$D36&amp;IF(名簿!$F36="転出","（転出）",""))</f>
        <v/>
      </c>
      <c r="D36" s="149"/>
      <c r="E36" s="61" t="str">
        <f aca="false">IF(OR($C36="",名簿!$F36="転出"),"",IF($C$2="学級ごと",$A36,IF($C$2="前の単元と同じ",単元14!$E36&amp;"",$D36&amp;"")))</f>
        <v/>
      </c>
      <c r="F36" s="150"/>
      <c r="G36" s="150"/>
      <c r="H36" s="150"/>
      <c r="I36" s="151"/>
      <c r="J36" s="41" t="str">
        <f aca="false">IF($E36="","",$E36&amp;"|"&amp;COUNTIF($E$5:$E36,$E36))</f>
        <v/>
      </c>
      <c r="K36" s="40" t="str">
        <f aca="false">IF($I36="","",LEN($I36))</f>
        <v/>
      </c>
      <c r="L36" s="13"/>
      <c r="M36" s="13"/>
      <c r="N36" s="13"/>
      <c r="O36" s="13"/>
      <c r="P36" s="152"/>
      <c r="Q36" s="149"/>
      <c r="R36" s="152"/>
      <c r="S36" s="152"/>
      <c r="T36" s="62" t="str">
        <f aca="false">IF(OR($C36="",R36=""),"",IF(R36/IF($R$2="",100,$R$2)&gt;=設定!$I$28,設定!$G$8,IF(R36/IF($R$2="",100,$R$2)&lt;設定!$I$29,設定!$G$10,設定!$G$9)))</f>
        <v/>
      </c>
      <c r="U36" s="62" t="str">
        <f aca="false">IF(OR($C36="",S36=""),"",IF(S36/IF($S$2="",100,$S$2)&gt;=設定!$I$28,設定!$G$8,IF(S36/IF($S$2="",100,$S$2)&lt;設定!$I$29,設定!$G$10,設定!$G$9)))</f>
        <v/>
      </c>
    </row>
    <row r="37" customFormat="false" ht="21" hidden="false" customHeight="true" outlineLevel="0" collapsed="false">
      <c r="A37" s="91" t="str">
        <f aca="false">IF(名簿!$D37="","",名簿!$B37&amp;"")</f>
        <v/>
      </c>
      <c r="B37" s="91" t="str">
        <f aca="false">IF(名簿!$D37="","",名簿!$C37)</f>
        <v/>
      </c>
      <c r="C37" s="59" t="str">
        <f aca="false">IF(名簿!$D37="","",名簿!$D37&amp;IF(名簿!$F37="転出","（転出）",""))</f>
        <v/>
      </c>
      <c r="D37" s="149"/>
      <c r="E37" s="61" t="str">
        <f aca="false">IF(OR($C37="",名簿!$F37="転出"),"",IF($C$2="学級ごと",$A37,IF($C$2="前の単元と同じ",単元14!$E37&amp;"",$D37&amp;"")))</f>
        <v/>
      </c>
      <c r="F37" s="150"/>
      <c r="G37" s="150"/>
      <c r="H37" s="150"/>
      <c r="I37" s="151"/>
      <c r="J37" s="41" t="str">
        <f aca="false">IF($E37="","",$E37&amp;"|"&amp;COUNTIF($E$5:$E37,$E37))</f>
        <v/>
      </c>
      <c r="K37" s="40" t="str">
        <f aca="false">IF($I37="","",LEN($I37))</f>
        <v/>
      </c>
      <c r="L37" s="13"/>
      <c r="M37" s="13"/>
      <c r="N37" s="13"/>
      <c r="O37" s="13"/>
      <c r="P37" s="152"/>
      <c r="Q37" s="149"/>
      <c r="R37" s="152"/>
      <c r="S37" s="152"/>
      <c r="T37" s="62" t="str">
        <f aca="false">IF(OR($C37="",R37=""),"",IF(R37/IF($R$2="",100,$R$2)&gt;=設定!$I$28,設定!$G$8,IF(R37/IF($R$2="",100,$R$2)&lt;設定!$I$29,設定!$G$10,設定!$G$9)))</f>
        <v/>
      </c>
      <c r="U37" s="62" t="str">
        <f aca="false">IF(OR($C37="",S37=""),"",IF(S37/IF($S$2="",100,$S$2)&gt;=設定!$I$28,設定!$G$8,IF(S37/IF($S$2="",100,$S$2)&lt;設定!$I$29,設定!$G$10,設定!$G$9)))</f>
        <v/>
      </c>
    </row>
    <row r="38" customFormat="false" ht="21" hidden="false" customHeight="true" outlineLevel="0" collapsed="false">
      <c r="A38" s="91" t="str">
        <f aca="false">IF(名簿!$D38="","",名簿!$B38&amp;"")</f>
        <v/>
      </c>
      <c r="B38" s="91" t="str">
        <f aca="false">IF(名簿!$D38="","",名簿!$C38)</f>
        <v/>
      </c>
      <c r="C38" s="59" t="str">
        <f aca="false">IF(名簿!$D38="","",名簿!$D38&amp;IF(名簿!$F38="転出","（転出）",""))</f>
        <v/>
      </c>
      <c r="D38" s="149"/>
      <c r="E38" s="61" t="str">
        <f aca="false">IF(OR($C38="",名簿!$F38="転出"),"",IF($C$2="学級ごと",$A38,IF($C$2="前の単元と同じ",単元14!$E38&amp;"",$D38&amp;"")))</f>
        <v/>
      </c>
      <c r="F38" s="150"/>
      <c r="G38" s="150"/>
      <c r="H38" s="150"/>
      <c r="I38" s="151"/>
      <c r="J38" s="41" t="str">
        <f aca="false">IF($E38="","",$E38&amp;"|"&amp;COUNTIF($E$5:$E38,$E38))</f>
        <v/>
      </c>
      <c r="K38" s="40" t="str">
        <f aca="false">IF($I38="","",LEN($I38))</f>
        <v/>
      </c>
      <c r="L38" s="13"/>
      <c r="M38" s="13"/>
      <c r="N38" s="13"/>
      <c r="O38" s="13"/>
      <c r="P38" s="152"/>
      <c r="Q38" s="149"/>
      <c r="R38" s="152"/>
      <c r="S38" s="152"/>
      <c r="T38" s="62" t="str">
        <f aca="false">IF(OR($C38="",R38=""),"",IF(R38/IF($R$2="",100,$R$2)&gt;=設定!$I$28,設定!$G$8,IF(R38/IF($R$2="",100,$R$2)&lt;設定!$I$29,設定!$G$10,設定!$G$9)))</f>
        <v/>
      </c>
      <c r="U38" s="62" t="str">
        <f aca="false">IF(OR($C38="",S38=""),"",IF(S38/IF($S$2="",100,$S$2)&gt;=設定!$I$28,設定!$G$8,IF(S38/IF($S$2="",100,$S$2)&lt;設定!$I$29,設定!$G$10,設定!$G$9)))</f>
        <v/>
      </c>
    </row>
    <row r="39" customFormat="false" ht="21" hidden="false" customHeight="true" outlineLevel="0" collapsed="false">
      <c r="A39" s="91" t="str">
        <f aca="false">IF(名簿!$D39="","",名簿!$B39&amp;"")</f>
        <v/>
      </c>
      <c r="B39" s="91" t="str">
        <f aca="false">IF(名簿!$D39="","",名簿!$C39)</f>
        <v/>
      </c>
      <c r="C39" s="59" t="str">
        <f aca="false">IF(名簿!$D39="","",名簿!$D39&amp;IF(名簿!$F39="転出","（転出）",""))</f>
        <v/>
      </c>
      <c r="D39" s="149"/>
      <c r="E39" s="61" t="str">
        <f aca="false">IF(OR($C39="",名簿!$F39="転出"),"",IF($C$2="学級ごと",$A39,IF($C$2="前の単元と同じ",単元14!$E39&amp;"",$D39&amp;"")))</f>
        <v/>
      </c>
      <c r="F39" s="150"/>
      <c r="G39" s="150"/>
      <c r="H39" s="150"/>
      <c r="I39" s="151"/>
      <c r="J39" s="41" t="str">
        <f aca="false">IF($E39="","",$E39&amp;"|"&amp;COUNTIF($E$5:$E39,$E39))</f>
        <v/>
      </c>
      <c r="K39" s="40" t="str">
        <f aca="false">IF($I39="","",LEN($I39))</f>
        <v/>
      </c>
      <c r="L39" s="13"/>
      <c r="M39" s="13"/>
      <c r="N39" s="13"/>
      <c r="O39" s="13"/>
      <c r="P39" s="152"/>
      <c r="Q39" s="149"/>
      <c r="R39" s="152"/>
      <c r="S39" s="152"/>
      <c r="T39" s="62" t="str">
        <f aca="false">IF(OR($C39="",R39=""),"",IF(R39/IF($R$2="",100,$R$2)&gt;=設定!$I$28,設定!$G$8,IF(R39/IF($R$2="",100,$R$2)&lt;設定!$I$29,設定!$G$10,設定!$G$9)))</f>
        <v/>
      </c>
      <c r="U39" s="62" t="str">
        <f aca="false">IF(OR($C39="",S39=""),"",IF(S39/IF($S$2="",100,$S$2)&gt;=設定!$I$28,設定!$G$8,IF(S39/IF($S$2="",100,$S$2)&lt;設定!$I$29,設定!$G$10,設定!$G$9)))</f>
        <v/>
      </c>
    </row>
    <row r="40" customFormat="false" ht="21" hidden="false" customHeight="true" outlineLevel="0" collapsed="false">
      <c r="A40" s="91" t="str">
        <f aca="false">IF(名簿!$D40="","",名簿!$B40&amp;"")</f>
        <v/>
      </c>
      <c r="B40" s="91" t="str">
        <f aca="false">IF(名簿!$D40="","",名簿!$C40)</f>
        <v/>
      </c>
      <c r="C40" s="59" t="str">
        <f aca="false">IF(名簿!$D40="","",名簿!$D40&amp;IF(名簿!$F40="転出","（転出）",""))</f>
        <v/>
      </c>
      <c r="D40" s="149"/>
      <c r="E40" s="61" t="str">
        <f aca="false">IF(OR($C40="",名簿!$F40="転出"),"",IF($C$2="学級ごと",$A40,IF($C$2="前の単元と同じ",単元14!$E40&amp;"",$D40&amp;"")))</f>
        <v/>
      </c>
      <c r="F40" s="150"/>
      <c r="G40" s="150"/>
      <c r="H40" s="150"/>
      <c r="I40" s="151"/>
      <c r="J40" s="41" t="str">
        <f aca="false">IF($E40="","",$E40&amp;"|"&amp;COUNTIF($E$5:$E40,$E40))</f>
        <v/>
      </c>
      <c r="K40" s="40" t="str">
        <f aca="false">IF($I40="","",LEN($I40))</f>
        <v/>
      </c>
      <c r="L40" s="13"/>
      <c r="M40" s="13"/>
      <c r="N40" s="13"/>
      <c r="O40" s="13"/>
      <c r="P40" s="152"/>
      <c r="Q40" s="149"/>
      <c r="R40" s="152"/>
      <c r="S40" s="152"/>
      <c r="T40" s="62" t="str">
        <f aca="false">IF(OR($C40="",R40=""),"",IF(R40/IF($R$2="",100,$R$2)&gt;=設定!$I$28,設定!$G$8,IF(R40/IF($R$2="",100,$R$2)&lt;設定!$I$29,設定!$G$10,設定!$G$9)))</f>
        <v/>
      </c>
      <c r="U40" s="62" t="str">
        <f aca="false">IF(OR($C40="",S40=""),"",IF(S40/IF($S$2="",100,$S$2)&gt;=設定!$I$28,設定!$G$8,IF(S40/IF($S$2="",100,$S$2)&lt;設定!$I$29,設定!$G$10,設定!$G$9)))</f>
        <v/>
      </c>
    </row>
    <row r="41" customFormat="false" ht="21" hidden="false" customHeight="true" outlineLevel="0" collapsed="false">
      <c r="A41" s="91" t="str">
        <f aca="false">IF(名簿!$D41="","",名簿!$B41&amp;"")</f>
        <v/>
      </c>
      <c r="B41" s="91" t="str">
        <f aca="false">IF(名簿!$D41="","",名簿!$C41)</f>
        <v/>
      </c>
      <c r="C41" s="59" t="str">
        <f aca="false">IF(名簿!$D41="","",名簿!$D41&amp;IF(名簿!$F41="転出","（転出）",""))</f>
        <v/>
      </c>
      <c r="D41" s="149"/>
      <c r="E41" s="61" t="str">
        <f aca="false">IF(OR($C41="",名簿!$F41="転出"),"",IF($C$2="学級ごと",$A41,IF($C$2="前の単元と同じ",単元14!$E41&amp;"",$D41&amp;"")))</f>
        <v/>
      </c>
      <c r="F41" s="150"/>
      <c r="G41" s="150"/>
      <c r="H41" s="150"/>
      <c r="I41" s="151"/>
      <c r="J41" s="41" t="str">
        <f aca="false">IF($E41="","",$E41&amp;"|"&amp;COUNTIF($E$5:$E41,$E41))</f>
        <v/>
      </c>
      <c r="K41" s="40" t="str">
        <f aca="false">IF($I41="","",LEN($I41))</f>
        <v/>
      </c>
      <c r="L41" s="13"/>
      <c r="M41" s="13"/>
      <c r="N41" s="13"/>
      <c r="O41" s="13"/>
      <c r="P41" s="152"/>
      <c r="Q41" s="149"/>
      <c r="R41" s="152"/>
      <c r="S41" s="152"/>
      <c r="T41" s="62" t="str">
        <f aca="false">IF(OR($C41="",R41=""),"",IF(R41/IF($R$2="",100,$R$2)&gt;=設定!$I$28,設定!$G$8,IF(R41/IF($R$2="",100,$R$2)&lt;設定!$I$29,設定!$G$10,設定!$G$9)))</f>
        <v/>
      </c>
      <c r="U41" s="62" t="str">
        <f aca="false">IF(OR($C41="",S41=""),"",IF(S41/IF($S$2="",100,$S$2)&gt;=設定!$I$28,設定!$G$8,IF(S41/IF($S$2="",100,$S$2)&lt;設定!$I$29,設定!$G$10,設定!$G$9)))</f>
        <v/>
      </c>
    </row>
    <row r="42" customFormat="false" ht="21" hidden="false" customHeight="true" outlineLevel="0" collapsed="false">
      <c r="A42" s="91" t="str">
        <f aca="false">IF(名簿!$D42="","",名簿!$B42&amp;"")</f>
        <v/>
      </c>
      <c r="B42" s="91" t="str">
        <f aca="false">IF(名簿!$D42="","",名簿!$C42)</f>
        <v/>
      </c>
      <c r="C42" s="59" t="str">
        <f aca="false">IF(名簿!$D42="","",名簿!$D42&amp;IF(名簿!$F42="転出","（転出）",""))</f>
        <v/>
      </c>
      <c r="D42" s="149"/>
      <c r="E42" s="61" t="str">
        <f aca="false">IF(OR($C42="",名簿!$F42="転出"),"",IF($C$2="学級ごと",$A42,IF($C$2="前の単元と同じ",単元14!$E42&amp;"",$D42&amp;"")))</f>
        <v/>
      </c>
      <c r="F42" s="150"/>
      <c r="G42" s="150"/>
      <c r="H42" s="150"/>
      <c r="I42" s="151"/>
      <c r="J42" s="41" t="str">
        <f aca="false">IF($E42="","",$E42&amp;"|"&amp;COUNTIF($E$5:$E42,$E42))</f>
        <v/>
      </c>
      <c r="K42" s="40" t="str">
        <f aca="false">IF($I42="","",LEN($I42))</f>
        <v/>
      </c>
      <c r="L42" s="13"/>
      <c r="M42" s="13"/>
      <c r="N42" s="13"/>
      <c r="O42" s="13"/>
      <c r="P42" s="152"/>
      <c r="Q42" s="149"/>
      <c r="R42" s="152"/>
      <c r="S42" s="152"/>
      <c r="T42" s="62" t="str">
        <f aca="false">IF(OR($C42="",R42=""),"",IF(R42/IF($R$2="",100,$R$2)&gt;=設定!$I$28,設定!$G$8,IF(R42/IF($R$2="",100,$R$2)&lt;設定!$I$29,設定!$G$10,設定!$G$9)))</f>
        <v/>
      </c>
      <c r="U42" s="62" t="str">
        <f aca="false">IF(OR($C42="",S42=""),"",IF(S42/IF($S$2="",100,$S$2)&gt;=設定!$I$28,設定!$G$8,IF(S42/IF($S$2="",100,$S$2)&lt;設定!$I$29,設定!$G$10,設定!$G$9)))</f>
        <v/>
      </c>
    </row>
    <row r="43" customFormat="false" ht="21" hidden="false" customHeight="true" outlineLevel="0" collapsed="false">
      <c r="A43" s="91" t="str">
        <f aca="false">IF(名簿!$D43="","",名簿!$B43&amp;"")</f>
        <v/>
      </c>
      <c r="B43" s="91" t="str">
        <f aca="false">IF(名簿!$D43="","",名簿!$C43)</f>
        <v/>
      </c>
      <c r="C43" s="59" t="str">
        <f aca="false">IF(名簿!$D43="","",名簿!$D43&amp;IF(名簿!$F43="転出","（転出）",""))</f>
        <v/>
      </c>
      <c r="D43" s="149"/>
      <c r="E43" s="61" t="str">
        <f aca="false">IF(OR($C43="",名簿!$F43="転出"),"",IF($C$2="学級ごと",$A43,IF($C$2="前の単元と同じ",単元14!$E43&amp;"",$D43&amp;"")))</f>
        <v/>
      </c>
      <c r="F43" s="150"/>
      <c r="G43" s="150"/>
      <c r="H43" s="150"/>
      <c r="I43" s="151"/>
      <c r="J43" s="41" t="str">
        <f aca="false">IF($E43="","",$E43&amp;"|"&amp;COUNTIF($E$5:$E43,$E43))</f>
        <v/>
      </c>
      <c r="K43" s="40" t="str">
        <f aca="false">IF($I43="","",LEN($I43))</f>
        <v/>
      </c>
      <c r="L43" s="13"/>
      <c r="M43" s="13"/>
      <c r="N43" s="13"/>
      <c r="O43" s="13"/>
      <c r="P43" s="152"/>
      <c r="Q43" s="149"/>
      <c r="R43" s="152"/>
      <c r="S43" s="152"/>
      <c r="T43" s="62" t="str">
        <f aca="false">IF(OR($C43="",R43=""),"",IF(R43/IF($R$2="",100,$R$2)&gt;=設定!$I$28,設定!$G$8,IF(R43/IF($R$2="",100,$R$2)&lt;設定!$I$29,設定!$G$10,設定!$G$9)))</f>
        <v/>
      </c>
      <c r="U43" s="62" t="str">
        <f aca="false">IF(OR($C43="",S43=""),"",IF(S43/IF($S$2="",100,$S$2)&gt;=設定!$I$28,設定!$G$8,IF(S43/IF($S$2="",100,$S$2)&lt;設定!$I$29,設定!$G$10,設定!$G$9)))</f>
        <v/>
      </c>
    </row>
    <row r="44" customFormat="false" ht="21" hidden="false" customHeight="true" outlineLevel="0" collapsed="false">
      <c r="A44" s="91" t="str">
        <f aca="false">IF(名簿!$D44="","",名簿!$B44&amp;"")</f>
        <v/>
      </c>
      <c r="B44" s="91" t="str">
        <f aca="false">IF(名簿!$D44="","",名簿!$C44)</f>
        <v/>
      </c>
      <c r="C44" s="59" t="str">
        <f aca="false">IF(名簿!$D44="","",名簿!$D44&amp;IF(名簿!$F44="転出","（転出）",""))</f>
        <v/>
      </c>
      <c r="D44" s="149"/>
      <c r="E44" s="61" t="str">
        <f aca="false">IF(OR($C44="",名簿!$F44="転出"),"",IF($C$2="学級ごと",$A44,IF($C$2="前の単元と同じ",単元14!$E44&amp;"",$D44&amp;"")))</f>
        <v/>
      </c>
      <c r="F44" s="150"/>
      <c r="G44" s="150"/>
      <c r="H44" s="150"/>
      <c r="I44" s="151"/>
      <c r="J44" s="41" t="str">
        <f aca="false">IF($E44="","",$E44&amp;"|"&amp;COUNTIF($E$5:$E44,$E44))</f>
        <v/>
      </c>
      <c r="K44" s="40" t="str">
        <f aca="false">IF($I44="","",LEN($I44))</f>
        <v/>
      </c>
      <c r="L44" s="13"/>
      <c r="M44" s="13"/>
      <c r="N44" s="13"/>
      <c r="O44" s="13"/>
      <c r="P44" s="152"/>
      <c r="Q44" s="149"/>
      <c r="R44" s="152"/>
      <c r="S44" s="152"/>
      <c r="T44" s="62" t="str">
        <f aca="false">IF(OR($C44="",R44=""),"",IF(R44/IF($R$2="",100,$R$2)&gt;=設定!$I$28,設定!$G$8,IF(R44/IF($R$2="",100,$R$2)&lt;設定!$I$29,設定!$G$10,設定!$G$9)))</f>
        <v/>
      </c>
      <c r="U44" s="62" t="str">
        <f aca="false">IF(OR($C44="",S44=""),"",IF(S44/IF($S$2="",100,$S$2)&gt;=設定!$I$28,設定!$G$8,IF(S44/IF($S$2="",100,$S$2)&lt;設定!$I$29,設定!$G$10,設定!$G$9)))</f>
        <v/>
      </c>
    </row>
    <row r="45" customFormat="false" ht="21" hidden="false" customHeight="true" outlineLevel="0" collapsed="false">
      <c r="A45" s="91" t="str">
        <f aca="false">IF(名簿!$D45="","",名簿!$B45&amp;"")</f>
        <v/>
      </c>
      <c r="B45" s="91" t="str">
        <f aca="false">IF(名簿!$D45="","",名簿!$C45)</f>
        <v/>
      </c>
      <c r="C45" s="59" t="str">
        <f aca="false">IF(名簿!$D45="","",名簿!$D45&amp;IF(名簿!$F45="転出","（転出）",""))</f>
        <v/>
      </c>
      <c r="D45" s="149"/>
      <c r="E45" s="61" t="str">
        <f aca="false">IF(OR($C45="",名簿!$F45="転出"),"",IF($C$2="学級ごと",$A45,IF($C$2="前の単元と同じ",単元14!$E45&amp;"",$D45&amp;"")))</f>
        <v/>
      </c>
      <c r="F45" s="150"/>
      <c r="G45" s="150"/>
      <c r="H45" s="150"/>
      <c r="I45" s="151"/>
      <c r="J45" s="41" t="str">
        <f aca="false">IF($E45="","",$E45&amp;"|"&amp;COUNTIF($E$5:$E45,$E45))</f>
        <v/>
      </c>
      <c r="K45" s="40" t="str">
        <f aca="false">IF($I45="","",LEN($I45))</f>
        <v/>
      </c>
      <c r="L45" s="13"/>
      <c r="M45" s="13"/>
      <c r="N45" s="13"/>
      <c r="O45" s="13"/>
      <c r="P45" s="152"/>
      <c r="Q45" s="149"/>
      <c r="R45" s="152"/>
      <c r="S45" s="152"/>
      <c r="T45" s="62" t="str">
        <f aca="false">IF(OR($C45="",R45=""),"",IF(R45/IF($R$2="",100,$R$2)&gt;=設定!$I$28,設定!$G$8,IF(R45/IF($R$2="",100,$R$2)&lt;設定!$I$29,設定!$G$10,設定!$G$9)))</f>
        <v/>
      </c>
      <c r="U45" s="62" t="str">
        <f aca="false">IF(OR($C45="",S45=""),"",IF(S45/IF($S$2="",100,$S$2)&gt;=設定!$I$28,設定!$G$8,IF(S45/IF($S$2="",100,$S$2)&lt;設定!$I$29,設定!$G$10,設定!$G$9)))</f>
        <v/>
      </c>
    </row>
    <row r="46" customFormat="false" ht="21" hidden="false" customHeight="true" outlineLevel="0" collapsed="false">
      <c r="A46" s="91" t="str">
        <f aca="false">IF(名簿!$D46="","",名簿!$B46&amp;"")</f>
        <v/>
      </c>
      <c r="B46" s="91" t="str">
        <f aca="false">IF(名簿!$D46="","",名簿!$C46)</f>
        <v/>
      </c>
      <c r="C46" s="59" t="str">
        <f aca="false">IF(名簿!$D46="","",名簿!$D46&amp;IF(名簿!$F46="転出","（転出）",""))</f>
        <v/>
      </c>
      <c r="D46" s="149"/>
      <c r="E46" s="61" t="str">
        <f aca="false">IF(OR($C46="",名簿!$F46="転出"),"",IF($C$2="学級ごと",$A46,IF($C$2="前の単元と同じ",単元14!$E46&amp;"",$D46&amp;"")))</f>
        <v/>
      </c>
      <c r="F46" s="150"/>
      <c r="G46" s="150"/>
      <c r="H46" s="150"/>
      <c r="I46" s="151"/>
      <c r="J46" s="41" t="str">
        <f aca="false">IF($E46="","",$E46&amp;"|"&amp;COUNTIF($E$5:$E46,$E46))</f>
        <v/>
      </c>
      <c r="K46" s="40" t="str">
        <f aca="false">IF($I46="","",LEN($I46))</f>
        <v/>
      </c>
      <c r="L46" s="13"/>
      <c r="M46" s="13"/>
      <c r="N46" s="13"/>
      <c r="O46" s="13"/>
      <c r="P46" s="152"/>
      <c r="Q46" s="149"/>
      <c r="R46" s="152"/>
      <c r="S46" s="152"/>
      <c r="T46" s="62" t="str">
        <f aca="false">IF(OR($C46="",R46=""),"",IF(R46/IF($R$2="",100,$R$2)&gt;=設定!$I$28,設定!$G$8,IF(R46/IF($R$2="",100,$R$2)&lt;設定!$I$29,設定!$G$10,設定!$G$9)))</f>
        <v/>
      </c>
      <c r="U46" s="62" t="str">
        <f aca="false">IF(OR($C46="",S46=""),"",IF(S46/IF($S$2="",100,$S$2)&gt;=設定!$I$28,設定!$G$8,IF(S46/IF($S$2="",100,$S$2)&lt;設定!$I$29,設定!$G$10,設定!$G$9)))</f>
        <v/>
      </c>
    </row>
    <row r="47" customFormat="false" ht="21" hidden="false" customHeight="true" outlineLevel="0" collapsed="false">
      <c r="A47" s="91" t="str">
        <f aca="false">IF(名簿!$D47="","",名簿!$B47&amp;"")</f>
        <v/>
      </c>
      <c r="B47" s="91" t="str">
        <f aca="false">IF(名簿!$D47="","",名簿!$C47)</f>
        <v/>
      </c>
      <c r="C47" s="59" t="str">
        <f aca="false">IF(名簿!$D47="","",名簿!$D47&amp;IF(名簿!$F47="転出","（転出）",""))</f>
        <v/>
      </c>
      <c r="D47" s="149"/>
      <c r="E47" s="61" t="str">
        <f aca="false">IF(OR($C47="",名簿!$F47="転出"),"",IF($C$2="学級ごと",$A47,IF($C$2="前の単元と同じ",単元14!$E47&amp;"",$D47&amp;"")))</f>
        <v/>
      </c>
      <c r="F47" s="150"/>
      <c r="G47" s="150"/>
      <c r="H47" s="150"/>
      <c r="I47" s="151"/>
      <c r="J47" s="41" t="str">
        <f aca="false">IF($E47="","",$E47&amp;"|"&amp;COUNTIF($E$5:$E47,$E47))</f>
        <v/>
      </c>
      <c r="K47" s="40" t="str">
        <f aca="false">IF($I47="","",LEN($I47))</f>
        <v/>
      </c>
      <c r="L47" s="13"/>
      <c r="M47" s="13"/>
      <c r="N47" s="13"/>
      <c r="O47" s="13"/>
      <c r="P47" s="152"/>
      <c r="Q47" s="149"/>
      <c r="R47" s="152"/>
      <c r="S47" s="152"/>
      <c r="T47" s="62" t="str">
        <f aca="false">IF(OR($C47="",R47=""),"",IF(R47/IF($R$2="",100,$R$2)&gt;=設定!$I$28,設定!$G$8,IF(R47/IF($R$2="",100,$R$2)&lt;設定!$I$29,設定!$G$10,設定!$G$9)))</f>
        <v/>
      </c>
      <c r="U47" s="62" t="str">
        <f aca="false">IF(OR($C47="",S47=""),"",IF(S47/IF($S$2="",100,$S$2)&gt;=設定!$I$28,設定!$G$8,IF(S47/IF($S$2="",100,$S$2)&lt;設定!$I$29,設定!$G$10,設定!$G$9)))</f>
        <v/>
      </c>
    </row>
    <row r="48" customFormat="false" ht="21" hidden="false" customHeight="true" outlineLevel="0" collapsed="false">
      <c r="A48" s="91" t="str">
        <f aca="false">IF(名簿!$D48="","",名簿!$B48&amp;"")</f>
        <v/>
      </c>
      <c r="B48" s="91" t="str">
        <f aca="false">IF(名簿!$D48="","",名簿!$C48)</f>
        <v/>
      </c>
      <c r="C48" s="59" t="str">
        <f aca="false">IF(名簿!$D48="","",名簿!$D48&amp;IF(名簿!$F48="転出","（転出）",""))</f>
        <v/>
      </c>
      <c r="D48" s="149"/>
      <c r="E48" s="61" t="str">
        <f aca="false">IF(OR($C48="",名簿!$F48="転出"),"",IF($C$2="学級ごと",$A48,IF($C$2="前の単元と同じ",単元14!$E48&amp;"",$D48&amp;"")))</f>
        <v/>
      </c>
      <c r="F48" s="150"/>
      <c r="G48" s="150"/>
      <c r="H48" s="150"/>
      <c r="I48" s="151"/>
      <c r="J48" s="41" t="str">
        <f aca="false">IF($E48="","",$E48&amp;"|"&amp;COUNTIF($E$5:$E48,$E48))</f>
        <v/>
      </c>
      <c r="K48" s="40" t="str">
        <f aca="false">IF($I48="","",LEN($I48))</f>
        <v/>
      </c>
      <c r="L48" s="13"/>
      <c r="M48" s="13"/>
      <c r="N48" s="13"/>
      <c r="O48" s="13"/>
      <c r="P48" s="152"/>
      <c r="Q48" s="149"/>
      <c r="R48" s="152"/>
      <c r="S48" s="152"/>
      <c r="T48" s="62" t="str">
        <f aca="false">IF(OR($C48="",R48=""),"",IF(R48/IF($R$2="",100,$R$2)&gt;=設定!$I$28,設定!$G$8,IF(R48/IF($R$2="",100,$R$2)&lt;設定!$I$29,設定!$G$10,設定!$G$9)))</f>
        <v/>
      </c>
      <c r="U48" s="62" t="str">
        <f aca="false">IF(OR($C48="",S48=""),"",IF(S48/IF($S$2="",100,$S$2)&gt;=設定!$I$28,設定!$G$8,IF(S48/IF($S$2="",100,$S$2)&lt;設定!$I$29,設定!$G$10,設定!$G$9)))</f>
        <v/>
      </c>
    </row>
    <row r="49" customFormat="false" ht="21" hidden="false" customHeight="true" outlineLevel="0" collapsed="false">
      <c r="A49" s="91" t="str">
        <f aca="false">IF(名簿!$D49="","",名簿!$B49&amp;"")</f>
        <v/>
      </c>
      <c r="B49" s="91" t="str">
        <f aca="false">IF(名簿!$D49="","",名簿!$C49)</f>
        <v/>
      </c>
      <c r="C49" s="59" t="str">
        <f aca="false">IF(名簿!$D49="","",名簿!$D49&amp;IF(名簿!$F49="転出","（転出）",""))</f>
        <v/>
      </c>
      <c r="D49" s="149"/>
      <c r="E49" s="61" t="str">
        <f aca="false">IF(OR($C49="",名簿!$F49="転出"),"",IF($C$2="学級ごと",$A49,IF($C$2="前の単元と同じ",単元14!$E49&amp;"",$D49&amp;"")))</f>
        <v/>
      </c>
      <c r="F49" s="150"/>
      <c r="G49" s="150"/>
      <c r="H49" s="150"/>
      <c r="I49" s="151"/>
      <c r="J49" s="41" t="str">
        <f aca="false">IF($E49="","",$E49&amp;"|"&amp;COUNTIF($E$5:$E49,$E49))</f>
        <v/>
      </c>
      <c r="K49" s="40" t="str">
        <f aca="false">IF($I49="","",LEN($I49))</f>
        <v/>
      </c>
      <c r="L49" s="13"/>
      <c r="M49" s="13"/>
      <c r="N49" s="13"/>
      <c r="O49" s="13"/>
      <c r="P49" s="152"/>
      <c r="Q49" s="149"/>
      <c r="R49" s="152"/>
      <c r="S49" s="152"/>
      <c r="T49" s="62" t="str">
        <f aca="false">IF(OR($C49="",R49=""),"",IF(R49/IF($R$2="",100,$R$2)&gt;=設定!$I$28,設定!$G$8,IF(R49/IF($R$2="",100,$R$2)&lt;設定!$I$29,設定!$G$10,設定!$G$9)))</f>
        <v/>
      </c>
      <c r="U49" s="62" t="str">
        <f aca="false">IF(OR($C49="",S49=""),"",IF(S49/IF($S$2="",100,$S$2)&gt;=設定!$I$28,設定!$G$8,IF(S49/IF($S$2="",100,$S$2)&lt;設定!$I$29,設定!$G$10,設定!$G$9)))</f>
        <v/>
      </c>
    </row>
    <row r="50" customFormat="false" ht="21" hidden="false" customHeight="true" outlineLevel="0" collapsed="false">
      <c r="A50" s="91" t="str">
        <f aca="false">IF(名簿!$D50="","",名簿!$B50&amp;"")</f>
        <v/>
      </c>
      <c r="B50" s="91" t="str">
        <f aca="false">IF(名簿!$D50="","",名簿!$C50)</f>
        <v/>
      </c>
      <c r="C50" s="59" t="str">
        <f aca="false">IF(名簿!$D50="","",名簿!$D50&amp;IF(名簿!$F50="転出","（転出）",""))</f>
        <v/>
      </c>
      <c r="D50" s="149"/>
      <c r="E50" s="61" t="str">
        <f aca="false">IF(OR($C50="",名簿!$F50="転出"),"",IF($C$2="学級ごと",$A50,IF($C$2="前の単元と同じ",単元14!$E50&amp;"",$D50&amp;"")))</f>
        <v/>
      </c>
      <c r="F50" s="150"/>
      <c r="G50" s="150"/>
      <c r="H50" s="150"/>
      <c r="I50" s="151"/>
      <c r="J50" s="41" t="str">
        <f aca="false">IF($E50="","",$E50&amp;"|"&amp;COUNTIF($E$5:$E50,$E50))</f>
        <v/>
      </c>
      <c r="K50" s="40" t="str">
        <f aca="false">IF($I50="","",LEN($I50))</f>
        <v/>
      </c>
      <c r="L50" s="13"/>
      <c r="M50" s="13"/>
      <c r="N50" s="13"/>
      <c r="O50" s="13"/>
      <c r="P50" s="152"/>
      <c r="Q50" s="149"/>
      <c r="R50" s="152"/>
      <c r="S50" s="152"/>
      <c r="T50" s="62" t="str">
        <f aca="false">IF(OR($C50="",R50=""),"",IF(R50/IF($R$2="",100,$R$2)&gt;=設定!$I$28,設定!$G$8,IF(R50/IF($R$2="",100,$R$2)&lt;設定!$I$29,設定!$G$10,設定!$G$9)))</f>
        <v/>
      </c>
      <c r="U50" s="62" t="str">
        <f aca="false">IF(OR($C50="",S50=""),"",IF(S50/IF($S$2="",100,$S$2)&gt;=設定!$I$28,設定!$G$8,IF(S50/IF($S$2="",100,$S$2)&lt;設定!$I$29,設定!$G$10,設定!$G$9)))</f>
        <v/>
      </c>
    </row>
    <row r="51" customFormat="false" ht="21" hidden="false" customHeight="true" outlineLevel="0" collapsed="false">
      <c r="A51" s="91" t="str">
        <f aca="false">IF(名簿!$D51="","",名簿!$B51&amp;"")</f>
        <v/>
      </c>
      <c r="B51" s="91" t="str">
        <f aca="false">IF(名簿!$D51="","",名簿!$C51)</f>
        <v/>
      </c>
      <c r="C51" s="59" t="str">
        <f aca="false">IF(名簿!$D51="","",名簿!$D51&amp;IF(名簿!$F51="転出","（転出）",""))</f>
        <v/>
      </c>
      <c r="D51" s="149"/>
      <c r="E51" s="61" t="str">
        <f aca="false">IF(OR($C51="",名簿!$F51="転出"),"",IF($C$2="学級ごと",$A51,IF($C$2="前の単元と同じ",単元14!$E51&amp;"",$D51&amp;"")))</f>
        <v/>
      </c>
      <c r="F51" s="150"/>
      <c r="G51" s="150"/>
      <c r="H51" s="150"/>
      <c r="I51" s="151"/>
      <c r="J51" s="41" t="str">
        <f aca="false">IF($E51="","",$E51&amp;"|"&amp;COUNTIF($E$5:$E51,$E51))</f>
        <v/>
      </c>
      <c r="K51" s="40" t="str">
        <f aca="false">IF($I51="","",LEN($I51))</f>
        <v/>
      </c>
      <c r="L51" s="13"/>
      <c r="M51" s="13"/>
      <c r="N51" s="13"/>
      <c r="O51" s="13"/>
      <c r="P51" s="152"/>
      <c r="Q51" s="149"/>
      <c r="R51" s="152"/>
      <c r="S51" s="152"/>
      <c r="T51" s="62" t="str">
        <f aca="false">IF(OR($C51="",R51=""),"",IF(R51/IF($R$2="",100,$R$2)&gt;=設定!$I$28,設定!$G$8,IF(R51/IF($R$2="",100,$R$2)&lt;設定!$I$29,設定!$G$10,設定!$G$9)))</f>
        <v/>
      </c>
      <c r="U51" s="62" t="str">
        <f aca="false">IF(OR($C51="",S51=""),"",IF(S51/IF($S$2="",100,$S$2)&gt;=設定!$I$28,設定!$G$8,IF(S51/IF($S$2="",100,$S$2)&lt;設定!$I$29,設定!$G$10,設定!$G$9)))</f>
        <v/>
      </c>
    </row>
    <row r="52" customFormat="false" ht="21" hidden="false" customHeight="true" outlineLevel="0" collapsed="false">
      <c r="A52" s="91" t="str">
        <f aca="false">IF(名簿!$D52="","",名簿!$B52&amp;"")</f>
        <v/>
      </c>
      <c r="B52" s="91" t="str">
        <f aca="false">IF(名簿!$D52="","",名簿!$C52)</f>
        <v/>
      </c>
      <c r="C52" s="59" t="str">
        <f aca="false">IF(名簿!$D52="","",名簿!$D52&amp;IF(名簿!$F52="転出","（転出）",""))</f>
        <v/>
      </c>
      <c r="D52" s="149"/>
      <c r="E52" s="61" t="str">
        <f aca="false">IF(OR($C52="",名簿!$F52="転出"),"",IF($C$2="学級ごと",$A52,IF($C$2="前の単元と同じ",単元14!$E52&amp;"",$D52&amp;"")))</f>
        <v/>
      </c>
      <c r="F52" s="150"/>
      <c r="G52" s="150"/>
      <c r="H52" s="150"/>
      <c r="I52" s="151"/>
      <c r="J52" s="41" t="str">
        <f aca="false">IF($E52="","",$E52&amp;"|"&amp;COUNTIF($E$5:$E52,$E52))</f>
        <v/>
      </c>
      <c r="K52" s="40" t="str">
        <f aca="false">IF($I52="","",LEN($I52))</f>
        <v/>
      </c>
      <c r="L52" s="13"/>
      <c r="M52" s="13"/>
      <c r="N52" s="13"/>
      <c r="O52" s="13"/>
      <c r="P52" s="152"/>
      <c r="Q52" s="149"/>
      <c r="R52" s="152"/>
      <c r="S52" s="152"/>
      <c r="T52" s="62" t="str">
        <f aca="false">IF(OR($C52="",R52=""),"",IF(R52/IF($R$2="",100,$R$2)&gt;=設定!$I$28,設定!$G$8,IF(R52/IF($R$2="",100,$R$2)&lt;設定!$I$29,設定!$G$10,設定!$G$9)))</f>
        <v/>
      </c>
      <c r="U52" s="62" t="str">
        <f aca="false">IF(OR($C52="",S52=""),"",IF(S52/IF($S$2="",100,$S$2)&gt;=設定!$I$28,設定!$G$8,IF(S52/IF($S$2="",100,$S$2)&lt;設定!$I$29,設定!$G$10,設定!$G$9)))</f>
        <v/>
      </c>
    </row>
    <row r="53" customFormat="false" ht="21" hidden="false" customHeight="true" outlineLevel="0" collapsed="false">
      <c r="A53" s="91" t="str">
        <f aca="false">IF(名簿!$D53="","",名簿!$B53&amp;"")</f>
        <v/>
      </c>
      <c r="B53" s="91" t="str">
        <f aca="false">IF(名簿!$D53="","",名簿!$C53)</f>
        <v/>
      </c>
      <c r="C53" s="59" t="str">
        <f aca="false">IF(名簿!$D53="","",名簿!$D53&amp;IF(名簿!$F53="転出","（転出）",""))</f>
        <v/>
      </c>
      <c r="D53" s="149"/>
      <c r="E53" s="61" t="str">
        <f aca="false">IF(OR($C53="",名簿!$F53="転出"),"",IF($C$2="学級ごと",$A53,IF($C$2="前の単元と同じ",単元14!$E53&amp;"",$D53&amp;"")))</f>
        <v/>
      </c>
      <c r="F53" s="150"/>
      <c r="G53" s="150"/>
      <c r="H53" s="150"/>
      <c r="I53" s="151"/>
      <c r="J53" s="41" t="str">
        <f aca="false">IF($E53="","",$E53&amp;"|"&amp;COUNTIF($E$5:$E53,$E53))</f>
        <v/>
      </c>
      <c r="K53" s="40" t="str">
        <f aca="false">IF($I53="","",LEN($I53))</f>
        <v/>
      </c>
      <c r="L53" s="13"/>
      <c r="M53" s="13"/>
      <c r="N53" s="13"/>
      <c r="O53" s="13"/>
      <c r="P53" s="152"/>
      <c r="Q53" s="149"/>
      <c r="R53" s="152"/>
      <c r="S53" s="152"/>
      <c r="T53" s="62" t="str">
        <f aca="false">IF(OR($C53="",R53=""),"",IF(R53/IF($R$2="",100,$R$2)&gt;=設定!$I$28,設定!$G$8,IF(R53/IF($R$2="",100,$R$2)&lt;設定!$I$29,設定!$G$10,設定!$G$9)))</f>
        <v/>
      </c>
      <c r="U53" s="62" t="str">
        <f aca="false">IF(OR($C53="",S53=""),"",IF(S53/IF($S$2="",100,$S$2)&gt;=設定!$I$28,設定!$G$8,IF(S53/IF($S$2="",100,$S$2)&lt;設定!$I$29,設定!$G$10,設定!$G$9)))</f>
        <v/>
      </c>
    </row>
    <row r="54" customFormat="false" ht="21" hidden="false" customHeight="true" outlineLevel="0" collapsed="false">
      <c r="A54" s="91" t="str">
        <f aca="false">IF(名簿!$D54="","",名簿!$B54&amp;"")</f>
        <v/>
      </c>
      <c r="B54" s="91" t="str">
        <f aca="false">IF(名簿!$D54="","",名簿!$C54)</f>
        <v/>
      </c>
      <c r="C54" s="59" t="str">
        <f aca="false">IF(名簿!$D54="","",名簿!$D54&amp;IF(名簿!$F54="転出","（転出）",""))</f>
        <v/>
      </c>
      <c r="D54" s="149"/>
      <c r="E54" s="61" t="str">
        <f aca="false">IF(OR($C54="",名簿!$F54="転出"),"",IF($C$2="学級ごと",$A54,IF($C$2="前の単元と同じ",単元14!$E54&amp;"",$D54&amp;"")))</f>
        <v/>
      </c>
      <c r="F54" s="150"/>
      <c r="G54" s="150"/>
      <c r="H54" s="150"/>
      <c r="I54" s="151"/>
      <c r="J54" s="41" t="str">
        <f aca="false">IF($E54="","",$E54&amp;"|"&amp;COUNTIF($E$5:$E54,$E54))</f>
        <v/>
      </c>
      <c r="K54" s="40" t="str">
        <f aca="false">IF($I54="","",LEN($I54))</f>
        <v/>
      </c>
      <c r="L54" s="13"/>
      <c r="M54" s="13"/>
      <c r="N54" s="13"/>
      <c r="O54" s="13"/>
      <c r="P54" s="152"/>
      <c r="Q54" s="149"/>
      <c r="R54" s="152"/>
      <c r="S54" s="152"/>
      <c r="T54" s="62" t="str">
        <f aca="false">IF(OR($C54="",R54=""),"",IF(R54/IF($R$2="",100,$R$2)&gt;=設定!$I$28,設定!$G$8,IF(R54/IF($R$2="",100,$R$2)&lt;設定!$I$29,設定!$G$10,設定!$G$9)))</f>
        <v/>
      </c>
      <c r="U54" s="62" t="str">
        <f aca="false">IF(OR($C54="",S54=""),"",IF(S54/IF($S$2="",100,$S$2)&gt;=設定!$I$28,設定!$G$8,IF(S54/IF($S$2="",100,$S$2)&lt;設定!$I$29,設定!$G$10,設定!$G$9)))</f>
        <v/>
      </c>
    </row>
    <row r="55" customFormat="false" ht="21" hidden="false" customHeight="true" outlineLevel="0" collapsed="false">
      <c r="A55" s="91" t="str">
        <f aca="false">IF(名簿!$D55="","",名簿!$B55&amp;"")</f>
        <v/>
      </c>
      <c r="B55" s="91" t="str">
        <f aca="false">IF(名簿!$D55="","",名簿!$C55)</f>
        <v/>
      </c>
      <c r="C55" s="59" t="str">
        <f aca="false">IF(名簿!$D55="","",名簿!$D55&amp;IF(名簿!$F55="転出","（転出）",""))</f>
        <v/>
      </c>
      <c r="D55" s="149"/>
      <c r="E55" s="61" t="str">
        <f aca="false">IF(OR($C55="",名簿!$F55="転出"),"",IF($C$2="学級ごと",$A55,IF($C$2="前の単元と同じ",単元14!$E55&amp;"",$D55&amp;"")))</f>
        <v/>
      </c>
      <c r="F55" s="150"/>
      <c r="G55" s="150"/>
      <c r="H55" s="150"/>
      <c r="I55" s="151"/>
      <c r="J55" s="41" t="str">
        <f aca="false">IF($E55="","",$E55&amp;"|"&amp;COUNTIF($E$5:$E55,$E55))</f>
        <v/>
      </c>
      <c r="K55" s="40" t="str">
        <f aca="false">IF($I55="","",LEN($I55))</f>
        <v/>
      </c>
      <c r="L55" s="13"/>
      <c r="M55" s="13"/>
      <c r="N55" s="13"/>
      <c r="O55" s="13"/>
      <c r="P55" s="152"/>
      <c r="Q55" s="149"/>
      <c r="R55" s="152"/>
      <c r="S55" s="152"/>
      <c r="T55" s="62" t="str">
        <f aca="false">IF(OR($C55="",R55=""),"",IF(R55/IF($R$2="",100,$R$2)&gt;=設定!$I$28,設定!$G$8,IF(R55/IF($R$2="",100,$R$2)&lt;設定!$I$29,設定!$G$10,設定!$G$9)))</f>
        <v/>
      </c>
      <c r="U55" s="62" t="str">
        <f aca="false">IF(OR($C55="",S55=""),"",IF(S55/IF($S$2="",100,$S$2)&gt;=設定!$I$28,設定!$G$8,IF(S55/IF($S$2="",100,$S$2)&lt;設定!$I$29,設定!$G$10,設定!$G$9)))</f>
        <v/>
      </c>
    </row>
    <row r="56" customFormat="false" ht="21" hidden="false" customHeight="true" outlineLevel="0" collapsed="false">
      <c r="A56" s="91" t="str">
        <f aca="false">IF(名簿!$D56="","",名簿!$B56&amp;"")</f>
        <v/>
      </c>
      <c r="B56" s="91" t="str">
        <f aca="false">IF(名簿!$D56="","",名簿!$C56)</f>
        <v/>
      </c>
      <c r="C56" s="59" t="str">
        <f aca="false">IF(名簿!$D56="","",名簿!$D56&amp;IF(名簿!$F56="転出","（転出）",""))</f>
        <v/>
      </c>
      <c r="D56" s="149"/>
      <c r="E56" s="61" t="str">
        <f aca="false">IF(OR($C56="",名簿!$F56="転出"),"",IF($C$2="学級ごと",$A56,IF($C$2="前の単元と同じ",単元14!$E56&amp;"",$D56&amp;"")))</f>
        <v/>
      </c>
      <c r="F56" s="150"/>
      <c r="G56" s="150"/>
      <c r="H56" s="150"/>
      <c r="I56" s="151"/>
      <c r="J56" s="41" t="str">
        <f aca="false">IF($E56="","",$E56&amp;"|"&amp;COUNTIF($E$5:$E56,$E56))</f>
        <v/>
      </c>
      <c r="K56" s="40" t="str">
        <f aca="false">IF($I56="","",LEN($I56))</f>
        <v/>
      </c>
      <c r="L56" s="13"/>
      <c r="M56" s="13"/>
      <c r="N56" s="13"/>
      <c r="O56" s="13"/>
      <c r="P56" s="152"/>
      <c r="Q56" s="149"/>
      <c r="R56" s="152"/>
      <c r="S56" s="152"/>
      <c r="T56" s="62" t="str">
        <f aca="false">IF(OR($C56="",R56=""),"",IF(R56/IF($R$2="",100,$R$2)&gt;=設定!$I$28,設定!$G$8,IF(R56/IF($R$2="",100,$R$2)&lt;設定!$I$29,設定!$G$10,設定!$G$9)))</f>
        <v/>
      </c>
      <c r="U56" s="62" t="str">
        <f aca="false">IF(OR($C56="",S56=""),"",IF(S56/IF($S$2="",100,$S$2)&gt;=設定!$I$28,設定!$G$8,IF(S56/IF($S$2="",100,$S$2)&lt;設定!$I$29,設定!$G$10,設定!$G$9)))</f>
        <v/>
      </c>
    </row>
    <row r="57" customFormat="false" ht="21" hidden="false" customHeight="true" outlineLevel="0" collapsed="false">
      <c r="A57" s="91" t="str">
        <f aca="false">IF(名簿!$D57="","",名簿!$B57&amp;"")</f>
        <v/>
      </c>
      <c r="B57" s="91" t="str">
        <f aca="false">IF(名簿!$D57="","",名簿!$C57)</f>
        <v/>
      </c>
      <c r="C57" s="59" t="str">
        <f aca="false">IF(名簿!$D57="","",名簿!$D57&amp;IF(名簿!$F57="転出","（転出）",""))</f>
        <v/>
      </c>
      <c r="D57" s="149"/>
      <c r="E57" s="61" t="str">
        <f aca="false">IF(OR($C57="",名簿!$F57="転出"),"",IF($C$2="学級ごと",$A57,IF($C$2="前の単元と同じ",単元14!$E57&amp;"",$D57&amp;"")))</f>
        <v/>
      </c>
      <c r="F57" s="150"/>
      <c r="G57" s="150"/>
      <c r="H57" s="150"/>
      <c r="I57" s="151"/>
      <c r="J57" s="41" t="str">
        <f aca="false">IF($E57="","",$E57&amp;"|"&amp;COUNTIF($E$5:$E57,$E57))</f>
        <v/>
      </c>
      <c r="K57" s="40" t="str">
        <f aca="false">IF($I57="","",LEN($I57))</f>
        <v/>
      </c>
      <c r="L57" s="13"/>
      <c r="M57" s="13"/>
      <c r="N57" s="13"/>
      <c r="O57" s="13"/>
      <c r="P57" s="152"/>
      <c r="Q57" s="149"/>
      <c r="R57" s="152"/>
      <c r="S57" s="152"/>
      <c r="T57" s="62" t="str">
        <f aca="false">IF(OR($C57="",R57=""),"",IF(R57/IF($R$2="",100,$R$2)&gt;=設定!$I$28,設定!$G$8,IF(R57/IF($R$2="",100,$R$2)&lt;設定!$I$29,設定!$G$10,設定!$G$9)))</f>
        <v/>
      </c>
      <c r="U57" s="62" t="str">
        <f aca="false">IF(OR($C57="",S57=""),"",IF(S57/IF($S$2="",100,$S$2)&gt;=設定!$I$28,設定!$G$8,IF(S57/IF($S$2="",100,$S$2)&lt;設定!$I$29,設定!$G$10,設定!$G$9)))</f>
        <v/>
      </c>
    </row>
    <row r="58" customFormat="false" ht="21" hidden="false" customHeight="true" outlineLevel="0" collapsed="false">
      <c r="A58" s="91" t="str">
        <f aca="false">IF(名簿!$D58="","",名簿!$B58&amp;"")</f>
        <v/>
      </c>
      <c r="B58" s="91" t="str">
        <f aca="false">IF(名簿!$D58="","",名簿!$C58)</f>
        <v/>
      </c>
      <c r="C58" s="59" t="str">
        <f aca="false">IF(名簿!$D58="","",名簿!$D58&amp;IF(名簿!$F58="転出","（転出）",""))</f>
        <v/>
      </c>
      <c r="D58" s="149"/>
      <c r="E58" s="61" t="str">
        <f aca="false">IF(OR($C58="",名簿!$F58="転出"),"",IF($C$2="学級ごと",$A58,IF($C$2="前の単元と同じ",単元14!$E58&amp;"",$D58&amp;"")))</f>
        <v/>
      </c>
      <c r="F58" s="150"/>
      <c r="G58" s="150"/>
      <c r="H58" s="150"/>
      <c r="I58" s="151"/>
      <c r="J58" s="41" t="str">
        <f aca="false">IF($E58="","",$E58&amp;"|"&amp;COUNTIF($E$5:$E58,$E58))</f>
        <v/>
      </c>
      <c r="K58" s="40" t="str">
        <f aca="false">IF($I58="","",LEN($I58))</f>
        <v/>
      </c>
      <c r="L58" s="13"/>
      <c r="M58" s="13"/>
      <c r="N58" s="13"/>
      <c r="O58" s="13"/>
      <c r="P58" s="152"/>
      <c r="Q58" s="149"/>
      <c r="R58" s="152"/>
      <c r="S58" s="152"/>
      <c r="T58" s="62" t="str">
        <f aca="false">IF(OR($C58="",R58=""),"",IF(R58/IF($R$2="",100,$R$2)&gt;=設定!$I$28,設定!$G$8,IF(R58/IF($R$2="",100,$R$2)&lt;設定!$I$29,設定!$G$10,設定!$G$9)))</f>
        <v/>
      </c>
      <c r="U58" s="62" t="str">
        <f aca="false">IF(OR($C58="",S58=""),"",IF(S58/IF($S$2="",100,$S$2)&gt;=設定!$I$28,設定!$G$8,IF(S58/IF($S$2="",100,$S$2)&lt;設定!$I$29,設定!$G$10,設定!$G$9)))</f>
        <v/>
      </c>
    </row>
    <row r="59" customFormat="false" ht="21" hidden="false" customHeight="true" outlineLevel="0" collapsed="false">
      <c r="A59" s="91" t="str">
        <f aca="false">IF(名簿!$D59="","",名簿!$B59&amp;"")</f>
        <v/>
      </c>
      <c r="B59" s="91" t="str">
        <f aca="false">IF(名簿!$D59="","",名簿!$C59)</f>
        <v/>
      </c>
      <c r="C59" s="59" t="str">
        <f aca="false">IF(名簿!$D59="","",名簿!$D59&amp;IF(名簿!$F59="転出","（転出）",""))</f>
        <v/>
      </c>
      <c r="D59" s="149"/>
      <c r="E59" s="61" t="str">
        <f aca="false">IF(OR($C59="",名簿!$F59="転出"),"",IF($C$2="学級ごと",$A59,IF($C$2="前の単元と同じ",単元14!$E59&amp;"",$D59&amp;"")))</f>
        <v/>
      </c>
      <c r="F59" s="150"/>
      <c r="G59" s="150"/>
      <c r="H59" s="150"/>
      <c r="I59" s="151"/>
      <c r="J59" s="41" t="str">
        <f aca="false">IF($E59="","",$E59&amp;"|"&amp;COUNTIF($E$5:$E59,$E59))</f>
        <v/>
      </c>
      <c r="K59" s="40" t="str">
        <f aca="false">IF($I59="","",LEN($I59))</f>
        <v/>
      </c>
      <c r="L59" s="13"/>
      <c r="M59" s="13"/>
      <c r="N59" s="13"/>
      <c r="O59" s="13"/>
      <c r="P59" s="152"/>
      <c r="Q59" s="149"/>
      <c r="R59" s="152"/>
      <c r="S59" s="152"/>
      <c r="T59" s="62" t="str">
        <f aca="false">IF(OR($C59="",R59=""),"",IF(R59/IF($R$2="",100,$R$2)&gt;=設定!$I$28,設定!$G$8,IF(R59/IF($R$2="",100,$R$2)&lt;設定!$I$29,設定!$G$10,設定!$G$9)))</f>
        <v/>
      </c>
      <c r="U59" s="62" t="str">
        <f aca="false">IF(OR($C59="",S59=""),"",IF(S59/IF($S$2="",100,$S$2)&gt;=設定!$I$28,設定!$G$8,IF(S59/IF($S$2="",100,$S$2)&lt;設定!$I$29,設定!$G$10,設定!$G$9)))</f>
        <v/>
      </c>
    </row>
    <row r="60" customFormat="false" ht="21" hidden="false" customHeight="true" outlineLevel="0" collapsed="false">
      <c r="A60" s="91" t="str">
        <f aca="false">IF(名簿!$D60="","",名簿!$B60&amp;"")</f>
        <v/>
      </c>
      <c r="B60" s="91" t="str">
        <f aca="false">IF(名簿!$D60="","",名簿!$C60)</f>
        <v/>
      </c>
      <c r="C60" s="59" t="str">
        <f aca="false">IF(名簿!$D60="","",名簿!$D60&amp;IF(名簿!$F60="転出","（転出）",""))</f>
        <v/>
      </c>
      <c r="D60" s="149"/>
      <c r="E60" s="61" t="str">
        <f aca="false">IF(OR($C60="",名簿!$F60="転出"),"",IF($C$2="学級ごと",$A60,IF($C$2="前の単元と同じ",単元14!$E60&amp;"",$D60&amp;"")))</f>
        <v/>
      </c>
      <c r="F60" s="150"/>
      <c r="G60" s="150"/>
      <c r="H60" s="150"/>
      <c r="I60" s="151"/>
      <c r="J60" s="41" t="str">
        <f aca="false">IF($E60="","",$E60&amp;"|"&amp;COUNTIF($E$5:$E60,$E60))</f>
        <v/>
      </c>
      <c r="K60" s="40" t="str">
        <f aca="false">IF($I60="","",LEN($I60))</f>
        <v/>
      </c>
      <c r="L60" s="13"/>
      <c r="M60" s="13"/>
      <c r="N60" s="13"/>
      <c r="O60" s="13"/>
      <c r="P60" s="152"/>
      <c r="Q60" s="149"/>
      <c r="R60" s="152"/>
      <c r="S60" s="152"/>
      <c r="T60" s="62" t="str">
        <f aca="false">IF(OR($C60="",R60=""),"",IF(R60/IF($R$2="",100,$R$2)&gt;=設定!$I$28,設定!$G$8,IF(R60/IF($R$2="",100,$R$2)&lt;設定!$I$29,設定!$G$10,設定!$G$9)))</f>
        <v/>
      </c>
      <c r="U60" s="62" t="str">
        <f aca="false">IF(OR($C60="",S60=""),"",IF(S60/IF($S$2="",100,$S$2)&gt;=設定!$I$28,設定!$G$8,IF(S60/IF($S$2="",100,$S$2)&lt;設定!$I$29,設定!$G$10,設定!$G$9)))</f>
        <v/>
      </c>
    </row>
    <row r="61" customFormat="false" ht="21" hidden="false" customHeight="true" outlineLevel="0" collapsed="false">
      <c r="A61" s="91" t="str">
        <f aca="false">IF(名簿!$D61="","",名簿!$B61&amp;"")</f>
        <v/>
      </c>
      <c r="B61" s="91" t="str">
        <f aca="false">IF(名簿!$D61="","",名簿!$C61)</f>
        <v/>
      </c>
      <c r="C61" s="59" t="str">
        <f aca="false">IF(名簿!$D61="","",名簿!$D61&amp;IF(名簿!$F61="転出","（転出）",""))</f>
        <v/>
      </c>
      <c r="D61" s="149"/>
      <c r="E61" s="61" t="str">
        <f aca="false">IF(OR($C61="",名簿!$F61="転出"),"",IF($C$2="学級ごと",$A61,IF($C$2="前の単元と同じ",単元14!$E61&amp;"",$D61&amp;"")))</f>
        <v/>
      </c>
      <c r="F61" s="150"/>
      <c r="G61" s="150"/>
      <c r="H61" s="150"/>
      <c r="I61" s="151"/>
      <c r="J61" s="41" t="str">
        <f aca="false">IF($E61="","",$E61&amp;"|"&amp;COUNTIF($E$5:$E61,$E61))</f>
        <v/>
      </c>
      <c r="K61" s="40" t="str">
        <f aca="false">IF($I61="","",LEN($I61))</f>
        <v/>
      </c>
      <c r="L61" s="13"/>
      <c r="M61" s="13"/>
      <c r="N61" s="13"/>
      <c r="O61" s="13"/>
      <c r="P61" s="152"/>
      <c r="Q61" s="149"/>
      <c r="R61" s="152"/>
      <c r="S61" s="152"/>
      <c r="T61" s="62" t="str">
        <f aca="false">IF(OR($C61="",R61=""),"",IF(R61/IF($R$2="",100,$R$2)&gt;=設定!$I$28,設定!$G$8,IF(R61/IF($R$2="",100,$R$2)&lt;設定!$I$29,設定!$G$10,設定!$G$9)))</f>
        <v/>
      </c>
      <c r="U61" s="62" t="str">
        <f aca="false">IF(OR($C61="",S61=""),"",IF(S61/IF($S$2="",100,$S$2)&gt;=設定!$I$28,設定!$G$8,IF(S61/IF($S$2="",100,$S$2)&lt;設定!$I$29,設定!$G$10,設定!$G$9)))</f>
        <v/>
      </c>
    </row>
    <row r="62" customFormat="false" ht="21" hidden="false" customHeight="true" outlineLevel="0" collapsed="false">
      <c r="A62" s="91" t="str">
        <f aca="false">IF(名簿!$D62="","",名簿!$B62&amp;"")</f>
        <v/>
      </c>
      <c r="B62" s="91" t="str">
        <f aca="false">IF(名簿!$D62="","",名簿!$C62)</f>
        <v/>
      </c>
      <c r="C62" s="59" t="str">
        <f aca="false">IF(名簿!$D62="","",名簿!$D62&amp;IF(名簿!$F62="転出","（転出）",""))</f>
        <v/>
      </c>
      <c r="D62" s="149"/>
      <c r="E62" s="61" t="str">
        <f aca="false">IF(OR($C62="",名簿!$F62="転出"),"",IF($C$2="学級ごと",$A62,IF($C$2="前の単元と同じ",単元14!$E62&amp;"",$D62&amp;"")))</f>
        <v/>
      </c>
      <c r="F62" s="150"/>
      <c r="G62" s="150"/>
      <c r="H62" s="150"/>
      <c r="I62" s="151"/>
      <c r="J62" s="41" t="str">
        <f aca="false">IF($E62="","",$E62&amp;"|"&amp;COUNTIF($E$5:$E62,$E62))</f>
        <v/>
      </c>
      <c r="K62" s="40" t="str">
        <f aca="false">IF($I62="","",LEN($I62))</f>
        <v/>
      </c>
      <c r="L62" s="13"/>
      <c r="M62" s="13"/>
      <c r="N62" s="13"/>
      <c r="O62" s="13"/>
      <c r="P62" s="152"/>
      <c r="Q62" s="149"/>
      <c r="R62" s="152"/>
      <c r="S62" s="152"/>
      <c r="T62" s="62" t="str">
        <f aca="false">IF(OR($C62="",R62=""),"",IF(R62/IF($R$2="",100,$R$2)&gt;=設定!$I$28,設定!$G$8,IF(R62/IF($R$2="",100,$R$2)&lt;設定!$I$29,設定!$G$10,設定!$G$9)))</f>
        <v/>
      </c>
      <c r="U62" s="62" t="str">
        <f aca="false">IF(OR($C62="",S62=""),"",IF(S62/IF($S$2="",100,$S$2)&gt;=設定!$I$28,設定!$G$8,IF(S62/IF($S$2="",100,$S$2)&lt;設定!$I$29,設定!$G$10,設定!$G$9)))</f>
        <v/>
      </c>
    </row>
    <row r="63" customFormat="false" ht="21" hidden="false" customHeight="true" outlineLevel="0" collapsed="false">
      <c r="A63" s="91" t="str">
        <f aca="false">IF(名簿!$D63="","",名簿!$B63&amp;"")</f>
        <v/>
      </c>
      <c r="B63" s="91" t="str">
        <f aca="false">IF(名簿!$D63="","",名簿!$C63)</f>
        <v/>
      </c>
      <c r="C63" s="59" t="str">
        <f aca="false">IF(名簿!$D63="","",名簿!$D63&amp;IF(名簿!$F63="転出","（転出）",""))</f>
        <v/>
      </c>
      <c r="D63" s="149"/>
      <c r="E63" s="61" t="str">
        <f aca="false">IF(OR($C63="",名簿!$F63="転出"),"",IF($C$2="学級ごと",$A63,IF($C$2="前の単元と同じ",単元14!$E63&amp;"",$D63&amp;"")))</f>
        <v/>
      </c>
      <c r="F63" s="150"/>
      <c r="G63" s="150"/>
      <c r="H63" s="150"/>
      <c r="I63" s="151"/>
      <c r="J63" s="41" t="str">
        <f aca="false">IF($E63="","",$E63&amp;"|"&amp;COUNTIF($E$5:$E63,$E63))</f>
        <v/>
      </c>
      <c r="K63" s="40" t="str">
        <f aca="false">IF($I63="","",LEN($I63))</f>
        <v/>
      </c>
      <c r="L63" s="13"/>
      <c r="M63" s="13"/>
      <c r="N63" s="13"/>
      <c r="O63" s="13"/>
      <c r="P63" s="152"/>
      <c r="Q63" s="149"/>
      <c r="R63" s="152"/>
      <c r="S63" s="152"/>
      <c r="T63" s="62" t="str">
        <f aca="false">IF(OR($C63="",R63=""),"",IF(R63/IF($R$2="",100,$R$2)&gt;=設定!$I$28,設定!$G$8,IF(R63/IF($R$2="",100,$R$2)&lt;設定!$I$29,設定!$G$10,設定!$G$9)))</f>
        <v/>
      </c>
      <c r="U63" s="62" t="str">
        <f aca="false">IF(OR($C63="",S63=""),"",IF(S63/IF($S$2="",100,$S$2)&gt;=設定!$I$28,設定!$G$8,IF(S63/IF($S$2="",100,$S$2)&lt;設定!$I$29,設定!$G$10,設定!$G$9)))</f>
        <v/>
      </c>
    </row>
    <row r="64" customFormat="false" ht="21" hidden="false" customHeight="true" outlineLevel="0" collapsed="false">
      <c r="A64" s="91" t="str">
        <f aca="false">IF(名簿!$D64="","",名簿!$B64&amp;"")</f>
        <v/>
      </c>
      <c r="B64" s="91" t="str">
        <f aca="false">IF(名簿!$D64="","",名簿!$C64)</f>
        <v/>
      </c>
      <c r="C64" s="59" t="str">
        <f aca="false">IF(名簿!$D64="","",名簿!$D64&amp;IF(名簿!$F64="転出","（転出）",""))</f>
        <v/>
      </c>
      <c r="D64" s="149"/>
      <c r="E64" s="61" t="str">
        <f aca="false">IF(OR($C64="",名簿!$F64="転出"),"",IF($C$2="学級ごと",$A64,IF($C$2="前の単元と同じ",単元14!$E64&amp;"",$D64&amp;"")))</f>
        <v/>
      </c>
      <c r="F64" s="150"/>
      <c r="G64" s="150"/>
      <c r="H64" s="150"/>
      <c r="I64" s="151"/>
      <c r="J64" s="41" t="str">
        <f aca="false">IF($E64="","",$E64&amp;"|"&amp;COUNTIF($E$5:$E64,$E64))</f>
        <v/>
      </c>
      <c r="K64" s="40" t="str">
        <f aca="false">IF($I64="","",LEN($I64))</f>
        <v/>
      </c>
      <c r="L64" s="13"/>
      <c r="M64" s="13"/>
      <c r="N64" s="13"/>
      <c r="O64" s="13"/>
      <c r="P64" s="152"/>
      <c r="Q64" s="149"/>
      <c r="R64" s="152"/>
      <c r="S64" s="152"/>
      <c r="T64" s="62" t="str">
        <f aca="false">IF(OR($C64="",R64=""),"",IF(R64/IF($R$2="",100,$R$2)&gt;=設定!$I$28,設定!$G$8,IF(R64/IF($R$2="",100,$R$2)&lt;設定!$I$29,設定!$G$10,設定!$G$9)))</f>
        <v/>
      </c>
      <c r="U64" s="62" t="str">
        <f aca="false">IF(OR($C64="",S64=""),"",IF(S64/IF($S$2="",100,$S$2)&gt;=設定!$I$28,設定!$G$8,IF(S64/IF($S$2="",100,$S$2)&lt;設定!$I$29,設定!$G$10,設定!$G$9)))</f>
        <v/>
      </c>
    </row>
    <row r="65" customFormat="false" ht="21" hidden="false" customHeight="true" outlineLevel="0" collapsed="false">
      <c r="A65" s="91" t="str">
        <f aca="false">IF(名簿!$D65="","",名簿!$B65&amp;"")</f>
        <v/>
      </c>
      <c r="B65" s="91" t="str">
        <f aca="false">IF(名簿!$D65="","",名簿!$C65)</f>
        <v/>
      </c>
      <c r="C65" s="59" t="str">
        <f aca="false">IF(名簿!$D65="","",名簿!$D65&amp;IF(名簿!$F65="転出","（転出）",""))</f>
        <v/>
      </c>
      <c r="D65" s="149"/>
      <c r="E65" s="61" t="str">
        <f aca="false">IF(OR($C65="",名簿!$F65="転出"),"",IF($C$2="学級ごと",$A65,IF($C$2="前の単元と同じ",単元14!$E65&amp;"",$D65&amp;"")))</f>
        <v/>
      </c>
      <c r="F65" s="150"/>
      <c r="G65" s="150"/>
      <c r="H65" s="150"/>
      <c r="I65" s="151"/>
      <c r="J65" s="41" t="str">
        <f aca="false">IF($E65="","",$E65&amp;"|"&amp;COUNTIF($E$5:$E65,$E65))</f>
        <v/>
      </c>
      <c r="K65" s="40" t="str">
        <f aca="false">IF($I65="","",LEN($I65))</f>
        <v/>
      </c>
      <c r="L65" s="13"/>
      <c r="M65" s="13"/>
      <c r="N65" s="13"/>
      <c r="O65" s="13"/>
      <c r="P65" s="152"/>
      <c r="Q65" s="149"/>
      <c r="R65" s="152"/>
      <c r="S65" s="152"/>
      <c r="T65" s="62" t="str">
        <f aca="false">IF(OR($C65="",R65=""),"",IF(R65/IF($R$2="",100,$R$2)&gt;=設定!$I$28,設定!$G$8,IF(R65/IF($R$2="",100,$R$2)&lt;設定!$I$29,設定!$G$10,設定!$G$9)))</f>
        <v/>
      </c>
      <c r="U65" s="62" t="str">
        <f aca="false">IF(OR($C65="",S65=""),"",IF(S65/IF($S$2="",100,$S$2)&gt;=設定!$I$28,設定!$G$8,IF(S65/IF($S$2="",100,$S$2)&lt;設定!$I$29,設定!$G$10,設定!$G$9)))</f>
        <v/>
      </c>
    </row>
    <row r="66" customFormat="false" ht="21" hidden="false" customHeight="true" outlineLevel="0" collapsed="false">
      <c r="A66" s="91" t="str">
        <f aca="false">IF(名簿!$D66="","",名簿!$B66&amp;"")</f>
        <v/>
      </c>
      <c r="B66" s="91" t="str">
        <f aca="false">IF(名簿!$D66="","",名簿!$C66)</f>
        <v/>
      </c>
      <c r="C66" s="59" t="str">
        <f aca="false">IF(名簿!$D66="","",名簿!$D66&amp;IF(名簿!$F66="転出","（転出）",""))</f>
        <v/>
      </c>
      <c r="D66" s="149"/>
      <c r="E66" s="61" t="str">
        <f aca="false">IF(OR($C66="",名簿!$F66="転出"),"",IF($C$2="学級ごと",$A66,IF($C$2="前の単元と同じ",単元14!$E66&amp;"",$D66&amp;"")))</f>
        <v/>
      </c>
      <c r="F66" s="150"/>
      <c r="G66" s="150"/>
      <c r="H66" s="150"/>
      <c r="I66" s="151"/>
      <c r="J66" s="41" t="str">
        <f aca="false">IF($E66="","",$E66&amp;"|"&amp;COUNTIF($E$5:$E66,$E66))</f>
        <v/>
      </c>
      <c r="K66" s="40" t="str">
        <f aca="false">IF($I66="","",LEN($I66))</f>
        <v/>
      </c>
      <c r="L66" s="13"/>
      <c r="M66" s="13"/>
      <c r="N66" s="13"/>
      <c r="O66" s="13"/>
      <c r="P66" s="152"/>
      <c r="Q66" s="149"/>
      <c r="R66" s="152"/>
      <c r="S66" s="152"/>
      <c r="T66" s="62" t="str">
        <f aca="false">IF(OR($C66="",R66=""),"",IF(R66/IF($R$2="",100,$R$2)&gt;=設定!$I$28,設定!$G$8,IF(R66/IF($R$2="",100,$R$2)&lt;設定!$I$29,設定!$G$10,設定!$G$9)))</f>
        <v/>
      </c>
      <c r="U66" s="62" t="str">
        <f aca="false">IF(OR($C66="",S66=""),"",IF(S66/IF($S$2="",100,$S$2)&gt;=設定!$I$28,設定!$G$8,IF(S66/IF($S$2="",100,$S$2)&lt;設定!$I$29,設定!$G$10,設定!$G$9)))</f>
        <v/>
      </c>
    </row>
    <row r="67" customFormat="false" ht="21" hidden="false" customHeight="true" outlineLevel="0" collapsed="false">
      <c r="A67" s="91" t="str">
        <f aca="false">IF(名簿!$D67="","",名簿!$B67&amp;"")</f>
        <v/>
      </c>
      <c r="B67" s="91" t="str">
        <f aca="false">IF(名簿!$D67="","",名簿!$C67)</f>
        <v/>
      </c>
      <c r="C67" s="59" t="str">
        <f aca="false">IF(名簿!$D67="","",名簿!$D67&amp;IF(名簿!$F67="転出","（転出）",""))</f>
        <v/>
      </c>
      <c r="D67" s="149"/>
      <c r="E67" s="61" t="str">
        <f aca="false">IF(OR($C67="",名簿!$F67="転出"),"",IF($C$2="学級ごと",$A67,IF($C$2="前の単元と同じ",単元14!$E67&amp;"",$D67&amp;"")))</f>
        <v/>
      </c>
      <c r="F67" s="150"/>
      <c r="G67" s="150"/>
      <c r="H67" s="150"/>
      <c r="I67" s="151"/>
      <c r="J67" s="41" t="str">
        <f aca="false">IF($E67="","",$E67&amp;"|"&amp;COUNTIF($E$5:$E67,$E67))</f>
        <v/>
      </c>
      <c r="K67" s="40" t="str">
        <f aca="false">IF($I67="","",LEN($I67))</f>
        <v/>
      </c>
      <c r="L67" s="13"/>
      <c r="M67" s="13"/>
      <c r="N67" s="13"/>
      <c r="O67" s="13"/>
      <c r="P67" s="152"/>
      <c r="Q67" s="149"/>
      <c r="R67" s="152"/>
      <c r="S67" s="152"/>
      <c r="T67" s="62" t="str">
        <f aca="false">IF(OR($C67="",R67=""),"",IF(R67/IF($R$2="",100,$R$2)&gt;=設定!$I$28,設定!$G$8,IF(R67/IF($R$2="",100,$R$2)&lt;設定!$I$29,設定!$G$10,設定!$G$9)))</f>
        <v/>
      </c>
      <c r="U67" s="62" t="str">
        <f aca="false">IF(OR($C67="",S67=""),"",IF(S67/IF($S$2="",100,$S$2)&gt;=設定!$I$28,設定!$G$8,IF(S67/IF($S$2="",100,$S$2)&lt;設定!$I$29,設定!$G$10,設定!$G$9)))</f>
        <v/>
      </c>
    </row>
    <row r="68" customFormat="false" ht="21" hidden="false" customHeight="true" outlineLevel="0" collapsed="false">
      <c r="A68" s="91" t="str">
        <f aca="false">IF(名簿!$D68="","",名簿!$B68&amp;"")</f>
        <v/>
      </c>
      <c r="B68" s="91" t="str">
        <f aca="false">IF(名簿!$D68="","",名簿!$C68)</f>
        <v/>
      </c>
      <c r="C68" s="59" t="str">
        <f aca="false">IF(名簿!$D68="","",名簿!$D68&amp;IF(名簿!$F68="転出","（転出）",""))</f>
        <v/>
      </c>
      <c r="D68" s="149"/>
      <c r="E68" s="61" t="str">
        <f aca="false">IF(OR($C68="",名簿!$F68="転出"),"",IF($C$2="学級ごと",$A68,IF($C$2="前の単元と同じ",単元14!$E68&amp;"",$D68&amp;"")))</f>
        <v/>
      </c>
      <c r="F68" s="150"/>
      <c r="G68" s="150"/>
      <c r="H68" s="150"/>
      <c r="I68" s="151"/>
      <c r="J68" s="41" t="str">
        <f aca="false">IF($E68="","",$E68&amp;"|"&amp;COUNTIF($E$5:$E68,$E68))</f>
        <v/>
      </c>
      <c r="K68" s="40" t="str">
        <f aca="false">IF($I68="","",LEN($I68))</f>
        <v/>
      </c>
      <c r="L68" s="13"/>
      <c r="M68" s="13"/>
      <c r="N68" s="13"/>
      <c r="O68" s="13"/>
      <c r="P68" s="152"/>
      <c r="Q68" s="149"/>
      <c r="R68" s="152"/>
      <c r="S68" s="152"/>
      <c r="T68" s="62" t="str">
        <f aca="false">IF(OR($C68="",R68=""),"",IF(R68/IF($R$2="",100,$R$2)&gt;=設定!$I$28,設定!$G$8,IF(R68/IF($R$2="",100,$R$2)&lt;設定!$I$29,設定!$G$10,設定!$G$9)))</f>
        <v/>
      </c>
      <c r="U68" s="62" t="str">
        <f aca="false">IF(OR($C68="",S68=""),"",IF(S68/IF($S$2="",100,$S$2)&gt;=設定!$I$28,設定!$G$8,IF(S68/IF($S$2="",100,$S$2)&lt;設定!$I$29,設定!$G$10,設定!$G$9)))</f>
        <v/>
      </c>
    </row>
    <row r="69" customFormat="false" ht="21" hidden="false" customHeight="true" outlineLevel="0" collapsed="false">
      <c r="A69" s="91" t="str">
        <f aca="false">IF(名簿!$D69="","",名簿!$B69&amp;"")</f>
        <v/>
      </c>
      <c r="B69" s="91" t="str">
        <f aca="false">IF(名簿!$D69="","",名簿!$C69)</f>
        <v/>
      </c>
      <c r="C69" s="59" t="str">
        <f aca="false">IF(名簿!$D69="","",名簿!$D69&amp;IF(名簿!$F69="転出","（転出）",""))</f>
        <v/>
      </c>
      <c r="D69" s="149"/>
      <c r="E69" s="61" t="str">
        <f aca="false">IF(OR($C69="",名簿!$F69="転出"),"",IF($C$2="学級ごと",$A69,IF($C$2="前の単元と同じ",単元14!$E69&amp;"",$D69&amp;"")))</f>
        <v/>
      </c>
      <c r="F69" s="150"/>
      <c r="G69" s="150"/>
      <c r="H69" s="150"/>
      <c r="I69" s="151"/>
      <c r="J69" s="41" t="str">
        <f aca="false">IF($E69="","",$E69&amp;"|"&amp;COUNTIF($E$5:$E69,$E69))</f>
        <v/>
      </c>
      <c r="K69" s="40" t="str">
        <f aca="false">IF($I69="","",LEN($I69))</f>
        <v/>
      </c>
      <c r="L69" s="13"/>
      <c r="M69" s="13"/>
      <c r="N69" s="13"/>
      <c r="O69" s="13"/>
      <c r="P69" s="152"/>
      <c r="Q69" s="149"/>
      <c r="R69" s="152"/>
      <c r="S69" s="152"/>
      <c r="T69" s="62" t="str">
        <f aca="false">IF(OR($C69="",R69=""),"",IF(R69/IF($R$2="",100,$R$2)&gt;=設定!$I$28,設定!$G$8,IF(R69/IF($R$2="",100,$R$2)&lt;設定!$I$29,設定!$G$10,設定!$G$9)))</f>
        <v/>
      </c>
      <c r="U69" s="62" t="str">
        <f aca="false">IF(OR($C69="",S69=""),"",IF(S69/IF($S$2="",100,$S$2)&gt;=設定!$I$28,設定!$G$8,IF(S69/IF($S$2="",100,$S$2)&lt;設定!$I$29,設定!$G$10,設定!$G$9)))</f>
        <v/>
      </c>
    </row>
    <row r="70" customFormat="false" ht="21" hidden="false" customHeight="true" outlineLevel="0" collapsed="false">
      <c r="A70" s="91" t="str">
        <f aca="false">IF(名簿!$D70="","",名簿!$B70&amp;"")</f>
        <v/>
      </c>
      <c r="B70" s="91" t="str">
        <f aca="false">IF(名簿!$D70="","",名簿!$C70)</f>
        <v/>
      </c>
      <c r="C70" s="59" t="str">
        <f aca="false">IF(名簿!$D70="","",名簿!$D70&amp;IF(名簿!$F70="転出","（転出）",""))</f>
        <v/>
      </c>
      <c r="D70" s="149"/>
      <c r="E70" s="61" t="str">
        <f aca="false">IF(OR($C70="",名簿!$F70="転出"),"",IF($C$2="学級ごと",$A70,IF($C$2="前の単元と同じ",単元14!$E70&amp;"",$D70&amp;"")))</f>
        <v/>
      </c>
      <c r="F70" s="150"/>
      <c r="G70" s="150"/>
      <c r="H70" s="150"/>
      <c r="I70" s="151"/>
      <c r="J70" s="41" t="str">
        <f aca="false">IF($E70="","",$E70&amp;"|"&amp;COUNTIF($E$5:$E70,$E70))</f>
        <v/>
      </c>
      <c r="K70" s="40" t="str">
        <f aca="false">IF($I70="","",LEN($I70))</f>
        <v/>
      </c>
      <c r="L70" s="13"/>
      <c r="M70" s="13"/>
      <c r="N70" s="13"/>
      <c r="O70" s="13"/>
      <c r="P70" s="152"/>
      <c r="Q70" s="149"/>
      <c r="R70" s="152"/>
      <c r="S70" s="152"/>
      <c r="T70" s="62" t="str">
        <f aca="false">IF(OR($C70="",R70=""),"",IF(R70/IF($R$2="",100,$R$2)&gt;=設定!$I$28,設定!$G$8,IF(R70/IF($R$2="",100,$R$2)&lt;設定!$I$29,設定!$G$10,設定!$G$9)))</f>
        <v/>
      </c>
      <c r="U70" s="62" t="str">
        <f aca="false">IF(OR($C70="",S70=""),"",IF(S70/IF($S$2="",100,$S$2)&gt;=設定!$I$28,設定!$G$8,IF(S70/IF($S$2="",100,$S$2)&lt;設定!$I$29,設定!$G$10,設定!$G$9)))</f>
        <v/>
      </c>
    </row>
    <row r="71" customFormat="false" ht="21" hidden="false" customHeight="true" outlineLevel="0" collapsed="false">
      <c r="A71" s="91" t="str">
        <f aca="false">IF(名簿!$D71="","",名簿!$B71&amp;"")</f>
        <v/>
      </c>
      <c r="B71" s="91" t="str">
        <f aca="false">IF(名簿!$D71="","",名簿!$C71)</f>
        <v/>
      </c>
      <c r="C71" s="59" t="str">
        <f aca="false">IF(名簿!$D71="","",名簿!$D71&amp;IF(名簿!$F71="転出","（転出）",""))</f>
        <v/>
      </c>
      <c r="D71" s="149"/>
      <c r="E71" s="61" t="str">
        <f aca="false">IF(OR($C71="",名簿!$F71="転出"),"",IF($C$2="学級ごと",$A71,IF($C$2="前の単元と同じ",単元14!$E71&amp;"",$D71&amp;"")))</f>
        <v/>
      </c>
      <c r="F71" s="150"/>
      <c r="G71" s="150"/>
      <c r="H71" s="150"/>
      <c r="I71" s="151"/>
      <c r="J71" s="41" t="str">
        <f aca="false">IF($E71="","",$E71&amp;"|"&amp;COUNTIF($E$5:$E71,$E71))</f>
        <v/>
      </c>
      <c r="K71" s="40" t="str">
        <f aca="false">IF($I71="","",LEN($I71))</f>
        <v/>
      </c>
      <c r="L71" s="13"/>
      <c r="M71" s="13"/>
      <c r="N71" s="13"/>
      <c r="O71" s="13"/>
      <c r="P71" s="152"/>
      <c r="Q71" s="149"/>
      <c r="R71" s="152"/>
      <c r="S71" s="152"/>
      <c r="T71" s="62" t="str">
        <f aca="false">IF(OR($C71="",R71=""),"",IF(R71/IF($R$2="",100,$R$2)&gt;=設定!$I$28,設定!$G$8,IF(R71/IF($R$2="",100,$R$2)&lt;設定!$I$29,設定!$G$10,設定!$G$9)))</f>
        <v/>
      </c>
      <c r="U71" s="62" t="str">
        <f aca="false">IF(OR($C71="",S71=""),"",IF(S71/IF($S$2="",100,$S$2)&gt;=設定!$I$28,設定!$G$8,IF(S71/IF($S$2="",100,$S$2)&lt;設定!$I$29,設定!$G$10,設定!$G$9)))</f>
        <v/>
      </c>
    </row>
    <row r="72" customFormat="false" ht="21" hidden="false" customHeight="true" outlineLevel="0" collapsed="false">
      <c r="A72" s="91" t="str">
        <f aca="false">IF(名簿!$D72="","",名簿!$B72&amp;"")</f>
        <v/>
      </c>
      <c r="B72" s="91" t="str">
        <f aca="false">IF(名簿!$D72="","",名簿!$C72)</f>
        <v/>
      </c>
      <c r="C72" s="59" t="str">
        <f aca="false">IF(名簿!$D72="","",名簿!$D72&amp;IF(名簿!$F72="転出","（転出）",""))</f>
        <v/>
      </c>
      <c r="D72" s="149"/>
      <c r="E72" s="61" t="str">
        <f aca="false">IF(OR($C72="",名簿!$F72="転出"),"",IF($C$2="学級ごと",$A72,IF($C$2="前の単元と同じ",単元14!$E72&amp;"",$D72&amp;"")))</f>
        <v/>
      </c>
      <c r="F72" s="150"/>
      <c r="G72" s="150"/>
      <c r="H72" s="150"/>
      <c r="I72" s="151"/>
      <c r="J72" s="41" t="str">
        <f aca="false">IF($E72="","",$E72&amp;"|"&amp;COUNTIF($E$5:$E72,$E72))</f>
        <v/>
      </c>
      <c r="K72" s="40" t="str">
        <f aca="false">IF($I72="","",LEN($I72))</f>
        <v/>
      </c>
      <c r="L72" s="13"/>
      <c r="M72" s="13"/>
      <c r="N72" s="13"/>
      <c r="O72" s="13"/>
      <c r="P72" s="152"/>
      <c r="Q72" s="149"/>
      <c r="R72" s="152"/>
      <c r="S72" s="152"/>
      <c r="T72" s="62" t="str">
        <f aca="false">IF(OR($C72="",R72=""),"",IF(R72/IF($R$2="",100,$R$2)&gt;=設定!$I$28,設定!$G$8,IF(R72/IF($R$2="",100,$R$2)&lt;設定!$I$29,設定!$G$10,設定!$G$9)))</f>
        <v/>
      </c>
      <c r="U72" s="62" t="str">
        <f aca="false">IF(OR($C72="",S72=""),"",IF(S72/IF($S$2="",100,$S$2)&gt;=設定!$I$28,設定!$G$8,IF(S72/IF($S$2="",100,$S$2)&lt;設定!$I$29,設定!$G$10,設定!$G$9)))</f>
        <v/>
      </c>
    </row>
    <row r="73" customFormat="false" ht="21" hidden="false" customHeight="true" outlineLevel="0" collapsed="false">
      <c r="A73" s="91" t="str">
        <f aca="false">IF(名簿!$D73="","",名簿!$B73&amp;"")</f>
        <v/>
      </c>
      <c r="B73" s="91" t="str">
        <f aca="false">IF(名簿!$D73="","",名簿!$C73)</f>
        <v/>
      </c>
      <c r="C73" s="59" t="str">
        <f aca="false">IF(名簿!$D73="","",名簿!$D73&amp;IF(名簿!$F73="転出","（転出）",""))</f>
        <v/>
      </c>
      <c r="D73" s="149"/>
      <c r="E73" s="61" t="str">
        <f aca="false">IF(OR($C73="",名簿!$F73="転出"),"",IF($C$2="学級ごと",$A73,IF($C$2="前の単元と同じ",単元14!$E73&amp;"",$D73&amp;"")))</f>
        <v/>
      </c>
      <c r="F73" s="150"/>
      <c r="G73" s="150"/>
      <c r="H73" s="150"/>
      <c r="I73" s="151"/>
      <c r="J73" s="41" t="str">
        <f aca="false">IF($E73="","",$E73&amp;"|"&amp;COUNTIF($E$5:$E73,$E73))</f>
        <v/>
      </c>
      <c r="K73" s="40" t="str">
        <f aca="false">IF($I73="","",LEN($I73))</f>
        <v/>
      </c>
      <c r="L73" s="13"/>
      <c r="M73" s="13"/>
      <c r="N73" s="13"/>
      <c r="O73" s="13"/>
      <c r="P73" s="152"/>
      <c r="Q73" s="149"/>
      <c r="R73" s="152"/>
      <c r="S73" s="152"/>
      <c r="T73" s="62" t="str">
        <f aca="false">IF(OR($C73="",R73=""),"",IF(R73/IF($R$2="",100,$R$2)&gt;=設定!$I$28,設定!$G$8,IF(R73/IF($R$2="",100,$R$2)&lt;設定!$I$29,設定!$G$10,設定!$G$9)))</f>
        <v/>
      </c>
      <c r="U73" s="62" t="str">
        <f aca="false">IF(OR($C73="",S73=""),"",IF(S73/IF($S$2="",100,$S$2)&gt;=設定!$I$28,設定!$G$8,IF(S73/IF($S$2="",100,$S$2)&lt;設定!$I$29,設定!$G$10,設定!$G$9)))</f>
        <v/>
      </c>
    </row>
    <row r="74" customFormat="false" ht="21" hidden="false" customHeight="true" outlineLevel="0" collapsed="false">
      <c r="A74" s="91" t="str">
        <f aca="false">IF(名簿!$D74="","",名簿!$B74&amp;"")</f>
        <v/>
      </c>
      <c r="B74" s="91" t="str">
        <f aca="false">IF(名簿!$D74="","",名簿!$C74)</f>
        <v/>
      </c>
      <c r="C74" s="59" t="str">
        <f aca="false">IF(名簿!$D74="","",名簿!$D74&amp;IF(名簿!$F74="転出","（転出）",""))</f>
        <v/>
      </c>
      <c r="D74" s="149"/>
      <c r="E74" s="61" t="str">
        <f aca="false">IF(OR($C74="",名簿!$F74="転出"),"",IF($C$2="学級ごと",$A74,IF($C$2="前の単元と同じ",単元14!$E74&amp;"",$D74&amp;"")))</f>
        <v/>
      </c>
      <c r="F74" s="150"/>
      <c r="G74" s="150"/>
      <c r="H74" s="150"/>
      <c r="I74" s="151"/>
      <c r="J74" s="41" t="str">
        <f aca="false">IF($E74="","",$E74&amp;"|"&amp;COUNTIF($E$5:$E74,$E74))</f>
        <v/>
      </c>
      <c r="K74" s="40" t="str">
        <f aca="false">IF($I74="","",LEN($I74))</f>
        <v/>
      </c>
      <c r="L74" s="13"/>
      <c r="M74" s="13"/>
      <c r="N74" s="13"/>
      <c r="O74" s="13"/>
      <c r="P74" s="152"/>
      <c r="Q74" s="149"/>
      <c r="R74" s="152"/>
      <c r="S74" s="152"/>
      <c r="T74" s="62" t="str">
        <f aca="false">IF(OR($C74="",R74=""),"",IF(R74/IF($R$2="",100,$R$2)&gt;=設定!$I$28,設定!$G$8,IF(R74/IF($R$2="",100,$R$2)&lt;設定!$I$29,設定!$G$10,設定!$G$9)))</f>
        <v/>
      </c>
      <c r="U74" s="62" t="str">
        <f aca="false">IF(OR($C74="",S74=""),"",IF(S74/IF($S$2="",100,$S$2)&gt;=設定!$I$28,設定!$G$8,IF(S74/IF($S$2="",100,$S$2)&lt;設定!$I$29,設定!$G$10,設定!$G$9)))</f>
        <v/>
      </c>
    </row>
    <row r="75" customFormat="false" ht="21" hidden="false" customHeight="true" outlineLevel="0" collapsed="false">
      <c r="A75" s="91" t="str">
        <f aca="false">IF(名簿!$D75="","",名簿!$B75&amp;"")</f>
        <v/>
      </c>
      <c r="B75" s="91" t="str">
        <f aca="false">IF(名簿!$D75="","",名簿!$C75)</f>
        <v/>
      </c>
      <c r="C75" s="59" t="str">
        <f aca="false">IF(名簿!$D75="","",名簿!$D75&amp;IF(名簿!$F75="転出","（転出）",""))</f>
        <v/>
      </c>
      <c r="D75" s="149"/>
      <c r="E75" s="61" t="str">
        <f aca="false">IF(OR($C75="",名簿!$F75="転出"),"",IF($C$2="学級ごと",$A75,IF($C$2="前の単元と同じ",単元14!$E75&amp;"",$D75&amp;"")))</f>
        <v/>
      </c>
      <c r="F75" s="150"/>
      <c r="G75" s="150"/>
      <c r="H75" s="150"/>
      <c r="I75" s="151"/>
      <c r="J75" s="41" t="str">
        <f aca="false">IF($E75="","",$E75&amp;"|"&amp;COUNTIF($E$5:$E75,$E75))</f>
        <v/>
      </c>
      <c r="K75" s="40" t="str">
        <f aca="false">IF($I75="","",LEN($I75))</f>
        <v/>
      </c>
      <c r="L75" s="13"/>
      <c r="M75" s="13"/>
      <c r="N75" s="13"/>
      <c r="O75" s="13"/>
      <c r="P75" s="152"/>
      <c r="Q75" s="149"/>
      <c r="R75" s="152"/>
      <c r="S75" s="152"/>
      <c r="T75" s="62" t="str">
        <f aca="false">IF(OR($C75="",R75=""),"",IF(R75/IF($R$2="",100,$R$2)&gt;=設定!$I$28,設定!$G$8,IF(R75/IF($R$2="",100,$R$2)&lt;設定!$I$29,設定!$G$10,設定!$G$9)))</f>
        <v/>
      </c>
      <c r="U75" s="62" t="str">
        <f aca="false">IF(OR($C75="",S75=""),"",IF(S75/IF($S$2="",100,$S$2)&gt;=設定!$I$28,設定!$G$8,IF(S75/IF($S$2="",100,$S$2)&lt;設定!$I$29,設定!$G$10,設定!$G$9)))</f>
        <v/>
      </c>
    </row>
    <row r="76" customFormat="false" ht="21" hidden="false" customHeight="true" outlineLevel="0" collapsed="false">
      <c r="A76" s="91" t="str">
        <f aca="false">IF(名簿!$D76="","",名簿!$B76&amp;"")</f>
        <v/>
      </c>
      <c r="B76" s="91" t="str">
        <f aca="false">IF(名簿!$D76="","",名簿!$C76)</f>
        <v/>
      </c>
      <c r="C76" s="59" t="str">
        <f aca="false">IF(名簿!$D76="","",名簿!$D76&amp;IF(名簿!$F76="転出","（転出）",""))</f>
        <v/>
      </c>
      <c r="D76" s="149"/>
      <c r="E76" s="61" t="str">
        <f aca="false">IF(OR($C76="",名簿!$F76="転出"),"",IF($C$2="学級ごと",$A76,IF($C$2="前の単元と同じ",単元14!$E76&amp;"",$D76&amp;"")))</f>
        <v/>
      </c>
      <c r="F76" s="150"/>
      <c r="G76" s="150"/>
      <c r="H76" s="150"/>
      <c r="I76" s="151"/>
      <c r="J76" s="41" t="str">
        <f aca="false">IF($E76="","",$E76&amp;"|"&amp;COUNTIF($E$5:$E76,$E76))</f>
        <v/>
      </c>
      <c r="K76" s="40" t="str">
        <f aca="false">IF($I76="","",LEN($I76))</f>
        <v/>
      </c>
      <c r="L76" s="13"/>
      <c r="M76" s="13"/>
      <c r="N76" s="13"/>
      <c r="O76" s="13"/>
      <c r="P76" s="152"/>
      <c r="Q76" s="149"/>
      <c r="R76" s="152"/>
      <c r="S76" s="152"/>
      <c r="T76" s="62" t="str">
        <f aca="false">IF(OR($C76="",R76=""),"",IF(R76/IF($R$2="",100,$R$2)&gt;=設定!$I$28,設定!$G$8,IF(R76/IF($R$2="",100,$R$2)&lt;設定!$I$29,設定!$G$10,設定!$G$9)))</f>
        <v/>
      </c>
      <c r="U76" s="62" t="str">
        <f aca="false">IF(OR($C76="",S76=""),"",IF(S76/IF($S$2="",100,$S$2)&gt;=設定!$I$28,設定!$G$8,IF(S76/IF($S$2="",100,$S$2)&lt;設定!$I$29,設定!$G$10,設定!$G$9)))</f>
        <v/>
      </c>
    </row>
    <row r="77" customFormat="false" ht="21" hidden="false" customHeight="true" outlineLevel="0" collapsed="false">
      <c r="A77" s="91" t="str">
        <f aca="false">IF(名簿!$D77="","",名簿!$B77&amp;"")</f>
        <v/>
      </c>
      <c r="B77" s="91" t="str">
        <f aca="false">IF(名簿!$D77="","",名簿!$C77)</f>
        <v/>
      </c>
      <c r="C77" s="59" t="str">
        <f aca="false">IF(名簿!$D77="","",名簿!$D77&amp;IF(名簿!$F77="転出","（転出）",""))</f>
        <v/>
      </c>
      <c r="D77" s="149"/>
      <c r="E77" s="61" t="str">
        <f aca="false">IF(OR($C77="",名簿!$F77="転出"),"",IF($C$2="学級ごと",$A77,IF($C$2="前の単元と同じ",単元14!$E77&amp;"",$D77&amp;"")))</f>
        <v/>
      </c>
      <c r="F77" s="150"/>
      <c r="G77" s="150"/>
      <c r="H77" s="150"/>
      <c r="I77" s="151"/>
      <c r="J77" s="41" t="str">
        <f aca="false">IF($E77="","",$E77&amp;"|"&amp;COUNTIF($E$5:$E77,$E77))</f>
        <v/>
      </c>
      <c r="K77" s="40" t="str">
        <f aca="false">IF($I77="","",LEN($I77))</f>
        <v/>
      </c>
      <c r="L77" s="13"/>
      <c r="M77" s="13"/>
      <c r="N77" s="13"/>
      <c r="O77" s="13"/>
      <c r="P77" s="152"/>
      <c r="Q77" s="149"/>
      <c r="R77" s="152"/>
      <c r="S77" s="152"/>
      <c r="T77" s="62" t="str">
        <f aca="false">IF(OR($C77="",R77=""),"",IF(R77/IF($R$2="",100,$R$2)&gt;=設定!$I$28,設定!$G$8,IF(R77/IF($R$2="",100,$R$2)&lt;設定!$I$29,設定!$G$10,設定!$G$9)))</f>
        <v/>
      </c>
      <c r="U77" s="62" t="str">
        <f aca="false">IF(OR($C77="",S77=""),"",IF(S77/IF($S$2="",100,$S$2)&gt;=設定!$I$28,設定!$G$8,IF(S77/IF($S$2="",100,$S$2)&lt;設定!$I$29,設定!$G$10,設定!$G$9)))</f>
        <v/>
      </c>
    </row>
    <row r="78" customFormat="false" ht="21" hidden="false" customHeight="true" outlineLevel="0" collapsed="false">
      <c r="A78" s="91" t="str">
        <f aca="false">IF(名簿!$D78="","",名簿!$B78&amp;"")</f>
        <v/>
      </c>
      <c r="B78" s="91" t="str">
        <f aca="false">IF(名簿!$D78="","",名簿!$C78)</f>
        <v/>
      </c>
      <c r="C78" s="59" t="str">
        <f aca="false">IF(名簿!$D78="","",名簿!$D78&amp;IF(名簿!$F78="転出","（転出）",""))</f>
        <v/>
      </c>
      <c r="D78" s="149"/>
      <c r="E78" s="61" t="str">
        <f aca="false">IF(OR($C78="",名簿!$F78="転出"),"",IF($C$2="学級ごと",$A78,IF($C$2="前の単元と同じ",単元14!$E78&amp;"",$D78&amp;"")))</f>
        <v/>
      </c>
      <c r="F78" s="150"/>
      <c r="G78" s="150"/>
      <c r="H78" s="150"/>
      <c r="I78" s="151"/>
      <c r="J78" s="41" t="str">
        <f aca="false">IF($E78="","",$E78&amp;"|"&amp;COUNTIF($E$5:$E78,$E78))</f>
        <v/>
      </c>
      <c r="K78" s="40" t="str">
        <f aca="false">IF($I78="","",LEN($I78))</f>
        <v/>
      </c>
      <c r="L78" s="13"/>
      <c r="M78" s="13"/>
      <c r="N78" s="13"/>
      <c r="O78" s="13"/>
      <c r="P78" s="152"/>
      <c r="Q78" s="149"/>
      <c r="R78" s="152"/>
      <c r="S78" s="152"/>
      <c r="T78" s="62" t="str">
        <f aca="false">IF(OR($C78="",R78=""),"",IF(R78/IF($R$2="",100,$R$2)&gt;=設定!$I$28,設定!$G$8,IF(R78/IF($R$2="",100,$R$2)&lt;設定!$I$29,設定!$G$10,設定!$G$9)))</f>
        <v/>
      </c>
      <c r="U78" s="62" t="str">
        <f aca="false">IF(OR($C78="",S78=""),"",IF(S78/IF($S$2="",100,$S$2)&gt;=設定!$I$28,設定!$G$8,IF(S78/IF($S$2="",100,$S$2)&lt;設定!$I$29,設定!$G$10,設定!$G$9)))</f>
        <v/>
      </c>
    </row>
    <row r="79" customFormat="false" ht="21" hidden="false" customHeight="true" outlineLevel="0" collapsed="false">
      <c r="A79" s="91" t="str">
        <f aca="false">IF(名簿!$D79="","",名簿!$B79&amp;"")</f>
        <v/>
      </c>
      <c r="B79" s="91" t="str">
        <f aca="false">IF(名簿!$D79="","",名簿!$C79)</f>
        <v/>
      </c>
      <c r="C79" s="59" t="str">
        <f aca="false">IF(名簿!$D79="","",名簿!$D79&amp;IF(名簿!$F79="転出","（転出）",""))</f>
        <v/>
      </c>
      <c r="D79" s="149"/>
      <c r="E79" s="61" t="str">
        <f aca="false">IF(OR($C79="",名簿!$F79="転出"),"",IF($C$2="学級ごと",$A79,IF($C$2="前の単元と同じ",単元14!$E79&amp;"",$D79&amp;"")))</f>
        <v/>
      </c>
      <c r="F79" s="150"/>
      <c r="G79" s="150"/>
      <c r="H79" s="150"/>
      <c r="I79" s="151"/>
      <c r="J79" s="41" t="str">
        <f aca="false">IF($E79="","",$E79&amp;"|"&amp;COUNTIF($E$5:$E79,$E79))</f>
        <v/>
      </c>
      <c r="K79" s="40" t="str">
        <f aca="false">IF($I79="","",LEN($I79))</f>
        <v/>
      </c>
      <c r="L79" s="13"/>
      <c r="M79" s="13"/>
      <c r="N79" s="13"/>
      <c r="O79" s="13"/>
      <c r="P79" s="152"/>
      <c r="Q79" s="149"/>
      <c r="R79" s="152"/>
      <c r="S79" s="152"/>
      <c r="T79" s="62" t="str">
        <f aca="false">IF(OR($C79="",R79=""),"",IF(R79/IF($R$2="",100,$R$2)&gt;=設定!$I$28,設定!$G$8,IF(R79/IF($R$2="",100,$R$2)&lt;設定!$I$29,設定!$G$10,設定!$G$9)))</f>
        <v/>
      </c>
      <c r="U79" s="62" t="str">
        <f aca="false">IF(OR($C79="",S79=""),"",IF(S79/IF($S$2="",100,$S$2)&gt;=設定!$I$28,設定!$G$8,IF(S79/IF($S$2="",100,$S$2)&lt;設定!$I$29,設定!$G$10,設定!$G$9)))</f>
        <v/>
      </c>
    </row>
    <row r="80" customFormat="false" ht="21" hidden="false" customHeight="true" outlineLevel="0" collapsed="false">
      <c r="A80" s="91" t="str">
        <f aca="false">IF(名簿!$D80="","",名簿!$B80&amp;"")</f>
        <v/>
      </c>
      <c r="B80" s="91" t="str">
        <f aca="false">IF(名簿!$D80="","",名簿!$C80)</f>
        <v/>
      </c>
      <c r="C80" s="59" t="str">
        <f aca="false">IF(名簿!$D80="","",名簿!$D80&amp;IF(名簿!$F80="転出","（転出）",""))</f>
        <v/>
      </c>
      <c r="D80" s="149"/>
      <c r="E80" s="61" t="str">
        <f aca="false">IF(OR($C80="",名簿!$F80="転出"),"",IF($C$2="学級ごと",$A80,IF($C$2="前の単元と同じ",単元14!$E80&amp;"",$D80&amp;"")))</f>
        <v/>
      </c>
      <c r="F80" s="150"/>
      <c r="G80" s="150"/>
      <c r="H80" s="150"/>
      <c r="I80" s="151"/>
      <c r="J80" s="41" t="str">
        <f aca="false">IF($E80="","",$E80&amp;"|"&amp;COUNTIF($E$5:$E80,$E80))</f>
        <v/>
      </c>
      <c r="K80" s="40" t="str">
        <f aca="false">IF($I80="","",LEN($I80))</f>
        <v/>
      </c>
      <c r="L80" s="13"/>
      <c r="M80" s="13"/>
      <c r="N80" s="13"/>
      <c r="O80" s="13"/>
      <c r="P80" s="152"/>
      <c r="Q80" s="149"/>
      <c r="R80" s="152"/>
      <c r="S80" s="152"/>
      <c r="T80" s="62" t="str">
        <f aca="false">IF(OR($C80="",R80=""),"",IF(R80/IF($R$2="",100,$R$2)&gt;=設定!$I$28,設定!$G$8,IF(R80/IF($R$2="",100,$R$2)&lt;設定!$I$29,設定!$G$10,設定!$G$9)))</f>
        <v/>
      </c>
      <c r="U80" s="62" t="str">
        <f aca="false">IF(OR($C80="",S80=""),"",IF(S80/IF($S$2="",100,$S$2)&gt;=設定!$I$28,設定!$G$8,IF(S80/IF($S$2="",100,$S$2)&lt;設定!$I$29,設定!$G$10,設定!$G$9)))</f>
        <v/>
      </c>
    </row>
    <row r="81" customFormat="false" ht="21" hidden="false" customHeight="true" outlineLevel="0" collapsed="false">
      <c r="A81" s="91" t="str">
        <f aca="false">IF(名簿!$D81="","",名簿!$B81&amp;"")</f>
        <v/>
      </c>
      <c r="B81" s="91" t="str">
        <f aca="false">IF(名簿!$D81="","",名簿!$C81)</f>
        <v/>
      </c>
      <c r="C81" s="59" t="str">
        <f aca="false">IF(名簿!$D81="","",名簿!$D81&amp;IF(名簿!$F81="転出","（転出）",""))</f>
        <v/>
      </c>
      <c r="D81" s="149"/>
      <c r="E81" s="61" t="str">
        <f aca="false">IF(OR($C81="",名簿!$F81="転出"),"",IF($C$2="学級ごと",$A81,IF($C$2="前の単元と同じ",単元14!$E81&amp;"",$D81&amp;"")))</f>
        <v/>
      </c>
      <c r="F81" s="150"/>
      <c r="G81" s="150"/>
      <c r="H81" s="150"/>
      <c r="I81" s="151"/>
      <c r="J81" s="41" t="str">
        <f aca="false">IF($E81="","",$E81&amp;"|"&amp;COUNTIF($E$5:$E81,$E81))</f>
        <v/>
      </c>
      <c r="K81" s="40" t="str">
        <f aca="false">IF($I81="","",LEN($I81))</f>
        <v/>
      </c>
      <c r="L81" s="13"/>
      <c r="M81" s="13"/>
      <c r="N81" s="13"/>
      <c r="O81" s="13"/>
      <c r="P81" s="152"/>
      <c r="Q81" s="149"/>
      <c r="R81" s="152"/>
      <c r="S81" s="152"/>
      <c r="T81" s="62" t="str">
        <f aca="false">IF(OR($C81="",R81=""),"",IF(R81/IF($R$2="",100,$R$2)&gt;=設定!$I$28,設定!$G$8,IF(R81/IF($R$2="",100,$R$2)&lt;設定!$I$29,設定!$G$10,設定!$G$9)))</f>
        <v/>
      </c>
      <c r="U81" s="62" t="str">
        <f aca="false">IF(OR($C81="",S81=""),"",IF(S81/IF($S$2="",100,$S$2)&gt;=設定!$I$28,設定!$G$8,IF(S81/IF($S$2="",100,$S$2)&lt;設定!$I$29,設定!$G$10,設定!$G$9)))</f>
        <v/>
      </c>
    </row>
    <row r="82" customFormat="false" ht="21" hidden="false" customHeight="true" outlineLevel="0" collapsed="false">
      <c r="A82" s="91" t="str">
        <f aca="false">IF(名簿!$D82="","",名簿!$B82&amp;"")</f>
        <v/>
      </c>
      <c r="B82" s="91" t="str">
        <f aca="false">IF(名簿!$D82="","",名簿!$C82)</f>
        <v/>
      </c>
      <c r="C82" s="59" t="str">
        <f aca="false">IF(名簿!$D82="","",名簿!$D82&amp;IF(名簿!$F82="転出","（転出）",""))</f>
        <v/>
      </c>
      <c r="D82" s="149"/>
      <c r="E82" s="61" t="str">
        <f aca="false">IF(OR($C82="",名簿!$F82="転出"),"",IF($C$2="学級ごと",$A82,IF($C$2="前の単元と同じ",単元14!$E82&amp;"",$D82&amp;"")))</f>
        <v/>
      </c>
      <c r="F82" s="150"/>
      <c r="G82" s="150"/>
      <c r="H82" s="150"/>
      <c r="I82" s="151"/>
      <c r="J82" s="41" t="str">
        <f aca="false">IF($E82="","",$E82&amp;"|"&amp;COUNTIF($E$5:$E82,$E82))</f>
        <v/>
      </c>
      <c r="K82" s="40" t="str">
        <f aca="false">IF($I82="","",LEN($I82))</f>
        <v/>
      </c>
      <c r="L82" s="13"/>
      <c r="M82" s="13"/>
      <c r="N82" s="13"/>
      <c r="O82" s="13"/>
      <c r="P82" s="152"/>
      <c r="Q82" s="149"/>
      <c r="R82" s="152"/>
      <c r="S82" s="152"/>
      <c r="T82" s="62" t="str">
        <f aca="false">IF(OR($C82="",R82=""),"",IF(R82/IF($R$2="",100,$R$2)&gt;=設定!$I$28,設定!$G$8,IF(R82/IF($R$2="",100,$R$2)&lt;設定!$I$29,設定!$G$10,設定!$G$9)))</f>
        <v/>
      </c>
      <c r="U82" s="62" t="str">
        <f aca="false">IF(OR($C82="",S82=""),"",IF(S82/IF($S$2="",100,$S$2)&gt;=設定!$I$28,設定!$G$8,IF(S82/IF($S$2="",100,$S$2)&lt;設定!$I$29,設定!$G$10,設定!$G$9)))</f>
        <v/>
      </c>
    </row>
    <row r="83" customFormat="false" ht="21" hidden="false" customHeight="true" outlineLevel="0" collapsed="false">
      <c r="A83" s="91" t="str">
        <f aca="false">IF(名簿!$D83="","",名簿!$B83&amp;"")</f>
        <v/>
      </c>
      <c r="B83" s="91" t="str">
        <f aca="false">IF(名簿!$D83="","",名簿!$C83)</f>
        <v/>
      </c>
      <c r="C83" s="59" t="str">
        <f aca="false">IF(名簿!$D83="","",名簿!$D83&amp;IF(名簿!$F83="転出","（転出）",""))</f>
        <v/>
      </c>
      <c r="D83" s="149"/>
      <c r="E83" s="61" t="str">
        <f aca="false">IF(OR($C83="",名簿!$F83="転出"),"",IF($C$2="学級ごと",$A83,IF($C$2="前の単元と同じ",単元14!$E83&amp;"",$D83&amp;"")))</f>
        <v/>
      </c>
      <c r="F83" s="150"/>
      <c r="G83" s="150"/>
      <c r="H83" s="150"/>
      <c r="I83" s="151"/>
      <c r="J83" s="41" t="str">
        <f aca="false">IF($E83="","",$E83&amp;"|"&amp;COUNTIF($E$5:$E83,$E83))</f>
        <v/>
      </c>
      <c r="K83" s="40" t="str">
        <f aca="false">IF($I83="","",LEN($I83))</f>
        <v/>
      </c>
      <c r="L83" s="13"/>
      <c r="M83" s="13"/>
      <c r="N83" s="13"/>
      <c r="O83" s="13"/>
      <c r="P83" s="152"/>
      <c r="Q83" s="149"/>
      <c r="R83" s="152"/>
      <c r="S83" s="152"/>
      <c r="T83" s="62" t="str">
        <f aca="false">IF(OR($C83="",R83=""),"",IF(R83/IF($R$2="",100,$R$2)&gt;=設定!$I$28,設定!$G$8,IF(R83/IF($R$2="",100,$R$2)&lt;設定!$I$29,設定!$G$10,設定!$G$9)))</f>
        <v/>
      </c>
      <c r="U83" s="62" t="str">
        <f aca="false">IF(OR($C83="",S83=""),"",IF(S83/IF($S$2="",100,$S$2)&gt;=設定!$I$28,設定!$G$8,IF(S83/IF($S$2="",100,$S$2)&lt;設定!$I$29,設定!$G$10,設定!$G$9)))</f>
        <v/>
      </c>
    </row>
    <row r="84" customFormat="false" ht="21" hidden="false" customHeight="true" outlineLevel="0" collapsed="false">
      <c r="A84" s="91" t="str">
        <f aca="false">IF(名簿!$D84="","",名簿!$B84&amp;"")</f>
        <v/>
      </c>
      <c r="B84" s="91" t="str">
        <f aca="false">IF(名簿!$D84="","",名簿!$C84)</f>
        <v/>
      </c>
      <c r="C84" s="59" t="str">
        <f aca="false">IF(名簿!$D84="","",名簿!$D84&amp;IF(名簿!$F84="転出","（転出）",""))</f>
        <v/>
      </c>
      <c r="D84" s="149"/>
      <c r="E84" s="61" t="str">
        <f aca="false">IF(OR($C84="",名簿!$F84="転出"),"",IF($C$2="学級ごと",$A84,IF($C$2="前の単元と同じ",単元14!$E84&amp;"",$D84&amp;"")))</f>
        <v/>
      </c>
      <c r="F84" s="150"/>
      <c r="G84" s="150"/>
      <c r="H84" s="150"/>
      <c r="I84" s="151"/>
      <c r="J84" s="41" t="str">
        <f aca="false">IF($E84="","",$E84&amp;"|"&amp;COUNTIF($E$5:$E84,$E84))</f>
        <v/>
      </c>
      <c r="K84" s="40" t="str">
        <f aca="false">IF($I84="","",LEN($I84))</f>
        <v/>
      </c>
      <c r="L84" s="13"/>
      <c r="M84" s="13"/>
      <c r="N84" s="13"/>
      <c r="O84" s="13"/>
      <c r="P84" s="152"/>
      <c r="Q84" s="149"/>
      <c r="R84" s="152"/>
      <c r="S84" s="152"/>
      <c r="T84" s="62" t="str">
        <f aca="false">IF(OR($C84="",R84=""),"",IF(R84/IF($R$2="",100,$R$2)&gt;=設定!$I$28,設定!$G$8,IF(R84/IF($R$2="",100,$R$2)&lt;設定!$I$29,設定!$G$10,設定!$G$9)))</f>
        <v/>
      </c>
      <c r="U84" s="62" t="str">
        <f aca="false">IF(OR($C84="",S84=""),"",IF(S84/IF($S$2="",100,$S$2)&gt;=設定!$I$28,設定!$G$8,IF(S84/IF($S$2="",100,$S$2)&lt;設定!$I$29,設定!$G$10,設定!$G$9)))</f>
        <v/>
      </c>
    </row>
    <row r="85" customFormat="false" ht="21" hidden="false" customHeight="true" outlineLevel="0" collapsed="false">
      <c r="A85" s="91" t="str">
        <f aca="false">IF(名簿!$D85="","",名簿!$B85&amp;"")</f>
        <v/>
      </c>
      <c r="B85" s="91" t="str">
        <f aca="false">IF(名簿!$D85="","",名簿!$C85)</f>
        <v/>
      </c>
      <c r="C85" s="59" t="str">
        <f aca="false">IF(名簿!$D85="","",名簿!$D85&amp;IF(名簿!$F85="転出","（転出）",""))</f>
        <v/>
      </c>
      <c r="D85" s="149"/>
      <c r="E85" s="61" t="str">
        <f aca="false">IF(OR($C85="",名簿!$F85="転出"),"",IF($C$2="学級ごと",$A85,IF($C$2="前の単元と同じ",単元14!$E85&amp;"",$D85&amp;"")))</f>
        <v/>
      </c>
      <c r="F85" s="150"/>
      <c r="G85" s="150"/>
      <c r="H85" s="150"/>
      <c r="I85" s="151"/>
      <c r="J85" s="41" t="str">
        <f aca="false">IF($E85="","",$E85&amp;"|"&amp;COUNTIF($E$5:$E85,$E85))</f>
        <v/>
      </c>
      <c r="K85" s="40" t="str">
        <f aca="false">IF($I85="","",LEN($I85))</f>
        <v/>
      </c>
      <c r="L85" s="13"/>
      <c r="M85" s="13"/>
      <c r="N85" s="13"/>
      <c r="O85" s="13"/>
      <c r="P85" s="152"/>
      <c r="Q85" s="149"/>
      <c r="R85" s="152"/>
      <c r="S85" s="152"/>
      <c r="T85" s="62" t="str">
        <f aca="false">IF(OR($C85="",R85=""),"",IF(R85/IF($R$2="",100,$R$2)&gt;=設定!$I$28,設定!$G$8,IF(R85/IF($R$2="",100,$R$2)&lt;設定!$I$29,設定!$G$10,設定!$G$9)))</f>
        <v/>
      </c>
      <c r="U85" s="62" t="str">
        <f aca="false">IF(OR($C85="",S85=""),"",IF(S85/IF($S$2="",100,$S$2)&gt;=設定!$I$28,設定!$G$8,IF(S85/IF($S$2="",100,$S$2)&lt;設定!$I$29,設定!$G$10,設定!$G$9)))</f>
        <v/>
      </c>
    </row>
    <row r="86" customFormat="false" ht="21" hidden="false" customHeight="true" outlineLevel="0" collapsed="false">
      <c r="A86" s="91" t="str">
        <f aca="false">IF(名簿!$D86="","",名簿!$B86&amp;"")</f>
        <v/>
      </c>
      <c r="B86" s="91" t="str">
        <f aca="false">IF(名簿!$D86="","",名簿!$C86)</f>
        <v/>
      </c>
      <c r="C86" s="59" t="str">
        <f aca="false">IF(名簿!$D86="","",名簿!$D86&amp;IF(名簿!$F86="転出","（転出）",""))</f>
        <v/>
      </c>
      <c r="D86" s="149"/>
      <c r="E86" s="61" t="str">
        <f aca="false">IF(OR($C86="",名簿!$F86="転出"),"",IF($C$2="学級ごと",$A86,IF($C$2="前の単元と同じ",単元14!$E86&amp;"",$D86&amp;"")))</f>
        <v/>
      </c>
      <c r="F86" s="150"/>
      <c r="G86" s="150"/>
      <c r="H86" s="150"/>
      <c r="I86" s="151"/>
      <c r="J86" s="41" t="str">
        <f aca="false">IF($E86="","",$E86&amp;"|"&amp;COUNTIF($E$5:$E86,$E86))</f>
        <v/>
      </c>
      <c r="K86" s="40" t="str">
        <f aca="false">IF($I86="","",LEN($I86))</f>
        <v/>
      </c>
      <c r="L86" s="13"/>
      <c r="M86" s="13"/>
      <c r="N86" s="13"/>
      <c r="O86" s="13"/>
      <c r="P86" s="152"/>
      <c r="Q86" s="149"/>
      <c r="R86" s="152"/>
      <c r="S86" s="152"/>
      <c r="T86" s="62" t="str">
        <f aca="false">IF(OR($C86="",R86=""),"",IF(R86/IF($R$2="",100,$R$2)&gt;=設定!$I$28,設定!$G$8,IF(R86/IF($R$2="",100,$R$2)&lt;設定!$I$29,設定!$G$10,設定!$G$9)))</f>
        <v/>
      </c>
      <c r="U86" s="62" t="str">
        <f aca="false">IF(OR($C86="",S86=""),"",IF(S86/IF($S$2="",100,$S$2)&gt;=設定!$I$28,設定!$G$8,IF(S86/IF($S$2="",100,$S$2)&lt;設定!$I$29,設定!$G$10,設定!$G$9)))</f>
        <v/>
      </c>
    </row>
    <row r="87" customFormat="false" ht="21" hidden="false" customHeight="true" outlineLevel="0" collapsed="false">
      <c r="A87" s="91" t="str">
        <f aca="false">IF(名簿!$D87="","",名簿!$B87&amp;"")</f>
        <v/>
      </c>
      <c r="B87" s="91" t="str">
        <f aca="false">IF(名簿!$D87="","",名簿!$C87)</f>
        <v/>
      </c>
      <c r="C87" s="59" t="str">
        <f aca="false">IF(名簿!$D87="","",名簿!$D87&amp;IF(名簿!$F87="転出","（転出）",""))</f>
        <v/>
      </c>
      <c r="D87" s="149"/>
      <c r="E87" s="61" t="str">
        <f aca="false">IF(OR($C87="",名簿!$F87="転出"),"",IF($C$2="学級ごと",$A87,IF($C$2="前の単元と同じ",単元14!$E87&amp;"",$D87&amp;"")))</f>
        <v/>
      </c>
      <c r="F87" s="150"/>
      <c r="G87" s="150"/>
      <c r="H87" s="150"/>
      <c r="I87" s="151"/>
      <c r="J87" s="41" t="str">
        <f aca="false">IF($E87="","",$E87&amp;"|"&amp;COUNTIF($E$5:$E87,$E87))</f>
        <v/>
      </c>
      <c r="K87" s="40" t="str">
        <f aca="false">IF($I87="","",LEN($I87))</f>
        <v/>
      </c>
      <c r="L87" s="13"/>
      <c r="M87" s="13"/>
      <c r="N87" s="13"/>
      <c r="O87" s="13"/>
      <c r="P87" s="152"/>
      <c r="Q87" s="149"/>
      <c r="R87" s="152"/>
      <c r="S87" s="152"/>
      <c r="T87" s="62" t="str">
        <f aca="false">IF(OR($C87="",R87=""),"",IF(R87/IF($R$2="",100,$R$2)&gt;=設定!$I$28,設定!$G$8,IF(R87/IF($R$2="",100,$R$2)&lt;設定!$I$29,設定!$G$10,設定!$G$9)))</f>
        <v/>
      </c>
      <c r="U87" s="62" t="str">
        <f aca="false">IF(OR($C87="",S87=""),"",IF(S87/IF($S$2="",100,$S$2)&gt;=設定!$I$28,設定!$G$8,IF(S87/IF($S$2="",100,$S$2)&lt;設定!$I$29,設定!$G$10,設定!$G$9)))</f>
        <v/>
      </c>
    </row>
    <row r="88" customFormat="false" ht="21" hidden="false" customHeight="true" outlineLevel="0" collapsed="false">
      <c r="A88" s="91" t="str">
        <f aca="false">IF(名簿!$D88="","",名簿!$B88&amp;"")</f>
        <v/>
      </c>
      <c r="B88" s="91" t="str">
        <f aca="false">IF(名簿!$D88="","",名簿!$C88)</f>
        <v/>
      </c>
      <c r="C88" s="59" t="str">
        <f aca="false">IF(名簿!$D88="","",名簿!$D88&amp;IF(名簿!$F88="転出","（転出）",""))</f>
        <v/>
      </c>
      <c r="D88" s="149"/>
      <c r="E88" s="61" t="str">
        <f aca="false">IF(OR($C88="",名簿!$F88="転出"),"",IF($C$2="学級ごと",$A88,IF($C$2="前の単元と同じ",単元14!$E88&amp;"",$D88&amp;"")))</f>
        <v/>
      </c>
      <c r="F88" s="150"/>
      <c r="G88" s="150"/>
      <c r="H88" s="150"/>
      <c r="I88" s="151"/>
      <c r="J88" s="41" t="str">
        <f aca="false">IF($E88="","",$E88&amp;"|"&amp;COUNTIF($E$5:$E88,$E88))</f>
        <v/>
      </c>
      <c r="K88" s="40" t="str">
        <f aca="false">IF($I88="","",LEN($I88))</f>
        <v/>
      </c>
      <c r="L88" s="13"/>
      <c r="M88" s="13"/>
      <c r="N88" s="13"/>
      <c r="O88" s="13"/>
      <c r="P88" s="152"/>
      <c r="Q88" s="149"/>
      <c r="R88" s="152"/>
      <c r="S88" s="152"/>
      <c r="T88" s="62" t="str">
        <f aca="false">IF(OR($C88="",R88=""),"",IF(R88/IF($R$2="",100,$R$2)&gt;=設定!$I$28,設定!$G$8,IF(R88/IF($R$2="",100,$R$2)&lt;設定!$I$29,設定!$G$10,設定!$G$9)))</f>
        <v/>
      </c>
      <c r="U88" s="62" t="str">
        <f aca="false">IF(OR($C88="",S88=""),"",IF(S88/IF($S$2="",100,$S$2)&gt;=設定!$I$28,設定!$G$8,IF(S88/IF($S$2="",100,$S$2)&lt;設定!$I$29,設定!$G$10,設定!$G$9)))</f>
        <v/>
      </c>
    </row>
    <row r="89" customFormat="false" ht="21" hidden="false" customHeight="true" outlineLevel="0" collapsed="false">
      <c r="A89" s="91" t="str">
        <f aca="false">IF(名簿!$D89="","",名簿!$B89&amp;"")</f>
        <v/>
      </c>
      <c r="B89" s="91" t="str">
        <f aca="false">IF(名簿!$D89="","",名簿!$C89)</f>
        <v/>
      </c>
      <c r="C89" s="59" t="str">
        <f aca="false">IF(名簿!$D89="","",名簿!$D89&amp;IF(名簿!$F89="転出","（転出）",""))</f>
        <v/>
      </c>
      <c r="D89" s="149"/>
      <c r="E89" s="61" t="str">
        <f aca="false">IF(OR($C89="",名簿!$F89="転出"),"",IF($C$2="学級ごと",$A89,IF($C$2="前の単元と同じ",単元14!$E89&amp;"",$D89&amp;"")))</f>
        <v/>
      </c>
      <c r="F89" s="150"/>
      <c r="G89" s="150"/>
      <c r="H89" s="150"/>
      <c r="I89" s="151"/>
      <c r="J89" s="41" t="str">
        <f aca="false">IF($E89="","",$E89&amp;"|"&amp;COUNTIF($E$5:$E89,$E89))</f>
        <v/>
      </c>
      <c r="K89" s="40" t="str">
        <f aca="false">IF($I89="","",LEN($I89))</f>
        <v/>
      </c>
      <c r="L89" s="13"/>
      <c r="M89" s="13"/>
      <c r="N89" s="13"/>
      <c r="O89" s="13"/>
      <c r="P89" s="152"/>
      <c r="Q89" s="149"/>
      <c r="R89" s="152"/>
      <c r="S89" s="152"/>
      <c r="T89" s="62" t="str">
        <f aca="false">IF(OR($C89="",R89=""),"",IF(R89/IF($R$2="",100,$R$2)&gt;=設定!$I$28,設定!$G$8,IF(R89/IF($R$2="",100,$R$2)&lt;設定!$I$29,設定!$G$10,設定!$G$9)))</f>
        <v/>
      </c>
      <c r="U89" s="62" t="str">
        <f aca="false">IF(OR($C89="",S89=""),"",IF(S89/IF($S$2="",100,$S$2)&gt;=設定!$I$28,設定!$G$8,IF(S89/IF($S$2="",100,$S$2)&lt;設定!$I$29,設定!$G$10,設定!$G$9)))</f>
        <v/>
      </c>
    </row>
    <row r="90" customFormat="false" ht="21" hidden="false" customHeight="true" outlineLevel="0" collapsed="false">
      <c r="A90" s="91" t="str">
        <f aca="false">IF(名簿!$D90="","",名簿!$B90&amp;"")</f>
        <v/>
      </c>
      <c r="B90" s="91" t="str">
        <f aca="false">IF(名簿!$D90="","",名簿!$C90)</f>
        <v/>
      </c>
      <c r="C90" s="59" t="str">
        <f aca="false">IF(名簿!$D90="","",名簿!$D90&amp;IF(名簿!$F90="転出","（転出）",""))</f>
        <v/>
      </c>
      <c r="D90" s="149"/>
      <c r="E90" s="61" t="str">
        <f aca="false">IF(OR($C90="",名簿!$F90="転出"),"",IF($C$2="学級ごと",$A90,IF($C$2="前の単元と同じ",単元14!$E90&amp;"",$D90&amp;"")))</f>
        <v/>
      </c>
      <c r="F90" s="150"/>
      <c r="G90" s="150"/>
      <c r="H90" s="150"/>
      <c r="I90" s="151"/>
      <c r="J90" s="41" t="str">
        <f aca="false">IF($E90="","",$E90&amp;"|"&amp;COUNTIF($E$5:$E90,$E90))</f>
        <v/>
      </c>
      <c r="K90" s="40" t="str">
        <f aca="false">IF($I90="","",LEN($I90))</f>
        <v/>
      </c>
      <c r="L90" s="13"/>
      <c r="M90" s="13"/>
      <c r="N90" s="13"/>
      <c r="O90" s="13"/>
      <c r="P90" s="152"/>
      <c r="Q90" s="149"/>
      <c r="R90" s="152"/>
      <c r="S90" s="152"/>
      <c r="T90" s="62" t="str">
        <f aca="false">IF(OR($C90="",R90=""),"",IF(R90/IF($R$2="",100,$R$2)&gt;=設定!$I$28,設定!$G$8,IF(R90/IF($R$2="",100,$R$2)&lt;設定!$I$29,設定!$G$10,設定!$G$9)))</f>
        <v/>
      </c>
      <c r="U90" s="62" t="str">
        <f aca="false">IF(OR($C90="",S90=""),"",IF(S90/IF($S$2="",100,$S$2)&gt;=設定!$I$28,設定!$G$8,IF(S90/IF($S$2="",100,$S$2)&lt;設定!$I$29,設定!$G$10,設定!$G$9)))</f>
        <v/>
      </c>
    </row>
    <row r="91" customFormat="false" ht="21" hidden="false" customHeight="true" outlineLevel="0" collapsed="false">
      <c r="A91" s="91" t="str">
        <f aca="false">IF(名簿!$D91="","",名簿!$B91&amp;"")</f>
        <v/>
      </c>
      <c r="B91" s="91" t="str">
        <f aca="false">IF(名簿!$D91="","",名簿!$C91)</f>
        <v/>
      </c>
      <c r="C91" s="59" t="str">
        <f aca="false">IF(名簿!$D91="","",名簿!$D91&amp;IF(名簿!$F91="転出","（転出）",""))</f>
        <v/>
      </c>
      <c r="D91" s="149"/>
      <c r="E91" s="61" t="str">
        <f aca="false">IF(OR($C91="",名簿!$F91="転出"),"",IF($C$2="学級ごと",$A91,IF($C$2="前の単元と同じ",単元14!$E91&amp;"",$D91&amp;"")))</f>
        <v/>
      </c>
      <c r="F91" s="150"/>
      <c r="G91" s="150"/>
      <c r="H91" s="150"/>
      <c r="I91" s="151"/>
      <c r="J91" s="41" t="str">
        <f aca="false">IF($E91="","",$E91&amp;"|"&amp;COUNTIF($E$5:$E91,$E91))</f>
        <v/>
      </c>
      <c r="K91" s="40" t="str">
        <f aca="false">IF($I91="","",LEN($I91))</f>
        <v/>
      </c>
      <c r="L91" s="13"/>
      <c r="M91" s="13"/>
      <c r="N91" s="13"/>
      <c r="O91" s="13"/>
      <c r="P91" s="152"/>
      <c r="Q91" s="149"/>
      <c r="R91" s="152"/>
      <c r="S91" s="152"/>
      <c r="T91" s="62" t="str">
        <f aca="false">IF(OR($C91="",R91=""),"",IF(R91/IF($R$2="",100,$R$2)&gt;=設定!$I$28,設定!$G$8,IF(R91/IF($R$2="",100,$R$2)&lt;設定!$I$29,設定!$G$10,設定!$G$9)))</f>
        <v/>
      </c>
      <c r="U91" s="62" t="str">
        <f aca="false">IF(OR($C91="",S91=""),"",IF(S91/IF($S$2="",100,$S$2)&gt;=設定!$I$28,設定!$G$8,IF(S91/IF($S$2="",100,$S$2)&lt;設定!$I$29,設定!$G$10,設定!$G$9)))</f>
        <v/>
      </c>
    </row>
    <row r="92" customFormat="false" ht="21" hidden="false" customHeight="true" outlineLevel="0" collapsed="false">
      <c r="A92" s="91" t="str">
        <f aca="false">IF(名簿!$D92="","",名簿!$B92&amp;"")</f>
        <v/>
      </c>
      <c r="B92" s="91" t="str">
        <f aca="false">IF(名簿!$D92="","",名簿!$C92)</f>
        <v/>
      </c>
      <c r="C92" s="59" t="str">
        <f aca="false">IF(名簿!$D92="","",名簿!$D92&amp;IF(名簿!$F92="転出","（転出）",""))</f>
        <v/>
      </c>
      <c r="D92" s="149"/>
      <c r="E92" s="61" t="str">
        <f aca="false">IF(OR($C92="",名簿!$F92="転出"),"",IF($C$2="学級ごと",$A92,IF($C$2="前の単元と同じ",単元14!$E92&amp;"",$D92&amp;"")))</f>
        <v/>
      </c>
      <c r="F92" s="150"/>
      <c r="G92" s="150"/>
      <c r="H92" s="150"/>
      <c r="I92" s="151"/>
      <c r="J92" s="41" t="str">
        <f aca="false">IF($E92="","",$E92&amp;"|"&amp;COUNTIF($E$5:$E92,$E92))</f>
        <v/>
      </c>
      <c r="K92" s="40" t="str">
        <f aca="false">IF($I92="","",LEN($I92))</f>
        <v/>
      </c>
      <c r="L92" s="13"/>
      <c r="M92" s="13"/>
      <c r="N92" s="13"/>
      <c r="O92" s="13"/>
      <c r="P92" s="152"/>
      <c r="Q92" s="149"/>
      <c r="R92" s="152"/>
      <c r="S92" s="152"/>
      <c r="T92" s="62" t="str">
        <f aca="false">IF(OR($C92="",R92=""),"",IF(R92/IF($R$2="",100,$R$2)&gt;=設定!$I$28,設定!$G$8,IF(R92/IF($R$2="",100,$R$2)&lt;設定!$I$29,設定!$G$10,設定!$G$9)))</f>
        <v/>
      </c>
      <c r="U92" s="62" t="str">
        <f aca="false">IF(OR($C92="",S92=""),"",IF(S92/IF($S$2="",100,$S$2)&gt;=設定!$I$28,設定!$G$8,IF(S92/IF($S$2="",100,$S$2)&lt;設定!$I$29,設定!$G$10,設定!$G$9)))</f>
        <v/>
      </c>
    </row>
    <row r="93" customFormat="false" ht="21" hidden="false" customHeight="true" outlineLevel="0" collapsed="false">
      <c r="A93" s="91" t="str">
        <f aca="false">IF(名簿!$D93="","",名簿!$B93&amp;"")</f>
        <v/>
      </c>
      <c r="B93" s="91" t="str">
        <f aca="false">IF(名簿!$D93="","",名簿!$C93)</f>
        <v/>
      </c>
      <c r="C93" s="59" t="str">
        <f aca="false">IF(名簿!$D93="","",名簿!$D93&amp;IF(名簿!$F93="転出","（転出）",""))</f>
        <v/>
      </c>
      <c r="D93" s="149"/>
      <c r="E93" s="61" t="str">
        <f aca="false">IF(OR($C93="",名簿!$F93="転出"),"",IF($C$2="学級ごと",$A93,IF($C$2="前の単元と同じ",単元14!$E93&amp;"",$D93&amp;"")))</f>
        <v/>
      </c>
      <c r="F93" s="150"/>
      <c r="G93" s="150"/>
      <c r="H93" s="150"/>
      <c r="I93" s="151"/>
      <c r="J93" s="41" t="str">
        <f aca="false">IF($E93="","",$E93&amp;"|"&amp;COUNTIF($E$5:$E93,$E93))</f>
        <v/>
      </c>
      <c r="K93" s="40" t="str">
        <f aca="false">IF($I93="","",LEN($I93))</f>
        <v/>
      </c>
      <c r="L93" s="13"/>
      <c r="M93" s="13"/>
      <c r="N93" s="13"/>
      <c r="O93" s="13"/>
      <c r="P93" s="152"/>
      <c r="Q93" s="149"/>
      <c r="R93" s="152"/>
      <c r="S93" s="152"/>
      <c r="T93" s="62" t="str">
        <f aca="false">IF(OR($C93="",R93=""),"",IF(R93/IF($R$2="",100,$R$2)&gt;=設定!$I$28,設定!$G$8,IF(R93/IF($R$2="",100,$R$2)&lt;設定!$I$29,設定!$G$10,設定!$G$9)))</f>
        <v/>
      </c>
      <c r="U93" s="62" t="str">
        <f aca="false">IF(OR($C93="",S93=""),"",IF(S93/IF($S$2="",100,$S$2)&gt;=設定!$I$28,設定!$G$8,IF(S93/IF($S$2="",100,$S$2)&lt;設定!$I$29,設定!$G$10,設定!$G$9)))</f>
        <v/>
      </c>
    </row>
    <row r="94" customFormat="false" ht="21" hidden="false" customHeight="true" outlineLevel="0" collapsed="false">
      <c r="A94" s="91" t="str">
        <f aca="false">IF(名簿!$D94="","",名簿!$B94&amp;"")</f>
        <v/>
      </c>
      <c r="B94" s="91" t="str">
        <f aca="false">IF(名簿!$D94="","",名簿!$C94)</f>
        <v/>
      </c>
      <c r="C94" s="59" t="str">
        <f aca="false">IF(名簿!$D94="","",名簿!$D94&amp;IF(名簿!$F94="転出","（転出）",""))</f>
        <v/>
      </c>
      <c r="D94" s="149"/>
      <c r="E94" s="61" t="str">
        <f aca="false">IF(OR($C94="",名簿!$F94="転出"),"",IF($C$2="学級ごと",$A94,IF($C$2="前の単元と同じ",単元14!$E94&amp;"",$D94&amp;"")))</f>
        <v/>
      </c>
      <c r="F94" s="150"/>
      <c r="G94" s="150"/>
      <c r="H94" s="150"/>
      <c r="I94" s="151"/>
      <c r="J94" s="41" t="str">
        <f aca="false">IF($E94="","",$E94&amp;"|"&amp;COUNTIF($E$5:$E94,$E94))</f>
        <v/>
      </c>
      <c r="K94" s="40" t="str">
        <f aca="false">IF($I94="","",LEN($I94))</f>
        <v/>
      </c>
      <c r="L94" s="13"/>
      <c r="M94" s="13"/>
      <c r="N94" s="13"/>
      <c r="O94" s="13"/>
      <c r="P94" s="152"/>
      <c r="Q94" s="149"/>
      <c r="R94" s="152"/>
      <c r="S94" s="152"/>
      <c r="T94" s="62" t="str">
        <f aca="false">IF(OR($C94="",R94=""),"",IF(R94/IF($R$2="",100,$R$2)&gt;=設定!$I$28,設定!$G$8,IF(R94/IF($R$2="",100,$R$2)&lt;設定!$I$29,設定!$G$10,設定!$G$9)))</f>
        <v/>
      </c>
      <c r="U94" s="62" t="str">
        <f aca="false">IF(OR($C94="",S94=""),"",IF(S94/IF($S$2="",100,$S$2)&gt;=設定!$I$28,設定!$G$8,IF(S94/IF($S$2="",100,$S$2)&lt;設定!$I$29,設定!$G$10,設定!$G$9)))</f>
        <v/>
      </c>
    </row>
    <row r="95" customFormat="false" ht="21" hidden="false" customHeight="true" outlineLevel="0" collapsed="false">
      <c r="A95" s="91" t="str">
        <f aca="false">IF(名簿!$D95="","",名簿!$B95&amp;"")</f>
        <v/>
      </c>
      <c r="B95" s="91" t="str">
        <f aca="false">IF(名簿!$D95="","",名簿!$C95)</f>
        <v/>
      </c>
      <c r="C95" s="59" t="str">
        <f aca="false">IF(名簿!$D95="","",名簿!$D95&amp;IF(名簿!$F95="転出","（転出）",""))</f>
        <v/>
      </c>
      <c r="D95" s="149"/>
      <c r="E95" s="61" t="str">
        <f aca="false">IF(OR($C95="",名簿!$F95="転出"),"",IF($C$2="学級ごと",$A95,IF($C$2="前の単元と同じ",単元14!$E95&amp;"",$D95&amp;"")))</f>
        <v/>
      </c>
      <c r="F95" s="150"/>
      <c r="G95" s="150"/>
      <c r="H95" s="150"/>
      <c r="I95" s="151"/>
      <c r="J95" s="41" t="str">
        <f aca="false">IF($E95="","",$E95&amp;"|"&amp;COUNTIF($E$5:$E95,$E95))</f>
        <v/>
      </c>
      <c r="K95" s="40" t="str">
        <f aca="false">IF($I95="","",LEN($I95))</f>
        <v/>
      </c>
      <c r="L95" s="13"/>
      <c r="M95" s="13"/>
      <c r="N95" s="13"/>
      <c r="O95" s="13"/>
      <c r="P95" s="152"/>
      <c r="Q95" s="149"/>
      <c r="R95" s="152"/>
      <c r="S95" s="152"/>
      <c r="T95" s="62" t="str">
        <f aca="false">IF(OR($C95="",R95=""),"",IF(R95/IF($R$2="",100,$R$2)&gt;=設定!$I$28,設定!$G$8,IF(R95/IF($R$2="",100,$R$2)&lt;設定!$I$29,設定!$G$10,設定!$G$9)))</f>
        <v/>
      </c>
      <c r="U95" s="62" t="str">
        <f aca="false">IF(OR($C95="",S95=""),"",IF(S95/IF($S$2="",100,$S$2)&gt;=設定!$I$28,設定!$G$8,IF(S95/IF($S$2="",100,$S$2)&lt;設定!$I$29,設定!$G$10,設定!$G$9)))</f>
        <v/>
      </c>
    </row>
    <row r="96" customFormat="false" ht="21" hidden="false" customHeight="true" outlineLevel="0" collapsed="false">
      <c r="A96" s="91" t="str">
        <f aca="false">IF(名簿!$D96="","",名簿!$B96&amp;"")</f>
        <v/>
      </c>
      <c r="B96" s="91" t="str">
        <f aca="false">IF(名簿!$D96="","",名簿!$C96)</f>
        <v/>
      </c>
      <c r="C96" s="59" t="str">
        <f aca="false">IF(名簿!$D96="","",名簿!$D96&amp;IF(名簿!$F96="転出","（転出）",""))</f>
        <v/>
      </c>
      <c r="D96" s="149"/>
      <c r="E96" s="61" t="str">
        <f aca="false">IF(OR($C96="",名簿!$F96="転出"),"",IF($C$2="学級ごと",$A96,IF($C$2="前の単元と同じ",単元14!$E96&amp;"",$D96&amp;"")))</f>
        <v/>
      </c>
      <c r="F96" s="150"/>
      <c r="G96" s="150"/>
      <c r="H96" s="150"/>
      <c r="I96" s="151"/>
      <c r="J96" s="41" t="str">
        <f aca="false">IF($E96="","",$E96&amp;"|"&amp;COUNTIF($E$5:$E96,$E96))</f>
        <v/>
      </c>
      <c r="K96" s="40" t="str">
        <f aca="false">IF($I96="","",LEN($I96))</f>
        <v/>
      </c>
      <c r="L96" s="13"/>
      <c r="M96" s="13"/>
      <c r="N96" s="13"/>
      <c r="O96" s="13"/>
      <c r="P96" s="152"/>
      <c r="Q96" s="149"/>
      <c r="R96" s="152"/>
      <c r="S96" s="152"/>
      <c r="T96" s="62" t="str">
        <f aca="false">IF(OR($C96="",R96=""),"",IF(R96/IF($R$2="",100,$R$2)&gt;=設定!$I$28,設定!$G$8,IF(R96/IF($R$2="",100,$R$2)&lt;設定!$I$29,設定!$G$10,設定!$G$9)))</f>
        <v/>
      </c>
      <c r="U96" s="62" t="str">
        <f aca="false">IF(OR($C96="",S96=""),"",IF(S96/IF($S$2="",100,$S$2)&gt;=設定!$I$28,設定!$G$8,IF(S96/IF($S$2="",100,$S$2)&lt;設定!$I$29,設定!$G$10,設定!$G$9)))</f>
        <v/>
      </c>
    </row>
    <row r="97" customFormat="false" ht="21" hidden="false" customHeight="true" outlineLevel="0" collapsed="false">
      <c r="A97" s="91" t="str">
        <f aca="false">IF(名簿!$D97="","",名簿!$B97&amp;"")</f>
        <v/>
      </c>
      <c r="B97" s="91" t="str">
        <f aca="false">IF(名簿!$D97="","",名簿!$C97)</f>
        <v/>
      </c>
      <c r="C97" s="59" t="str">
        <f aca="false">IF(名簿!$D97="","",名簿!$D97&amp;IF(名簿!$F97="転出","（転出）",""))</f>
        <v/>
      </c>
      <c r="D97" s="149"/>
      <c r="E97" s="61" t="str">
        <f aca="false">IF(OR($C97="",名簿!$F97="転出"),"",IF($C$2="学級ごと",$A97,IF($C$2="前の単元と同じ",単元14!$E97&amp;"",$D97&amp;"")))</f>
        <v/>
      </c>
      <c r="F97" s="150"/>
      <c r="G97" s="150"/>
      <c r="H97" s="150"/>
      <c r="I97" s="151"/>
      <c r="J97" s="41" t="str">
        <f aca="false">IF($E97="","",$E97&amp;"|"&amp;COUNTIF($E$5:$E97,$E97))</f>
        <v/>
      </c>
      <c r="K97" s="40" t="str">
        <f aca="false">IF($I97="","",LEN($I97))</f>
        <v/>
      </c>
      <c r="L97" s="13"/>
      <c r="M97" s="13"/>
      <c r="N97" s="13"/>
      <c r="O97" s="13"/>
      <c r="P97" s="152"/>
      <c r="Q97" s="149"/>
      <c r="R97" s="152"/>
      <c r="S97" s="152"/>
      <c r="T97" s="62" t="str">
        <f aca="false">IF(OR($C97="",R97=""),"",IF(R97/IF($R$2="",100,$R$2)&gt;=設定!$I$28,設定!$G$8,IF(R97/IF($R$2="",100,$R$2)&lt;設定!$I$29,設定!$G$10,設定!$G$9)))</f>
        <v/>
      </c>
      <c r="U97" s="62" t="str">
        <f aca="false">IF(OR($C97="",S97=""),"",IF(S97/IF($S$2="",100,$S$2)&gt;=設定!$I$28,設定!$G$8,IF(S97/IF($S$2="",100,$S$2)&lt;設定!$I$29,設定!$G$10,設定!$G$9)))</f>
        <v/>
      </c>
    </row>
    <row r="98" customFormat="false" ht="21" hidden="false" customHeight="true" outlineLevel="0" collapsed="false">
      <c r="A98" s="91" t="str">
        <f aca="false">IF(名簿!$D98="","",名簿!$B98&amp;"")</f>
        <v/>
      </c>
      <c r="B98" s="91" t="str">
        <f aca="false">IF(名簿!$D98="","",名簿!$C98)</f>
        <v/>
      </c>
      <c r="C98" s="59" t="str">
        <f aca="false">IF(名簿!$D98="","",名簿!$D98&amp;IF(名簿!$F98="転出","（転出）",""))</f>
        <v/>
      </c>
      <c r="D98" s="149"/>
      <c r="E98" s="61" t="str">
        <f aca="false">IF(OR($C98="",名簿!$F98="転出"),"",IF($C$2="学級ごと",$A98,IF($C$2="前の単元と同じ",単元14!$E98&amp;"",$D98&amp;"")))</f>
        <v/>
      </c>
      <c r="F98" s="150"/>
      <c r="G98" s="150"/>
      <c r="H98" s="150"/>
      <c r="I98" s="151"/>
      <c r="J98" s="41" t="str">
        <f aca="false">IF($E98="","",$E98&amp;"|"&amp;COUNTIF($E$5:$E98,$E98))</f>
        <v/>
      </c>
      <c r="K98" s="40" t="str">
        <f aca="false">IF($I98="","",LEN($I98))</f>
        <v/>
      </c>
      <c r="L98" s="13"/>
      <c r="M98" s="13"/>
      <c r="N98" s="13"/>
      <c r="O98" s="13"/>
      <c r="P98" s="152"/>
      <c r="Q98" s="149"/>
      <c r="R98" s="152"/>
      <c r="S98" s="152"/>
      <c r="T98" s="62" t="str">
        <f aca="false">IF(OR($C98="",R98=""),"",IF(R98/IF($R$2="",100,$R$2)&gt;=設定!$I$28,設定!$G$8,IF(R98/IF($R$2="",100,$R$2)&lt;設定!$I$29,設定!$G$10,設定!$G$9)))</f>
        <v/>
      </c>
      <c r="U98" s="62" t="str">
        <f aca="false">IF(OR($C98="",S98=""),"",IF(S98/IF($S$2="",100,$S$2)&gt;=設定!$I$28,設定!$G$8,IF(S98/IF($S$2="",100,$S$2)&lt;設定!$I$29,設定!$G$10,設定!$G$9)))</f>
        <v/>
      </c>
    </row>
    <row r="99" customFormat="false" ht="21" hidden="false" customHeight="true" outlineLevel="0" collapsed="false">
      <c r="A99" s="91" t="str">
        <f aca="false">IF(名簿!$D99="","",名簿!$B99&amp;"")</f>
        <v/>
      </c>
      <c r="B99" s="91" t="str">
        <f aca="false">IF(名簿!$D99="","",名簿!$C99)</f>
        <v/>
      </c>
      <c r="C99" s="59" t="str">
        <f aca="false">IF(名簿!$D99="","",名簿!$D99&amp;IF(名簿!$F99="転出","（転出）",""))</f>
        <v/>
      </c>
      <c r="D99" s="149"/>
      <c r="E99" s="61" t="str">
        <f aca="false">IF(OR($C99="",名簿!$F99="転出"),"",IF($C$2="学級ごと",$A99,IF($C$2="前の単元と同じ",単元14!$E99&amp;"",$D99&amp;"")))</f>
        <v/>
      </c>
      <c r="F99" s="150"/>
      <c r="G99" s="150"/>
      <c r="H99" s="150"/>
      <c r="I99" s="151"/>
      <c r="J99" s="41" t="str">
        <f aca="false">IF($E99="","",$E99&amp;"|"&amp;COUNTIF($E$5:$E99,$E99))</f>
        <v/>
      </c>
      <c r="K99" s="40" t="str">
        <f aca="false">IF($I99="","",LEN($I99))</f>
        <v/>
      </c>
      <c r="L99" s="13"/>
      <c r="M99" s="13"/>
      <c r="N99" s="13"/>
      <c r="O99" s="13"/>
      <c r="P99" s="152"/>
      <c r="Q99" s="149"/>
      <c r="R99" s="152"/>
      <c r="S99" s="152"/>
      <c r="T99" s="62" t="str">
        <f aca="false">IF(OR($C99="",R99=""),"",IF(R99/IF($R$2="",100,$R$2)&gt;=設定!$I$28,設定!$G$8,IF(R99/IF($R$2="",100,$R$2)&lt;設定!$I$29,設定!$G$10,設定!$G$9)))</f>
        <v/>
      </c>
      <c r="U99" s="62" t="str">
        <f aca="false">IF(OR($C99="",S99=""),"",IF(S99/IF($S$2="",100,$S$2)&gt;=設定!$I$28,設定!$G$8,IF(S99/IF($S$2="",100,$S$2)&lt;設定!$I$29,設定!$G$10,設定!$G$9)))</f>
        <v/>
      </c>
    </row>
    <row r="100" customFormat="false" ht="21" hidden="false" customHeight="true" outlineLevel="0" collapsed="false">
      <c r="A100" s="91" t="str">
        <f aca="false">IF(名簿!$D100="","",名簿!$B100&amp;"")</f>
        <v/>
      </c>
      <c r="B100" s="91" t="str">
        <f aca="false">IF(名簿!$D100="","",名簿!$C100)</f>
        <v/>
      </c>
      <c r="C100" s="59" t="str">
        <f aca="false">IF(名簿!$D100="","",名簿!$D100&amp;IF(名簿!$F100="転出","（転出）",""))</f>
        <v/>
      </c>
      <c r="D100" s="149"/>
      <c r="E100" s="61" t="str">
        <f aca="false">IF(OR($C100="",名簿!$F100="転出"),"",IF($C$2="学級ごと",$A100,IF($C$2="前の単元と同じ",単元14!$E100&amp;"",$D100&amp;"")))</f>
        <v/>
      </c>
      <c r="F100" s="150"/>
      <c r="G100" s="150"/>
      <c r="H100" s="150"/>
      <c r="I100" s="151"/>
      <c r="J100" s="41" t="str">
        <f aca="false">IF($E100="","",$E100&amp;"|"&amp;COUNTIF($E$5:$E100,$E100))</f>
        <v/>
      </c>
      <c r="K100" s="40" t="str">
        <f aca="false">IF($I100="","",LEN($I100))</f>
        <v/>
      </c>
      <c r="L100" s="13"/>
      <c r="M100" s="13"/>
      <c r="N100" s="13"/>
      <c r="O100" s="13"/>
      <c r="P100" s="152"/>
      <c r="Q100" s="149"/>
      <c r="R100" s="152"/>
      <c r="S100" s="152"/>
      <c r="T100" s="62" t="str">
        <f aca="false">IF(OR($C100="",R100=""),"",IF(R100/IF($R$2="",100,$R$2)&gt;=設定!$I$28,設定!$G$8,IF(R100/IF($R$2="",100,$R$2)&lt;設定!$I$29,設定!$G$10,設定!$G$9)))</f>
        <v/>
      </c>
      <c r="U100" s="62" t="str">
        <f aca="false">IF(OR($C100="",S100=""),"",IF(S100/IF($S$2="",100,$S$2)&gt;=設定!$I$28,設定!$G$8,IF(S100/IF($S$2="",100,$S$2)&lt;設定!$I$29,設定!$G$10,設定!$G$9)))</f>
        <v/>
      </c>
    </row>
    <row r="101" customFormat="false" ht="21" hidden="false" customHeight="true" outlineLevel="0" collapsed="false">
      <c r="A101" s="91" t="str">
        <f aca="false">IF(名簿!$D101="","",名簿!$B101&amp;"")</f>
        <v/>
      </c>
      <c r="B101" s="91" t="str">
        <f aca="false">IF(名簿!$D101="","",名簿!$C101)</f>
        <v/>
      </c>
      <c r="C101" s="59" t="str">
        <f aca="false">IF(名簿!$D101="","",名簿!$D101&amp;IF(名簿!$F101="転出","（転出）",""))</f>
        <v/>
      </c>
      <c r="D101" s="149"/>
      <c r="E101" s="61" t="str">
        <f aca="false">IF(OR($C101="",名簿!$F101="転出"),"",IF($C$2="学級ごと",$A101,IF($C$2="前の単元と同じ",単元14!$E101&amp;"",$D101&amp;"")))</f>
        <v/>
      </c>
      <c r="F101" s="150"/>
      <c r="G101" s="150"/>
      <c r="H101" s="150"/>
      <c r="I101" s="151"/>
      <c r="J101" s="41" t="str">
        <f aca="false">IF($E101="","",$E101&amp;"|"&amp;COUNTIF($E$5:$E101,$E101))</f>
        <v/>
      </c>
      <c r="K101" s="40" t="str">
        <f aca="false">IF($I101="","",LEN($I101))</f>
        <v/>
      </c>
      <c r="L101" s="13"/>
      <c r="M101" s="13"/>
      <c r="N101" s="13"/>
      <c r="O101" s="13"/>
      <c r="P101" s="152"/>
      <c r="Q101" s="149"/>
      <c r="R101" s="152"/>
      <c r="S101" s="152"/>
      <c r="T101" s="62" t="str">
        <f aca="false">IF(OR($C101="",R101=""),"",IF(R101/IF($R$2="",100,$R$2)&gt;=設定!$I$28,設定!$G$8,IF(R101/IF($R$2="",100,$R$2)&lt;設定!$I$29,設定!$G$10,設定!$G$9)))</f>
        <v/>
      </c>
      <c r="U101" s="62" t="str">
        <f aca="false">IF(OR($C101="",S101=""),"",IF(S101/IF($S$2="",100,$S$2)&gt;=設定!$I$28,設定!$G$8,IF(S101/IF($S$2="",100,$S$2)&lt;設定!$I$29,設定!$G$10,設定!$G$9)))</f>
        <v/>
      </c>
    </row>
    <row r="102" customFormat="false" ht="21" hidden="false" customHeight="true" outlineLevel="0" collapsed="false">
      <c r="A102" s="91" t="str">
        <f aca="false">IF(名簿!$D102="","",名簿!$B102&amp;"")</f>
        <v/>
      </c>
      <c r="B102" s="91" t="str">
        <f aca="false">IF(名簿!$D102="","",名簿!$C102)</f>
        <v/>
      </c>
      <c r="C102" s="59" t="str">
        <f aca="false">IF(名簿!$D102="","",名簿!$D102&amp;IF(名簿!$F102="転出","（転出）",""))</f>
        <v/>
      </c>
      <c r="D102" s="149"/>
      <c r="E102" s="61" t="str">
        <f aca="false">IF(OR($C102="",名簿!$F102="転出"),"",IF($C$2="学級ごと",$A102,IF($C$2="前の単元と同じ",単元14!$E102&amp;"",$D102&amp;"")))</f>
        <v/>
      </c>
      <c r="F102" s="150"/>
      <c r="G102" s="150"/>
      <c r="H102" s="150"/>
      <c r="I102" s="151"/>
      <c r="J102" s="41" t="str">
        <f aca="false">IF($E102="","",$E102&amp;"|"&amp;COUNTIF($E$5:$E102,$E102))</f>
        <v/>
      </c>
      <c r="K102" s="40" t="str">
        <f aca="false">IF($I102="","",LEN($I102))</f>
        <v/>
      </c>
      <c r="L102" s="13"/>
      <c r="M102" s="13"/>
      <c r="N102" s="13"/>
      <c r="O102" s="13"/>
      <c r="P102" s="152"/>
      <c r="Q102" s="149"/>
      <c r="R102" s="152"/>
      <c r="S102" s="152"/>
      <c r="T102" s="62" t="str">
        <f aca="false">IF(OR($C102="",R102=""),"",IF(R102/IF($R$2="",100,$R$2)&gt;=設定!$I$28,設定!$G$8,IF(R102/IF($R$2="",100,$R$2)&lt;設定!$I$29,設定!$G$10,設定!$G$9)))</f>
        <v/>
      </c>
      <c r="U102" s="62" t="str">
        <f aca="false">IF(OR($C102="",S102=""),"",IF(S102/IF($S$2="",100,$S$2)&gt;=設定!$I$28,設定!$G$8,IF(S102/IF($S$2="",100,$S$2)&lt;設定!$I$29,設定!$G$10,設定!$G$9)))</f>
        <v/>
      </c>
    </row>
    <row r="103" customFormat="false" ht="21" hidden="false" customHeight="true" outlineLevel="0" collapsed="false">
      <c r="A103" s="91" t="str">
        <f aca="false">IF(名簿!$D103="","",名簿!$B103&amp;"")</f>
        <v/>
      </c>
      <c r="B103" s="91" t="str">
        <f aca="false">IF(名簿!$D103="","",名簿!$C103)</f>
        <v/>
      </c>
      <c r="C103" s="59" t="str">
        <f aca="false">IF(名簿!$D103="","",名簿!$D103&amp;IF(名簿!$F103="転出","（転出）",""))</f>
        <v/>
      </c>
      <c r="D103" s="149"/>
      <c r="E103" s="61" t="str">
        <f aca="false">IF(OR($C103="",名簿!$F103="転出"),"",IF($C$2="学級ごと",$A103,IF($C$2="前の単元と同じ",単元14!$E103&amp;"",$D103&amp;"")))</f>
        <v/>
      </c>
      <c r="F103" s="150"/>
      <c r="G103" s="150"/>
      <c r="H103" s="150"/>
      <c r="I103" s="151"/>
      <c r="J103" s="41" t="str">
        <f aca="false">IF($E103="","",$E103&amp;"|"&amp;COUNTIF($E$5:$E103,$E103))</f>
        <v/>
      </c>
      <c r="K103" s="40" t="str">
        <f aca="false">IF($I103="","",LEN($I103))</f>
        <v/>
      </c>
      <c r="L103" s="13"/>
      <c r="M103" s="13"/>
      <c r="N103" s="13"/>
      <c r="O103" s="13"/>
      <c r="P103" s="152"/>
      <c r="Q103" s="149"/>
      <c r="R103" s="152"/>
      <c r="S103" s="152"/>
      <c r="T103" s="62" t="str">
        <f aca="false">IF(OR($C103="",R103=""),"",IF(R103/IF($R$2="",100,$R$2)&gt;=設定!$I$28,設定!$G$8,IF(R103/IF($R$2="",100,$R$2)&lt;設定!$I$29,設定!$G$10,設定!$G$9)))</f>
        <v/>
      </c>
      <c r="U103" s="62" t="str">
        <f aca="false">IF(OR($C103="",S103=""),"",IF(S103/IF($S$2="",100,$S$2)&gt;=設定!$I$28,設定!$G$8,IF(S103/IF($S$2="",100,$S$2)&lt;設定!$I$29,設定!$G$10,設定!$G$9)))</f>
        <v/>
      </c>
    </row>
    <row r="104" customFormat="false" ht="21" hidden="false" customHeight="true" outlineLevel="0" collapsed="false">
      <c r="A104" s="91" t="str">
        <f aca="false">IF(名簿!$D104="","",名簿!$B104&amp;"")</f>
        <v/>
      </c>
      <c r="B104" s="91" t="str">
        <f aca="false">IF(名簿!$D104="","",名簿!$C104)</f>
        <v/>
      </c>
      <c r="C104" s="59" t="str">
        <f aca="false">IF(名簿!$D104="","",名簿!$D104&amp;IF(名簿!$F104="転出","（転出）",""))</f>
        <v/>
      </c>
      <c r="D104" s="149"/>
      <c r="E104" s="61" t="str">
        <f aca="false">IF(OR($C104="",名簿!$F104="転出"),"",IF($C$2="学級ごと",$A104,IF($C$2="前の単元と同じ",単元14!$E104&amp;"",$D104&amp;"")))</f>
        <v/>
      </c>
      <c r="F104" s="150"/>
      <c r="G104" s="150"/>
      <c r="H104" s="150"/>
      <c r="I104" s="151"/>
      <c r="J104" s="41" t="str">
        <f aca="false">IF($E104="","",$E104&amp;"|"&amp;COUNTIF($E$5:$E104,$E104))</f>
        <v/>
      </c>
      <c r="K104" s="40" t="str">
        <f aca="false">IF($I104="","",LEN($I104))</f>
        <v/>
      </c>
      <c r="L104" s="13"/>
      <c r="M104" s="13"/>
      <c r="N104" s="13"/>
      <c r="O104" s="13"/>
      <c r="P104" s="152"/>
      <c r="Q104" s="149"/>
      <c r="R104" s="152"/>
      <c r="S104" s="152"/>
      <c r="T104" s="62" t="str">
        <f aca="false">IF(OR($C104="",R104=""),"",IF(R104/IF($R$2="",100,$R$2)&gt;=設定!$I$28,設定!$G$8,IF(R104/IF($R$2="",100,$R$2)&lt;設定!$I$29,設定!$G$10,設定!$G$9)))</f>
        <v/>
      </c>
      <c r="U104" s="62" t="str">
        <f aca="false">IF(OR($C104="",S104=""),"",IF(S104/IF($S$2="",100,$S$2)&gt;=設定!$I$28,設定!$G$8,IF(S104/IF($S$2="",100,$S$2)&lt;設定!$I$29,設定!$G$10,設定!$G$9)))</f>
        <v/>
      </c>
    </row>
    <row r="105" customFormat="false" ht="21" hidden="false" customHeight="true" outlineLevel="0" collapsed="false">
      <c r="A105" s="91" t="str">
        <f aca="false">IF(名簿!$D105="","",名簿!$B105&amp;"")</f>
        <v/>
      </c>
      <c r="B105" s="91" t="str">
        <f aca="false">IF(名簿!$D105="","",名簿!$C105)</f>
        <v/>
      </c>
      <c r="C105" s="59" t="str">
        <f aca="false">IF(名簿!$D105="","",名簿!$D105&amp;IF(名簿!$F105="転出","（転出）",""))</f>
        <v/>
      </c>
      <c r="D105" s="149"/>
      <c r="E105" s="61" t="str">
        <f aca="false">IF(OR($C105="",名簿!$F105="転出"),"",IF($C$2="学級ごと",$A105,IF($C$2="前の単元と同じ",単元14!$E105&amp;"",$D105&amp;"")))</f>
        <v/>
      </c>
      <c r="F105" s="150"/>
      <c r="G105" s="150"/>
      <c r="H105" s="150"/>
      <c r="I105" s="151"/>
      <c r="J105" s="41" t="str">
        <f aca="false">IF($E105="","",$E105&amp;"|"&amp;COUNTIF($E$5:$E105,$E105))</f>
        <v/>
      </c>
      <c r="K105" s="40" t="str">
        <f aca="false">IF($I105="","",LEN($I105))</f>
        <v/>
      </c>
      <c r="L105" s="13"/>
      <c r="M105" s="13"/>
      <c r="N105" s="13"/>
      <c r="O105" s="13"/>
      <c r="P105" s="152"/>
      <c r="Q105" s="149"/>
      <c r="R105" s="152"/>
      <c r="S105" s="152"/>
      <c r="T105" s="62" t="str">
        <f aca="false">IF(OR($C105="",R105=""),"",IF(R105/IF($R$2="",100,$R$2)&gt;=設定!$I$28,設定!$G$8,IF(R105/IF($R$2="",100,$R$2)&lt;設定!$I$29,設定!$G$10,設定!$G$9)))</f>
        <v/>
      </c>
      <c r="U105" s="62" t="str">
        <f aca="false">IF(OR($C105="",S105=""),"",IF(S105/IF($S$2="",100,$S$2)&gt;=設定!$I$28,設定!$G$8,IF(S105/IF($S$2="",100,$S$2)&lt;設定!$I$29,設定!$G$10,設定!$G$9)))</f>
        <v/>
      </c>
    </row>
    <row r="106" customFormat="false" ht="21" hidden="false" customHeight="true" outlineLevel="0" collapsed="false">
      <c r="A106" s="91" t="str">
        <f aca="false">IF(名簿!$D106="","",名簿!$B106&amp;"")</f>
        <v/>
      </c>
      <c r="B106" s="91" t="str">
        <f aca="false">IF(名簿!$D106="","",名簿!$C106)</f>
        <v/>
      </c>
      <c r="C106" s="59" t="str">
        <f aca="false">IF(名簿!$D106="","",名簿!$D106&amp;IF(名簿!$F106="転出","（転出）",""))</f>
        <v/>
      </c>
      <c r="D106" s="149"/>
      <c r="E106" s="61" t="str">
        <f aca="false">IF(OR($C106="",名簿!$F106="転出"),"",IF($C$2="学級ごと",$A106,IF($C$2="前の単元と同じ",単元14!$E106&amp;"",$D106&amp;"")))</f>
        <v/>
      </c>
      <c r="F106" s="150"/>
      <c r="G106" s="150"/>
      <c r="H106" s="150"/>
      <c r="I106" s="151"/>
      <c r="J106" s="41" t="str">
        <f aca="false">IF($E106="","",$E106&amp;"|"&amp;COUNTIF($E$5:$E106,$E106))</f>
        <v/>
      </c>
      <c r="K106" s="40" t="str">
        <f aca="false">IF($I106="","",LEN($I106))</f>
        <v/>
      </c>
      <c r="L106" s="13"/>
      <c r="M106" s="13"/>
      <c r="N106" s="13"/>
      <c r="O106" s="13"/>
      <c r="P106" s="152"/>
      <c r="Q106" s="149"/>
      <c r="R106" s="152"/>
      <c r="S106" s="152"/>
      <c r="T106" s="62" t="str">
        <f aca="false">IF(OR($C106="",R106=""),"",IF(R106/IF($R$2="",100,$R$2)&gt;=設定!$I$28,設定!$G$8,IF(R106/IF($R$2="",100,$R$2)&lt;設定!$I$29,設定!$G$10,設定!$G$9)))</f>
        <v/>
      </c>
      <c r="U106" s="62" t="str">
        <f aca="false">IF(OR($C106="",S106=""),"",IF(S106/IF($S$2="",100,$S$2)&gt;=設定!$I$28,設定!$G$8,IF(S106/IF($S$2="",100,$S$2)&lt;設定!$I$29,設定!$G$10,設定!$G$9)))</f>
        <v/>
      </c>
    </row>
    <row r="107" customFormat="false" ht="21" hidden="false" customHeight="true" outlineLevel="0" collapsed="false">
      <c r="A107" s="91" t="str">
        <f aca="false">IF(名簿!$D107="","",名簿!$B107&amp;"")</f>
        <v/>
      </c>
      <c r="B107" s="91" t="str">
        <f aca="false">IF(名簿!$D107="","",名簿!$C107)</f>
        <v/>
      </c>
      <c r="C107" s="59" t="str">
        <f aca="false">IF(名簿!$D107="","",名簿!$D107&amp;IF(名簿!$F107="転出","（転出）",""))</f>
        <v/>
      </c>
      <c r="D107" s="149"/>
      <c r="E107" s="61" t="str">
        <f aca="false">IF(OR($C107="",名簿!$F107="転出"),"",IF($C$2="学級ごと",$A107,IF($C$2="前の単元と同じ",単元14!$E107&amp;"",$D107&amp;"")))</f>
        <v/>
      </c>
      <c r="F107" s="150"/>
      <c r="G107" s="150"/>
      <c r="H107" s="150"/>
      <c r="I107" s="151"/>
      <c r="J107" s="41" t="str">
        <f aca="false">IF($E107="","",$E107&amp;"|"&amp;COUNTIF($E$5:$E107,$E107))</f>
        <v/>
      </c>
      <c r="K107" s="40" t="str">
        <f aca="false">IF($I107="","",LEN($I107))</f>
        <v/>
      </c>
      <c r="L107" s="13"/>
      <c r="M107" s="13"/>
      <c r="N107" s="13"/>
      <c r="O107" s="13"/>
      <c r="P107" s="152"/>
      <c r="Q107" s="149"/>
      <c r="R107" s="152"/>
      <c r="S107" s="152"/>
      <c r="T107" s="62" t="str">
        <f aca="false">IF(OR($C107="",R107=""),"",IF(R107/IF($R$2="",100,$R$2)&gt;=設定!$I$28,設定!$G$8,IF(R107/IF($R$2="",100,$R$2)&lt;設定!$I$29,設定!$G$10,設定!$G$9)))</f>
        <v/>
      </c>
      <c r="U107" s="62" t="str">
        <f aca="false">IF(OR($C107="",S107=""),"",IF(S107/IF($S$2="",100,$S$2)&gt;=設定!$I$28,設定!$G$8,IF(S107/IF($S$2="",100,$S$2)&lt;設定!$I$29,設定!$G$10,設定!$G$9)))</f>
        <v/>
      </c>
    </row>
    <row r="108" customFormat="false" ht="21" hidden="false" customHeight="true" outlineLevel="0" collapsed="false">
      <c r="A108" s="91" t="str">
        <f aca="false">IF(名簿!$D108="","",名簿!$B108&amp;"")</f>
        <v/>
      </c>
      <c r="B108" s="91" t="str">
        <f aca="false">IF(名簿!$D108="","",名簿!$C108)</f>
        <v/>
      </c>
      <c r="C108" s="59" t="str">
        <f aca="false">IF(名簿!$D108="","",名簿!$D108&amp;IF(名簿!$F108="転出","（転出）",""))</f>
        <v/>
      </c>
      <c r="D108" s="149"/>
      <c r="E108" s="61" t="str">
        <f aca="false">IF(OR($C108="",名簿!$F108="転出"),"",IF($C$2="学級ごと",$A108,IF($C$2="前の単元と同じ",単元14!$E108&amp;"",$D108&amp;"")))</f>
        <v/>
      </c>
      <c r="F108" s="150"/>
      <c r="G108" s="150"/>
      <c r="H108" s="150"/>
      <c r="I108" s="151"/>
      <c r="J108" s="41" t="str">
        <f aca="false">IF($E108="","",$E108&amp;"|"&amp;COUNTIF($E$5:$E108,$E108))</f>
        <v/>
      </c>
      <c r="K108" s="40" t="str">
        <f aca="false">IF($I108="","",LEN($I108))</f>
        <v/>
      </c>
      <c r="L108" s="13"/>
      <c r="M108" s="13"/>
      <c r="N108" s="13"/>
      <c r="O108" s="13"/>
      <c r="P108" s="152"/>
      <c r="Q108" s="149"/>
      <c r="R108" s="152"/>
      <c r="S108" s="152"/>
      <c r="T108" s="62" t="str">
        <f aca="false">IF(OR($C108="",R108=""),"",IF(R108/IF($R$2="",100,$R$2)&gt;=設定!$I$28,設定!$G$8,IF(R108/IF($R$2="",100,$R$2)&lt;設定!$I$29,設定!$G$10,設定!$G$9)))</f>
        <v/>
      </c>
      <c r="U108" s="62" t="str">
        <f aca="false">IF(OR($C108="",S108=""),"",IF(S108/IF($S$2="",100,$S$2)&gt;=設定!$I$28,設定!$G$8,IF(S108/IF($S$2="",100,$S$2)&lt;設定!$I$29,設定!$G$10,設定!$G$9)))</f>
        <v/>
      </c>
    </row>
    <row r="109" customFormat="false" ht="21" hidden="false" customHeight="true" outlineLevel="0" collapsed="false">
      <c r="A109" s="91" t="str">
        <f aca="false">IF(名簿!$D109="","",名簿!$B109&amp;"")</f>
        <v/>
      </c>
      <c r="B109" s="91" t="str">
        <f aca="false">IF(名簿!$D109="","",名簿!$C109)</f>
        <v/>
      </c>
      <c r="C109" s="59" t="str">
        <f aca="false">IF(名簿!$D109="","",名簿!$D109&amp;IF(名簿!$F109="転出","（転出）",""))</f>
        <v/>
      </c>
      <c r="D109" s="149"/>
      <c r="E109" s="61" t="str">
        <f aca="false">IF(OR($C109="",名簿!$F109="転出"),"",IF($C$2="学級ごと",$A109,IF($C$2="前の単元と同じ",単元14!$E109&amp;"",$D109&amp;"")))</f>
        <v/>
      </c>
      <c r="F109" s="150"/>
      <c r="G109" s="150"/>
      <c r="H109" s="150"/>
      <c r="I109" s="151"/>
      <c r="J109" s="41" t="str">
        <f aca="false">IF($E109="","",$E109&amp;"|"&amp;COUNTIF($E$5:$E109,$E109))</f>
        <v/>
      </c>
      <c r="K109" s="40" t="str">
        <f aca="false">IF($I109="","",LEN($I109))</f>
        <v/>
      </c>
      <c r="L109" s="13"/>
      <c r="M109" s="13"/>
      <c r="N109" s="13"/>
      <c r="O109" s="13"/>
      <c r="P109" s="152"/>
      <c r="Q109" s="149"/>
      <c r="R109" s="152"/>
      <c r="S109" s="152"/>
      <c r="T109" s="62" t="str">
        <f aca="false">IF(OR($C109="",R109=""),"",IF(R109/IF($R$2="",100,$R$2)&gt;=設定!$I$28,設定!$G$8,IF(R109/IF($R$2="",100,$R$2)&lt;設定!$I$29,設定!$G$10,設定!$G$9)))</f>
        <v/>
      </c>
      <c r="U109" s="62" t="str">
        <f aca="false">IF(OR($C109="",S109=""),"",IF(S109/IF($S$2="",100,$S$2)&gt;=設定!$I$28,設定!$G$8,IF(S109/IF($S$2="",100,$S$2)&lt;設定!$I$29,設定!$G$10,設定!$G$9)))</f>
        <v/>
      </c>
    </row>
    <row r="110" customFormat="false" ht="21" hidden="false" customHeight="true" outlineLevel="0" collapsed="false">
      <c r="A110" s="91" t="str">
        <f aca="false">IF(名簿!$D110="","",名簿!$B110&amp;"")</f>
        <v/>
      </c>
      <c r="B110" s="91" t="str">
        <f aca="false">IF(名簿!$D110="","",名簿!$C110)</f>
        <v/>
      </c>
      <c r="C110" s="59" t="str">
        <f aca="false">IF(名簿!$D110="","",名簿!$D110&amp;IF(名簿!$F110="転出","（転出）",""))</f>
        <v/>
      </c>
      <c r="D110" s="149"/>
      <c r="E110" s="61" t="str">
        <f aca="false">IF(OR($C110="",名簿!$F110="転出"),"",IF($C$2="学級ごと",$A110,IF($C$2="前の単元と同じ",単元14!$E110&amp;"",$D110&amp;"")))</f>
        <v/>
      </c>
      <c r="F110" s="150"/>
      <c r="G110" s="150"/>
      <c r="H110" s="150"/>
      <c r="I110" s="151"/>
      <c r="J110" s="41" t="str">
        <f aca="false">IF($E110="","",$E110&amp;"|"&amp;COUNTIF($E$5:$E110,$E110))</f>
        <v/>
      </c>
      <c r="K110" s="40" t="str">
        <f aca="false">IF($I110="","",LEN($I110))</f>
        <v/>
      </c>
      <c r="L110" s="13"/>
      <c r="M110" s="13"/>
      <c r="N110" s="13"/>
      <c r="O110" s="13"/>
      <c r="P110" s="152"/>
      <c r="Q110" s="149"/>
      <c r="R110" s="152"/>
      <c r="S110" s="152"/>
      <c r="T110" s="62" t="str">
        <f aca="false">IF(OR($C110="",R110=""),"",IF(R110/IF($R$2="",100,$R$2)&gt;=設定!$I$28,設定!$G$8,IF(R110/IF($R$2="",100,$R$2)&lt;設定!$I$29,設定!$G$10,設定!$G$9)))</f>
        <v/>
      </c>
      <c r="U110" s="62" t="str">
        <f aca="false">IF(OR($C110="",S110=""),"",IF(S110/IF($S$2="",100,$S$2)&gt;=設定!$I$28,設定!$G$8,IF(S110/IF($S$2="",100,$S$2)&lt;設定!$I$29,設定!$G$10,設定!$G$9)))</f>
        <v/>
      </c>
    </row>
    <row r="111" customFormat="false" ht="21" hidden="false" customHeight="true" outlineLevel="0" collapsed="false">
      <c r="A111" s="91" t="str">
        <f aca="false">IF(名簿!$D111="","",名簿!$B111&amp;"")</f>
        <v/>
      </c>
      <c r="B111" s="91" t="str">
        <f aca="false">IF(名簿!$D111="","",名簿!$C111)</f>
        <v/>
      </c>
      <c r="C111" s="59" t="str">
        <f aca="false">IF(名簿!$D111="","",名簿!$D111&amp;IF(名簿!$F111="転出","（転出）",""))</f>
        <v/>
      </c>
      <c r="D111" s="149"/>
      <c r="E111" s="61" t="str">
        <f aca="false">IF(OR($C111="",名簿!$F111="転出"),"",IF($C$2="学級ごと",$A111,IF($C$2="前の単元と同じ",単元14!$E111&amp;"",$D111&amp;"")))</f>
        <v/>
      </c>
      <c r="F111" s="150"/>
      <c r="G111" s="150"/>
      <c r="H111" s="150"/>
      <c r="I111" s="151"/>
      <c r="J111" s="41" t="str">
        <f aca="false">IF($E111="","",$E111&amp;"|"&amp;COUNTIF($E$5:$E111,$E111))</f>
        <v/>
      </c>
      <c r="K111" s="40" t="str">
        <f aca="false">IF($I111="","",LEN($I111))</f>
        <v/>
      </c>
      <c r="L111" s="13"/>
      <c r="M111" s="13"/>
      <c r="N111" s="13"/>
      <c r="O111" s="13"/>
      <c r="P111" s="152"/>
      <c r="Q111" s="149"/>
      <c r="R111" s="152"/>
      <c r="S111" s="152"/>
      <c r="T111" s="62" t="str">
        <f aca="false">IF(OR($C111="",R111=""),"",IF(R111/IF($R$2="",100,$R$2)&gt;=設定!$I$28,設定!$G$8,IF(R111/IF($R$2="",100,$R$2)&lt;設定!$I$29,設定!$G$10,設定!$G$9)))</f>
        <v/>
      </c>
      <c r="U111" s="62" t="str">
        <f aca="false">IF(OR($C111="",S111=""),"",IF(S111/IF($S$2="",100,$S$2)&gt;=設定!$I$28,設定!$G$8,IF(S111/IF($S$2="",100,$S$2)&lt;設定!$I$29,設定!$G$10,設定!$G$9)))</f>
        <v/>
      </c>
    </row>
    <row r="112" customFormat="false" ht="21" hidden="false" customHeight="true" outlineLevel="0" collapsed="false">
      <c r="A112" s="91" t="str">
        <f aca="false">IF(名簿!$D112="","",名簿!$B112&amp;"")</f>
        <v/>
      </c>
      <c r="B112" s="91" t="str">
        <f aca="false">IF(名簿!$D112="","",名簿!$C112)</f>
        <v/>
      </c>
      <c r="C112" s="59" t="str">
        <f aca="false">IF(名簿!$D112="","",名簿!$D112&amp;IF(名簿!$F112="転出","（転出）",""))</f>
        <v/>
      </c>
      <c r="D112" s="149"/>
      <c r="E112" s="61" t="str">
        <f aca="false">IF(OR($C112="",名簿!$F112="転出"),"",IF($C$2="学級ごと",$A112,IF($C$2="前の単元と同じ",単元14!$E112&amp;"",$D112&amp;"")))</f>
        <v/>
      </c>
      <c r="F112" s="150"/>
      <c r="G112" s="150"/>
      <c r="H112" s="150"/>
      <c r="I112" s="151"/>
      <c r="J112" s="41" t="str">
        <f aca="false">IF($E112="","",$E112&amp;"|"&amp;COUNTIF($E$5:$E112,$E112))</f>
        <v/>
      </c>
      <c r="K112" s="40" t="str">
        <f aca="false">IF($I112="","",LEN($I112))</f>
        <v/>
      </c>
      <c r="L112" s="13"/>
      <c r="M112" s="13"/>
      <c r="N112" s="13"/>
      <c r="O112" s="13"/>
      <c r="P112" s="152"/>
      <c r="Q112" s="149"/>
      <c r="R112" s="152"/>
      <c r="S112" s="152"/>
      <c r="T112" s="62" t="str">
        <f aca="false">IF(OR($C112="",R112=""),"",IF(R112/IF($R$2="",100,$R$2)&gt;=設定!$I$28,設定!$G$8,IF(R112/IF($R$2="",100,$R$2)&lt;設定!$I$29,設定!$G$10,設定!$G$9)))</f>
        <v/>
      </c>
      <c r="U112" s="62" t="str">
        <f aca="false">IF(OR($C112="",S112=""),"",IF(S112/IF($S$2="",100,$S$2)&gt;=設定!$I$28,設定!$G$8,IF(S112/IF($S$2="",100,$S$2)&lt;設定!$I$29,設定!$G$10,設定!$G$9)))</f>
        <v/>
      </c>
    </row>
    <row r="113" customFormat="false" ht="21" hidden="false" customHeight="true" outlineLevel="0" collapsed="false">
      <c r="A113" s="91" t="str">
        <f aca="false">IF(名簿!$D113="","",名簿!$B113&amp;"")</f>
        <v/>
      </c>
      <c r="B113" s="91" t="str">
        <f aca="false">IF(名簿!$D113="","",名簿!$C113)</f>
        <v/>
      </c>
      <c r="C113" s="59" t="str">
        <f aca="false">IF(名簿!$D113="","",名簿!$D113&amp;IF(名簿!$F113="転出","（転出）",""))</f>
        <v/>
      </c>
      <c r="D113" s="149"/>
      <c r="E113" s="61" t="str">
        <f aca="false">IF(OR($C113="",名簿!$F113="転出"),"",IF($C$2="学級ごと",$A113,IF($C$2="前の単元と同じ",単元14!$E113&amp;"",$D113&amp;"")))</f>
        <v/>
      </c>
      <c r="F113" s="150"/>
      <c r="G113" s="150"/>
      <c r="H113" s="150"/>
      <c r="I113" s="151"/>
      <c r="J113" s="41" t="str">
        <f aca="false">IF($E113="","",$E113&amp;"|"&amp;COUNTIF($E$5:$E113,$E113))</f>
        <v/>
      </c>
      <c r="K113" s="40" t="str">
        <f aca="false">IF($I113="","",LEN($I113))</f>
        <v/>
      </c>
      <c r="L113" s="13"/>
      <c r="M113" s="13"/>
      <c r="N113" s="13"/>
      <c r="O113" s="13"/>
      <c r="P113" s="152"/>
      <c r="Q113" s="149"/>
      <c r="R113" s="152"/>
      <c r="S113" s="152"/>
      <c r="T113" s="62" t="str">
        <f aca="false">IF(OR($C113="",R113=""),"",IF(R113/IF($R$2="",100,$R$2)&gt;=設定!$I$28,設定!$G$8,IF(R113/IF($R$2="",100,$R$2)&lt;設定!$I$29,設定!$G$10,設定!$G$9)))</f>
        <v/>
      </c>
      <c r="U113" s="62" t="str">
        <f aca="false">IF(OR($C113="",S113=""),"",IF(S113/IF($S$2="",100,$S$2)&gt;=設定!$I$28,設定!$G$8,IF(S113/IF($S$2="",100,$S$2)&lt;設定!$I$29,設定!$G$10,設定!$G$9)))</f>
        <v/>
      </c>
    </row>
    <row r="114" customFormat="false" ht="21" hidden="false" customHeight="true" outlineLevel="0" collapsed="false">
      <c r="A114" s="91" t="str">
        <f aca="false">IF(名簿!$D114="","",名簿!$B114&amp;"")</f>
        <v/>
      </c>
      <c r="B114" s="91" t="str">
        <f aca="false">IF(名簿!$D114="","",名簿!$C114)</f>
        <v/>
      </c>
      <c r="C114" s="59" t="str">
        <f aca="false">IF(名簿!$D114="","",名簿!$D114&amp;IF(名簿!$F114="転出","（転出）",""))</f>
        <v/>
      </c>
      <c r="D114" s="149"/>
      <c r="E114" s="61" t="str">
        <f aca="false">IF(OR($C114="",名簿!$F114="転出"),"",IF($C$2="学級ごと",$A114,IF($C$2="前の単元と同じ",単元14!$E114&amp;"",$D114&amp;"")))</f>
        <v/>
      </c>
      <c r="F114" s="150"/>
      <c r="G114" s="150"/>
      <c r="H114" s="150"/>
      <c r="I114" s="151"/>
      <c r="J114" s="41" t="str">
        <f aca="false">IF($E114="","",$E114&amp;"|"&amp;COUNTIF($E$5:$E114,$E114))</f>
        <v/>
      </c>
      <c r="K114" s="40" t="str">
        <f aca="false">IF($I114="","",LEN($I114))</f>
        <v/>
      </c>
      <c r="L114" s="13"/>
      <c r="M114" s="13"/>
      <c r="N114" s="13"/>
      <c r="O114" s="13"/>
      <c r="P114" s="152"/>
      <c r="Q114" s="149"/>
      <c r="R114" s="152"/>
      <c r="S114" s="152"/>
      <c r="T114" s="62" t="str">
        <f aca="false">IF(OR($C114="",R114=""),"",IF(R114/IF($R$2="",100,$R$2)&gt;=設定!$I$28,設定!$G$8,IF(R114/IF($R$2="",100,$R$2)&lt;設定!$I$29,設定!$G$10,設定!$G$9)))</f>
        <v/>
      </c>
      <c r="U114" s="62" t="str">
        <f aca="false">IF(OR($C114="",S114=""),"",IF(S114/IF($S$2="",100,$S$2)&gt;=設定!$I$28,設定!$G$8,IF(S114/IF($S$2="",100,$S$2)&lt;設定!$I$29,設定!$G$10,設定!$G$9)))</f>
        <v/>
      </c>
    </row>
    <row r="115" customFormat="false" ht="21" hidden="false" customHeight="true" outlineLevel="0" collapsed="false">
      <c r="A115" s="91" t="str">
        <f aca="false">IF(名簿!$D115="","",名簿!$B115&amp;"")</f>
        <v/>
      </c>
      <c r="B115" s="91" t="str">
        <f aca="false">IF(名簿!$D115="","",名簿!$C115)</f>
        <v/>
      </c>
      <c r="C115" s="59" t="str">
        <f aca="false">IF(名簿!$D115="","",名簿!$D115&amp;IF(名簿!$F115="転出","（転出）",""))</f>
        <v/>
      </c>
      <c r="D115" s="149"/>
      <c r="E115" s="61" t="str">
        <f aca="false">IF(OR($C115="",名簿!$F115="転出"),"",IF($C$2="学級ごと",$A115,IF($C$2="前の単元と同じ",単元14!$E115&amp;"",$D115&amp;"")))</f>
        <v/>
      </c>
      <c r="F115" s="150"/>
      <c r="G115" s="150"/>
      <c r="H115" s="150"/>
      <c r="I115" s="151"/>
      <c r="J115" s="41" t="str">
        <f aca="false">IF($E115="","",$E115&amp;"|"&amp;COUNTIF($E$5:$E115,$E115))</f>
        <v/>
      </c>
      <c r="K115" s="40" t="str">
        <f aca="false">IF($I115="","",LEN($I115))</f>
        <v/>
      </c>
      <c r="L115" s="13"/>
      <c r="M115" s="13"/>
      <c r="N115" s="13"/>
      <c r="O115" s="13"/>
      <c r="P115" s="152"/>
      <c r="Q115" s="149"/>
      <c r="R115" s="152"/>
      <c r="S115" s="152"/>
      <c r="T115" s="62" t="str">
        <f aca="false">IF(OR($C115="",R115=""),"",IF(R115/IF($R$2="",100,$R$2)&gt;=設定!$I$28,設定!$G$8,IF(R115/IF($R$2="",100,$R$2)&lt;設定!$I$29,設定!$G$10,設定!$G$9)))</f>
        <v/>
      </c>
      <c r="U115" s="62" t="str">
        <f aca="false">IF(OR($C115="",S115=""),"",IF(S115/IF($S$2="",100,$S$2)&gt;=設定!$I$28,設定!$G$8,IF(S115/IF($S$2="",100,$S$2)&lt;設定!$I$29,設定!$G$10,設定!$G$9)))</f>
        <v/>
      </c>
    </row>
    <row r="116" customFormat="false" ht="21" hidden="false" customHeight="true" outlineLevel="0" collapsed="false">
      <c r="A116" s="91" t="str">
        <f aca="false">IF(名簿!$D116="","",名簿!$B116&amp;"")</f>
        <v/>
      </c>
      <c r="B116" s="91" t="str">
        <f aca="false">IF(名簿!$D116="","",名簿!$C116)</f>
        <v/>
      </c>
      <c r="C116" s="59" t="str">
        <f aca="false">IF(名簿!$D116="","",名簿!$D116&amp;IF(名簿!$F116="転出","（転出）",""))</f>
        <v/>
      </c>
      <c r="D116" s="149"/>
      <c r="E116" s="61" t="str">
        <f aca="false">IF(OR($C116="",名簿!$F116="転出"),"",IF($C$2="学級ごと",$A116,IF($C$2="前の単元と同じ",単元14!$E116&amp;"",$D116&amp;"")))</f>
        <v/>
      </c>
      <c r="F116" s="150"/>
      <c r="G116" s="150"/>
      <c r="H116" s="150"/>
      <c r="I116" s="151"/>
      <c r="J116" s="41" t="str">
        <f aca="false">IF($E116="","",$E116&amp;"|"&amp;COUNTIF($E$5:$E116,$E116))</f>
        <v/>
      </c>
      <c r="K116" s="40" t="str">
        <f aca="false">IF($I116="","",LEN($I116))</f>
        <v/>
      </c>
      <c r="L116" s="13"/>
      <c r="M116" s="13"/>
      <c r="N116" s="13"/>
      <c r="O116" s="13"/>
      <c r="P116" s="152"/>
      <c r="Q116" s="149"/>
      <c r="R116" s="152"/>
      <c r="S116" s="152"/>
      <c r="T116" s="62" t="str">
        <f aca="false">IF(OR($C116="",R116=""),"",IF(R116/IF($R$2="",100,$R$2)&gt;=設定!$I$28,設定!$G$8,IF(R116/IF($R$2="",100,$R$2)&lt;設定!$I$29,設定!$G$10,設定!$G$9)))</f>
        <v/>
      </c>
      <c r="U116" s="62" t="str">
        <f aca="false">IF(OR($C116="",S116=""),"",IF(S116/IF($S$2="",100,$S$2)&gt;=設定!$I$28,設定!$G$8,IF(S116/IF($S$2="",100,$S$2)&lt;設定!$I$29,設定!$G$10,設定!$G$9)))</f>
        <v/>
      </c>
    </row>
    <row r="117" customFormat="false" ht="21" hidden="false" customHeight="true" outlineLevel="0" collapsed="false">
      <c r="A117" s="91" t="str">
        <f aca="false">IF(名簿!$D117="","",名簿!$B117&amp;"")</f>
        <v/>
      </c>
      <c r="B117" s="91" t="str">
        <f aca="false">IF(名簿!$D117="","",名簿!$C117)</f>
        <v/>
      </c>
      <c r="C117" s="59" t="str">
        <f aca="false">IF(名簿!$D117="","",名簿!$D117&amp;IF(名簿!$F117="転出","（転出）",""))</f>
        <v/>
      </c>
      <c r="D117" s="149"/>
      <c r="E117" s="61" t="str">
        <f aca="false">IF(OR($C117="",名簿!$F117="転出"),"",IF($C$2="学級ごと",$A117,IF($C$2="前の単元と同じ",単元14!$E117&amp;"",$D117&amp;"")))</f>
        <v/>
      </c>
      <c r="F117" s="150"/>
      <c r="G117" s="150"/>
      <c r="H117" s="150"/>
      <c r="I117" s="151"/>
      <c r="J117" s="41" t="str">
        <f aca="false">IF($E117="","",$E117&amp;"|"&amp;COUNTIF($E$5:$E117,$E117))</f>
        <v/>
      </c>
      <c r="K117" s="40" t="str">
        <f aca="false">IF($I117="","",LEN($I117))</f>
        <v/>
      </c>
      <c r="L117" s="13"/>
      <c r="M117" s="13"/>
      <c r="N117" s="13"/>
      <c r="O117" s="13"/>
      <c r="P117" s="152"/>
      <c r="Q117" s="149"/>
      <c r="R117" s="152"/>
      <c r="S117" s="152"/>
      <c r="T117" s="62" t="str">
        <f aca="false">IF(OR($C117="",R117=""),"",IF(R117/IF($R$2="",100,$R$2)&gt;=設定!$I$28,設定!$G$8,IF(R117/IF($R$2="",100,$R$2)&lt;設定!$I$29,設定!$G$10,設定!$G$9)))</f>
        <v/>
      </c>
      <c r="U117" s="62" t="str">
        <f aca="false">IF(OR($C117="",S117=""),"",IF(S117/IF($S$2="",100,$S$2)&gt;=設定!$I$28,設定!$G$8,IF(S117/IF($S$2="",100,$S$2)&lt;設定!$I$29,設定!$G$10,設定!$G$9)))</f>
        <v/>
      </c>
    </row>
    <row r="118" customFormat="false" ht="21" hidden="false" customHeight="true" outlineLevel="0" collapsed="false">
      <c r="A118" s="91" t="str">
        <f aca="false">IF(名簿!$D118="","",名簿!$B118&amp;"")</f>
        <v/>
      </c>
      <c r="B118" s="91" t="str">
        <f aca="false">IF(名簿!$D118="","",名簿!$C118)</f>
        <v/>
      </c>
      <c r="C118" s="59" t="str">
        <f aca="false">IF(名簿!$D118="","",名簿!$D118&amp;IF(名簿!$F118="転出","（転出）",""))</f>
        <v/>
      </c>
      <c r="D118" s="149"/>
      <c r="E118" s="61" t="str">
        <f aca="false">IF(OR($C118="",名簿!$F118="転出"),"",IF($C$2="学級ごと",$A118,IF($C$2="前の単元と同じ",単元14!$E118&amp;"",$D118&amp;"")))</f>
        <v/>
      </c>
      <c r="F118" s="150"/>
      <c r="G118" s="150"/>
      <c r="H118" s="150"/>
      <c r="I118" s="151"/>
      <c r="J118" s="41" t="str">
        <f aca="false">IF($E118="","",$E118&amp;"|"&amp;COUNTIF($E$5:$E118,$E118))</f>
        <v/>
      </c>
      <c r="K118" s="40" t="str">
        <f aca="false">IF($I118="","",LEN($I118))</f>
        <v/>
      </c>
      <c r="L118" s="13"/>
      <c r="M118" s="13"/>
      <c r="N118" s="13"/>
      <c r="O118" s="13"/>
      <c r="P118" s="152"/>
      <c r="Q118" s="149"/>
      <c r="R118" s="152"/>
      <c r="S118" s="152"/>
      <c r="T118" s="62" t="str">
        <f aca="false">IF(OR($C118="",R118=""),"",IF(R118/IF($R$2="",100,$R$2)&gt;=設定!$I$28,設定!$G$8,IF(R118/IF($R$2="",100,$R$2)&lt;設定!$I$29,設定!$G$10,設定!$G$9)))</f>
        <v/>
      </c>
      <c r="U118" s="62" t="str">
        <f aca="false">IF(OR($C118="",S118=""),"",IF(S118/IF($S$2="",100,$S$2)&gt;=設定!$I$28,設定!$G$8,IF(S118/IF($S$2="",100,$S$2)&lt;設定!$I$29,設定!$G$10,設定!$G$9)))</f>
        <v/>
      </c>
    </row>
    <row r="119" customFormat="false" ht="21" hidden="false" customHeight="true" outlineLevel="0" collapsed="false">
      <c r="A119" s="91" t="str">
        <f aca="false">IF(名簿!$D119="","",名簿!$B119&amp;"")</f>
        <v/>
      </c>
      <c r="B119" s="91" t="str">
        <f aca="false">IF(名簿!$D119="","",名簿!$C119)</f>
        <v/>
      </c>
      <c r="C119" s="59" t="str">
        <f aca="false">IF(名簿!$D119="","",名簿!$D119&amp;IF(名簿!$F119="転出","（転出）",""))</f>
        <v/>
      </c>
      <c r="D119" s="149"/>
      <c r="E119" s="61" t="str">
        <f aca="false">IF(OR($C119="",名簿!$F119="転出"),"",IF($C$2="学級ごと",$A119,IF($C$2="前の単元と同じ",単元14!$E119&amp;"",$D119&amp;"")))</f>
        <v/>
      </c>
      <c r="F119" s="150"/>
      <c r="G119" s="150"/>
      <c r="H119" s="150"/>
      <c r="I119" s="151"/>
      <c r="J119" s="41" t="str">
        <f aca="false">IF($E119="","",$E119&amp;"|"&amp;COUNTIF($E$5:$E119,$E119))</f>
        <v/>
      </c>
      <c r="K119" s="40" t="str">
        <f aca="false">IF($I119="","",LEN($I119))</f>
        <v/>
      </c>
      <c r="L119" s="13"/>
      <c r="M119" s="13"/>
      <c r="N119" s="13"/>
      <c r="O119" s="13"/>
      <c r="P119" s="152"/>
      <c r="Q119" s="149"/>
      <c r="R119" s="152"/>
      <c r="S119" s="152"/>
      <c r="T119" s="62" t="str">
        <f aca="false">IF(OR($C119="",R119=""),"",IF(R119/IF($R$2="",100,$R$2)&gt;=設定!$I$28,設定!$G$8,IF(R119/IF($R$2="",100,$R$2)&lt;設定!$I$29,設定!$G$10,設定!$G$9)))</f>
        <v/>
      </c>
      <c r="U119" s="62" t="str">
        <f aca="false">IF(OR($C119="",S119=""),"",IF(S119/IF($S$2="",100,$S$2)&gt;=設定!$I$28,設定!$G$8,IF(S119/IF($S$2="",100,$S$2)&lt;設定!$I$29,設定!$G$10,設定!$G$9)))</f>
        <v/>
      </c>
    </row>
    <row r="120" customFormat="false" ht="21" hidden="false" customHeight="true" outlineLevel="0" collapsed="false">
      <c r="A120" s="91" t="str">
        <f aca="false">IF(名簿!$D120="","",名簿!$B120&amp;"")</f>
        <v/>
      </c>
      <c r="B120" s="91" t="str">
        <f aca="false">IF(名簿!$D120="","",名簿!$C120)</f>
        <v/>
      </c>
      <c r="C120" s="59" t="str">
        <f aca="false">IF(名簿!$D120="","",名簿!$D120&amp;IF(名簿!$F120="転出","（転出）",""))</f>
        <v/>
      </c>
      <c r="D120" s="149"/>
      <c r="E120" s="61" t="str">
        <f aca="false">IF(OR($C120="",名簿!$F120="転出"),"",IF($C$2="学級ごと",$A120,IF($C$2="前の単元と同じ",単元14!$E120&amp;"",$D120&amp;"")))</f>
        <v/>
      </c>
      <c r="F120" s="150"/>
      <c r="G120" s="150"/>
      <c r="H120" s="150"/>
      <c r="I120" s="151"/>
      <c r="J120" s="41" t="str">
        <f aca="false">IF($E120="","",$E120&amp;"|"&amp;COUNTIF($E$5:$E120,$E120))</f>
        <v/>
      </c>
      <c r="K120" s="40" t="str">
        <f aca="false">IF($I120="","",LEN($I120))</f>
        <v/>
      </c>
      <c r="L120" s="13"/>
      <c r="M120" s="13"/>
      <c r="N120" s="13"/>
      <c r="O120" s="13"/>
      <c r="P120" s="152"/>
      <c r="Q120" s="149"/>
      <c r="R120" s="152"/>
      <c r="S120" s="152"/>
      <c r="T120" s="62" t="str">
        <f aca="false">IF(OR($C120="",R120=""),"",IF(R120/IF($R$2="",100,$R$2)&gt;=設定!$I$28,設定!$G$8,IF(R120/IF($R$2="",100,$R$2)&lt;設定!$I$29,設定!$G$10,設定!$G$9)))</f>
        <v/>
      </c>
      <c r="U120" s="62" t="str">
        <f aca="false">IF(OR($C120="",S120=""),"",IF(S120/IF($S$2="",100,$S$2)&gt;=設定!$I$28,設定!$G$8,IF(S120/IF($S$2="",100,$S$2)&lt;設定!$I$29,設定!$G$10,設定!$G$9)))</f>
        <v/>
      </c>
    </row>
    <row r="121" customFormat="false" ht="21" hidden="false" customHeight="true" outlineLevel="0" collapsed="false">
      <c r="A121" s="91" t="str">
        <f aca="false">IF(名簿!$D121="","",名簿!$B121&amp;"")</f>
        <v/>
      </c>
      <c r="B121" s="91" t="str">
        <f aca="false">IF(名簿!$D121="","",名簿!$C121)</f>
        <v/>
      </c>
      <c r="C121" s="59" t="str">
        <f aca="false">IF(名簿!$D121="","",名簿!$D121&amp;IF(名簿!$F121="転出","（転出）",""))</f>
        <v/>
      </c>
      <c r="D121" s="149"/>
      <c r="E121" s="61" t="str">
        <f aca="false">IF(OR($C121="",名簿!$F121="転出"),"",IF($C$2="学級ごと",$A121,IF($C$2="前の単元と同じ",単元14!$E121&amp;"",$D121&amp;"")))</f>
        <v/>
      </c>
      <c r="F121" s="150"/>
      <c r="G121" s="150"/>
      <c r="H121" s="150"/>
      <c r="I121" s="151"/>
      <c r="J121" s="41" t="str">
        <f aca="false">IF($E121="","",$E121&amp;"|"&amp;COUNTIF($E$5:$E121,$E121))</f>
        <v/>
      </c>
      <c r="K121" s="40" t="str">
        <f aca="false">IF($I121="","",LEN($I121))</f>
        <v/>
      </c>
      <c r="L121" s="13"/>
      <c r="M121" s="13"/>
      <c r="N121" s="13"/>
      <c r="O121" s="13"/>
      <c r="P121" s="152"/>
      <c r="Q121" s="149"/>
      <c r="R121" s="152"/>
      <c r="S121" s="152"/>
      <c r="T121" s="62" t="str">
        <f aca="false">IF(OR($C121="",R121=""),"",IF(R121/IF($R$2="",100,$R$2)&gt;=設定!$I$28,設定!$G$8,IF(R121/IF($R$2="",100,$R$2)&lt;設定!$I$29,設定!$G$10,設定!$G$9)))</f>
        <v/>
      </c>
      <c r="U121" s="62" t="str">
        <f aca="false">IF(OR($C121="",S121=""),"",IF(S121/IF($S$2="",100,$S$2)&gt;=設定!$I$28,設定!$G$8,IF(S121/IF($S$2="",100,$S$2)&lt;設定!$I$29,設定!$G$10,設定!$G$9)))</f>
        <v/>
      </c>
    </row>
    <row r="122" customFormat="false" ht="21" hidden="false" customHeight="true" outlineLevel="0" collapsed="false">
      <c r="A122" s="91" t="str">
        <f aca="false">IF(名簿!$D122="","",名簿!$B122&amp;"")</f>
        <v/>
      </c>
      <c r="B122" s="91" t="str">
        <f aca="false">IF(名簿!$D122="","",名簿!$C122)</f>
        <v/>
      </c>
      <c r="C122" s="59" t="str">
        <f aca="false">IF(名簿!$D122="","",名簿!$D122&amp;IF(名簿!$F122="転出","（転出）",""))</f>
        <v/>
      </c>
      <c r="D122" s="149"/>
      <c r="E122" s="61" t="str">
        <f aca="false">IF(OR($C122="",名簿!$F122="転出"),"",IF($C$2="学級ごと",$A122,IF($C$2="前の単元と同じ",単元14!$E122&amp;"",$D122&amp;"")))</f>
        <v/>
      </c>
      <c r="F122" s="150"/>
      <c r="G122" s="150"/>
      <c r="H122" s="150"/>
      <c r="I122" s="151"/>
      <c r="J122" s="41" t="str">
        <f aca="false">IF($E122="","",$E122&amp;"|"&amp;COUNTIF($E$5:$E122,$E122))</f>
        <v/>
      </c>
      <c r="K122" s="40" t="str">
        <f aca="false">IF($I122="","",LEN($I122))</f>
        <v/>
      </c>
      <c r="L122" s="13"/>
      <c r="M122" s="13"/>
      <c r="N122" s="13"/>
      <c r="O122" s="13"/>
      <c r="P122" s="152"/>
      <c r="Q122" s="149"/>
      <c r="R122" s="152"/>
      <c r="S122" s="152"/>
      <c r="T122" s="62" t="str">
        <f aca="false">IF(OR($C122="",R122=""),"",IF(R122/IF($R$2="",100,$R$2)&gt;=設定!$I$28,設定!$G$8,IF(R122/IF($R$2="",100,$R$2)&lt;設定!$I$29,設定!$G$10,設定!$G$9)))</f>
        <v/>
      </c>
      <c r="U122" s="62" t="str">
        <f aca="false">IF(OR($C122="",S122=""),"",IF(S122/IF($S$2="",100,$S$2)&gt;=設定!$I$28,設定!$G$8,IF(S122/IF($S$2="",100,$S$2)&lt;設定!$I$29,設定!$G$10,設定!$G$9)))</f>
        <v/>
      </c>
    </row>
    <row r="123" customFormat="false" ht="21" hidden="false" customHeight="true" outlineLevel="0" collapsed="false">
      <c r="A123" s="91" t="str">
        <f aca="false">IF(名簿!$D123="","",名簿!$B123&amp;"")</f>
        <v/>
      </c>
      <c r="B123" s="91" t="str">
        <f aca="false">IF(名簿!$D123="","",名簿!$C123)</f>
        <v/>
      </c>
      <c r="C123" s="59" t="str">
        <f aca="false">IF(名簿!$D123="","",名簿!$D123&amp;IF(名簿!$F123="転出","（転出）",""))</f>
        <v/>
      </c>
      <c r="D123" s="149"/>
      <c r="E123" s="61" t="str">
        <f aca="false">IF(OR($C123="",名簿!$F123="転出"),"",IF($C$2="学級ごと",$A123,IF($C$2="前の単元と同じ",単元14!$E123&amp;"",$D123&amp;"")))</f>
        <v/>
      </c>
      <c r="F123" s="150"/>
      <c r="G123" s="150"/>
      <c r="H123" s="150"/>
      <c r="I123" s="151"/>
      <c r="J123" s="41" t="str">
        <f aca="false">IF($E123="","",$E123&amp;"|"&amp;COUNTIF($E$5:$E123,$E123))</f>
        <v/>
      </c>
      <c r="K123" s="40" t="str">
        <f aca="false">IF($I123="","",LEN($I123))</f>
        <v/>
      </c>
      <c r="L123" s="13"/>
      <c r="M123" s="13"/>
      <c r="N123" s="13"/>
      <c r="O123" s="13"/>
      <c r="P123" s="152"/>
      <c r="Q123" s="149"/>
      <c r="R123" s="152"/>
      <c r="S123" s="152"/>
      <c r="T123" s="62" t="str">
        <f aca="false">IF(OR($C123="",R123=""),"",IF(R123/IF($R$2="",100,$R$2)&gt;=設定!$I$28,設定!$G$8,IF(R123/IF($R$2="",100,$R$2)&lt;設定!$I$29,設定!$G$10,設定!$G$9)))</f>
        <v/>
      </c>
      <c r="U123" s="62" t="str">
        <f aca="false">IF(OR($C123="",S123=""),"",IF(S123/IF($S$2="",100,$S$2)&gt;=設定!$I$28,設定!$G$8,IF(S123/IF($S$2="",100,$S$2)&lt;設定!$I$29,設定!$G$10,設定!$G$9)))</f>
        <v/>
      </c>
    </row>
    <row r="124" customFormat="false" ht="21" hidden="false" customHeight="true" outlineLevel="0" collapsed="false">
      <c r="A124" s="91" t="str">
        <f aca="false">IF(名簿!$D124="","",名簿!$B124&amp;"")</f>
        <v/>
      </c>
      <c r="B124" s="91" t="str">
        <f aca="false">IF(名簿!$D124="","",名簿!$C124)</f>
        <v/>
      </c>
      <c r="C124" s="59" t="str">
        <f aca="false">IF(名簿!$D124="","",名簿!$D124&amp;IF(名簿!$F124="転出","（転出）",""))</f>
        <v/>
      </c>
      <c r="D124" s="149"/>
      <c r="E124" s="61" t="str">
        <f aca="false">IF(OR($C124="",名簿!$F124="転出"),"",IF($C$2="学級ごと",$A124,IF($C$2="前の単元と同じ",単元14!$E124&amp;"",$D124&amp;"")))</f>
        <v/>
      </c>
      <c r="F124" s="150"/>
      <c r="G124" s="150"/>
      <c r="H124" s="150"/>
      <c r="I124" s="151"/>
      <c r="J124" s="41" t="str">
        <f aca="false">IF($E124="","",$E124&amp;"|"&amp;COUNTIF($E$5:$E124,$E124))</f>
        <v/>
      </c>
      <c r="K124" s="40" t="str">
        <f aca="false">IF($I124="","",LEN($I124))</f>
        <v/>
      </c>
      <c r="L124" s="13"/>
      <c r="M124" s="13"/>
      <c r="N124" s="13"/>
      <c r="O124" s="13"/>
      <c r="P124" s="152"/>
      <c r="Q124" s="149"/>
      <c r="R124" s="152"/>
      <c r="S124" s="152"/>
      <c r="T124" s="62" t="str">
        <f aca="false">IF(OR($C124="",R124=""),"",IF(R124/IF($R$2="",100,$R$2)&gt;=設定!$I$28,設定!$G$8,IF(R124/IF($R$2="",100,$R$2)&lt;設定!$I$29,設定!$G$10,設定!$G$9)))</f>
        <v/>
      </c>
      <c r="U124" s="62" t="str">
        <f aca="false">IF(OR($C124="",S124=""),"",IF(S124/IF($S$2="",100,$S$2)&gt;=設定!$I$28,設定!$G$8,IF(S124/IF($S$2="",100,$S$2)&lt;設定!$I$29,設定!$G$10,設定!$G$9)))</f>
        <v/>
      </c>
    </row>
    <row r="125" customFormat="false" ht="21" hidden="false" customHeight="true" outlineLevel="0" collapsed="false">
      <c r="A125" s="91" t="str">
        <f aca="false">IF(名簿!$D125="","",名簿!$B125&amp;"")</f>
        <v/>
      </c>
      <c r="B125" s="91" t="str">
        <f aca="false">IF(名簿!$D125="","",名簿!$C125)</f>
        <v/>
      </c>
      <c r="C125" s="59" t="str">
        <f aca="false">IF(名簿!$D125="","",名簿!$D125&amp;IF(名簿!$F125="転出","（転出）",""))</f>
        <v/>
      </c>
      <c r="D125" s="149"/>
      <c r="E125" s="61" t="str">
        <f aca="false">IF(OR($C125="",名簿!$F125="転出"),"",IF($C$2="学級ごと",$A125,IF($C$2="前の単元と同じ",単元14!$E125&amp;"",$D125&amp;"")))</f>
        <v/>
      </c>
      <c r="F125" s="150"/>
      <c r="G125" s="150"/>
      <c r="H125" s="150"/>
      <c r="I125" s="151"/>
      <c r="J125" s="41" t="str">
        <f aca="false">IF($E125="","",$E125&amp;"|"&amp;COUNTIF($E$5:$E125,$E125))</f>
        <v/>
      </c>
      <c r="K125" s="40" t="str">
        <f aca="false">IF($I125="","",LEN($I125))</f>
        <v/>
      </c>
      <c r="L125" s="13"/>
      <c r="M125" s="13"/>
      <c r="N125" s="13"/>
      <c r="O125" s="13"/>
      <c r="P125" s="152"/>
      <c r="Q125" s="149"/>
      <c r="R125" s="152"/>
      <c r="S125" s="152"/>
      <c r="T125" s="62" t="str">
        <f aca="false">IF(OR($C125="",R125=""),"",IF(R125/IF($R$2="",100,$R$2)&gt;=設定!$I$28,設定!$G$8,IF(R125/IF($R$2="",100,$R$2)&lt;設定!$I$29,設定!$G$10,設定!$G$9)))</f>
        <v/>
      </c>
      <c r="U125" s="62" t="str">
        <f aca="false">IF(OR($C125="",S125=""),"",IF(S125/IF($S$2="",100,$S$2)&gt;=設定!$I$28,設定!$G$8,IF(S125/IF($S$2="",100,$S$2)&lt;設定!$I$29,設定!$G$10,設定!$G$9)))</f>
        <v/>
      </c>
    </row>
    <row r="126" customFormat="false" ht="21" hidden="false" customHeight="true" outlineLevel="0" collapsed="false">
      <c r="A126" s="91" t="str">
        <f aca="false">IF(名簿!$D126="","",名簿!$B126&amp;"")</f>
        <v/>
      </c>
      <c r="B126" s="91" t="str">
        <f aca="false">IF(名簿!$D126="","",名簿!$C126)</f>
        <v/>
      </c>
      <c r="C126" s="59" t="str">
        <f aca="false">IF(名簿!$D126="","",名簿!$D126&amp;IF(名簿!$F126="転出","（転出）",""))</f>
        <v/>
      </c>
      <c r="D126" s="149"/>
      <c r="E126" s="61" t="str">
        <f aca="false">IF(OR($C126="",名簿!$F126="転出"),"",IF($C$2="学級ごと",$A126,IF($C$2="前の単元と同じ",単元14!$E126&amp;"",$D126&amp;"")))</f>
        <v/>
      </c>
      <c r="F126" s="150"/>
      <c r="G126" s="150"/>
      <c r="H126" s="150"/>
      <c r="I126" s="151"/>
      <c r="J126" s="41" t="str">
        <f aca="false">IF($E126="","",$E126&amp;"|"&amp;COUNTIF($E$5:$E126,$E126))</f>
        <v/>
      </c>
      <c r="K126" s="40" t="str">
        <f aca="false">IF($I126="","",LEN($I126))</f>
        <v/>
      </c>
      <c r="L126" s="13"/>
      <c r="M126" s="13"/>
      <c r="N126" s="13"/>
      <c r="O126" s="13"/>
      <c r="P126" s="152"/>
      <c r="Q126" s="149"/>
      <c r="R126" s="152"/>
      <c r="S126" s="152"/>
      <c r="T126" s="62" t="str">
        <f aca="false">IF(OR($C126="",R126=""),"",IF(R126/IF($R$2="",100,$R$2)&gt;=設定!$I$28,設定!$G$8,IF(R126/IF($R$2="",100,$R$2)&lt;設定!$I$29,設定!$G$10,設定!$G$9)))</f>
        <v/>
      </c>
      <c r="U126" s="62" t="str">
        <f aca="false">IF(OR($C126="",S126=""),"",IF(S126/IF($S$2="",100,$S$2)&gt;=設定!$I$28,設定!$G$8,IF(S126/IF($S$2="",100,$S$2)&lt;設定!$I$29,設定!$G$10,設定!$G$9)))</f>
        <v/>
      </c>
    </row>
    <row r="127" customFormat="false" ht="21" hidden="false" customHeight="true" outlineLevel="0" collapsed="false">
      <c r="A127" s="91" t="str">
        <f aca="false">IF(名簿!$D127="","",名簿!$B127&amp;"")</f>
        <v/>
      </c>
      <c r="B127" s="91" t="str">
        <f aca="false">IF(名簿!$D127="","",名簿!$C127)</f>
        <v/>
      </c>
      <c r="C127" s="59" t="str">
        <f aca="false">IF(名簿!$D127="","",名簿!$D127&amp;IF(名簿!$F127="転出","（転出）",""))</f>
        <v/>
      </c>
      <c r="D127" s="149"/>
      <c r="E127" s="61" t="str">
        <f aca="false">IF(OR($C127="",名簿!$F127="転出"),"",IF($C$2="学級ごと",$A127,IF($C$2="前の単元と同じ",単元14!$E127&amp;"",$D127&amp;"")))</f>
        <v/>
      </c>
      <c r="F127" s="150"/>
      <c r="G127" s="150"/>
      <c r="H127" s="150"/>
      <c r="I127" s="151"/>
      <c r="J127" s="41" t="str">
        <f aca="false">IF($E127="","",$E127&amp;"|"&amp;COUNTIF($E$5:$E127,$E127))</f>
        <v/>
      </c>
      <c r="K127" s="40" t="str">
        <f aca="false">IF($I127="","",LEN($I127))</f>
        <v/>
      </c>
      <c r="L127" s="13"/>
      <c r="M127" s="13"/>
      <c r="N127" s="13"/>
      <c r="O127" s="13"/>
      <c r="P127" s="152"/>
      <c r="Q127" s="149"/>
      <c r="R127" s="152"/>
      <c r="S127" s="152"/>
      <c r="T127" s="62" t="str">
        <f aca="false">IF(OR($C127="",R127=""),"",IF(R127/IF($R$2="",100,$R$2)&gt;=設定!$I$28,設定!$G$8,IF(R127/IF($R$2="",100,$R$2)&lt;設定!$I$29,設定!$G$10,設定!$G$9)))</f>
        <v/>
      </c>
      <c r="U127" s="62" t="str">
        <f aca="false">IF(OR($C127="",S127=""),"",IF(S127/IF($S$2="",100,$S$2)&gt;=設定!$I$28,設定!$G$8,IF(S127/IF($S$2="",100,$S$2)&lt;設定!$I$29,設定!$G$10,設定!$G$9)))</f>
        <v/>
      </c>
    </row>
    <row r="128" customFormat="false" ht="21" hidden="false" customHeight="true" outlineLevel="0" collapsed="false">
      <c r="A128" s="91" t="str">
        <f aca="false">IF(名簿!$D128="","",名簿!$B128&amp;"")</f>
        <v/>
      </c>
      <c r="B128" s="91" t="str">
        <f aca="false">IF(名簿!$D128="","",名簿!$C128)</f>
        <v/>
      </c>
      <c r="C128" s="59" t="str">
        <f aca="false">IF(名簿!$D128="","",名簿!$D128&amp;IF(名簿!$F128="転出","（転出）",""))</f>
        <v/>
      </c>
      <c r="D128" s="149"/>
      <c r="E128" s="61" t="str">
        <f aca="false">IF(OR($C128="",名簿!$F128="転出"),"",IF($C$2="学級ごと",$A128,IF($C$2="前の単元と同じ",単元14!$E128&amp;"",$D128&amp;"")))</f>
        <v/>
      </c>
      <c r="F128" s="150"/>
      <c r="G128" s="150"/>
      <c r="H128" s="150"/>
      <c r="I128" s="151"/>
      <c r="J128" s="41" t="str">
        <f aca="false">IF($E128="","",$E128&amp;"|"&amp;COUNTIF($E$5:$E128,$E128))</f>
        <v/>
      </c>
      <c r="K128" s="40" t="str">
        <f aca="false">IF($I128="","",LEN($I128))</f>
        <v/>
      </c>
      <c r="L128" s="13"/>
      <c r="M128" s="13"/>
      <c r="N128" s="13"/>
      <c r="O128" s="13"/>
      <c r="P128" s="152"/>
      <c r="Q128" s="149"/>
      <c r="R128" s="152"/>
      <c r="S128" s="152"/>
      <c r="T128" s="62" t="str">
        <f aca="false">IF(OR($C128="",R128=""),"",IF(R128/IF($R$2="",100,$R$2)&gt;=設定!$I$28,設定!$G$8,IF(R128/IF($R$2="",100,$R$2)&lt;設定!$I$29,設定!$G$10,設定!$G$9)))</f>
        <v/>
      </c>
      <c r="U128" s="62" t="str">
        <f aca="false">IF(OR($C128="",S128=""),"",IF(S128/IF($S$2="",100,$S$2)&gt;=設定!$I$28,設定!$G$8,IF(S128/IF($S$2="",100,$S$2)&lt;設定!$I$29,設定!$G$10,設定!$G$9)))</f>
        <v/>
      </c>
    </row>
    <row r="129" customFormat="false" ht="21" hidden="false" customHeight="true" outlineLevel="0" collapsed="false">
      <c r="A129" s="91" t="str">
        <f aca="false">IF(名簿!$D129="","",名簿!$B129&amp;"")</f>
        <v/>
      </c>
      <c r="B129" s="91" t="str">
        <f aca="false">IF(名簿!$D129="","",名簿!$C129)</f>
        <v/>
      </c>
      <c r="C129" s="59" t="str">
        <f aca="false">IF(名簿!$D129="","",名簿!$D129&amp;IF(名簿!$F129="転出","（転出）",""))</f>
        <v/>
      </c>
      <c r="D129" s="149"/>
      <c r="E129" s="61" t="str">
        <f aca="false">IF(OR($C129="",名簿!$F129="転出"),"",IF($C$2="学級ごと",$A129,IF($C$2="前の単元と同じ",単元14!$E129&amp;"",$D129&amp;"")))</f>
        <v/>
      </c>
      <c r="F129" s="150"/>
      <c r="G129" s="150"/>
      <c r="H129" s="150"/>
      <c r="I129" s="151"/>
      <c r="J129" s="41" t="str">
        <f aca="false">IF($E129="","",$E129&amp;"|"&amp;COUNTIF($E$5:$E129,$E129))</f>
        <v/>
      </c>
      <c r="K129" s="40" t="str">
        <f aca="false">IF($I129="","",LEN($I129))</f>
        <v/>
      </c>
      <c r="L129" s="13"/>
      <c r="M129" s="13"/>
      <c r="N129" s="13"/>
      <c r="O129" s="13"/>
      <c r="P129" s="152"/>
      <c r="Q129" s="149"/>
      <c r="R129" s="152"/>
      <c r="S129" s="152"/>
      <c r="T129" s="62" t="str">
        <f aca="false">IF(OR($C129="",R129=""),"",IF(R129/IF($R$2="",100,$R$2)&gt;=設定!$I$28,設定!$G$8,IF(R129/IF($R$2="",100,$R$2)&lt;設定!$I$29,設定!$G$10,設定!$G$9)))</f>
        <v/>
      </c>
      <c r="U129" s="62" t="str">
        <f aca="false">IF(OR($C129="",S129=""),"",IF(S129/IF($S$2="",100,$S$2)&gt;=設定!$I$28,設定!$G$8,IF(S129/IF($S$2="",100,$S$2)&lt;設定!$I$29,設定!$G$10,設定!$G$9)))</f>
        <v/>
      </c>
    </row>
    <row r="130" customFormat="false" ht="21" hidden="false" customHeight="true" outlineLevel="0" collapsed="false">
      <c r="A130" s="91" t="str">
        <f aca="false">IF(名簿!$D130="","",名簿!$B130&amp;"")</f>
        <v/>
      </c>
      <c r="B130" s="91" t="str">
        <f aca="false">IF(名簿!$D130="","",名簿!$C130)</f>
        <v/>
      </c>
      <c r="C130" s="59" t="str">
        <f aca="false">IF(名簿!$D130="","",名簿!$D130&amp;IF(名簿!$F130="転出","（転出）",""))</f>
        <v/>
      </c>
      <c r="D130" s="149"/>
      <c r="E130" s="61" t="str">
        <f aca="false">IF(OR($C130="",名簿!$F130="転出"),"",IF($C$2="学級ごと",$A130,IF($C$2="前の単元と同じ",単元14!$E130&amp;"",$D130&amp;"")))</f>
        <v/>
      </c>
      <c r="F130" s="150"/>
      <c r="G130" s="150"/>
      <c r="H130" s="150"/>
      <c r="I130" s="151"/>
      <c r="J130" s="41" t="str">
        <f aca="false">IF($E130="","",$E130&amp;"|"&amp;COUNTIF($E$5:$E130,$E130))</f>
        <v/>
      </c>
      <c r="K130" s="40" t="str">
        <f aca="false">IF($I130="","",LEN($I130))</f>
        <v/>
      </c>
      <c r="L130" s="13"/>
      <c r="M130" s="13"/>
      <c r="N130" s="13"/>
      <c r="O130" s="13"/>
      <c r="P130" s="152"/>
      <c r="Q130" s="149"/>
      <c r="R130" s="152"/>
      <c r="S130" s="152"/>
      <c r="T130" s="62" t="str">
        <f aca="false">IF(OR($C130="",R130=""),"",IF(R130/IF($R$2="",100,$R$2)&gt;=設定!$I$28,設定!$G$8,IF(R130/IF($R$2="",100,$R$2)&lt;設定!$I$29,設定!$G$10,設定!$G$9)))</f>
        <v/>
      </c>
      <c r="U130" s="62" t="str">
        <f aca="false">IF(OR($C130="",S130=""),"",IF(S130/IF($S$2="",100,$S$2)&gt;=設定!$I$28,設定!$G$8,IF(S130/IF($S$2="",100,$S$2)&lt;設定!$I$29,設定!$G$10,設定!$G$9)))</f>
        <v/>
      </c>
    </row>
    <row r="131" customFormat="false" ht="21" hidden="false" customHeight="true" outlineLevel="0" collapsed="false">
      <c r="A131" s="91" t="str">
        <f aca="false">IF(名簿!$D131="","",名簿!$B131&amp;"")</f>
        <v/>
      </c>
      <c r="B131" s="91" t="str">
        <f aca="false">IF(名簿!$D131="","",名簿!$C131)</f>
        <v/>
      </c>
      <c r="C131" s="59" t="str">
        <f aca="false">IF(名簿!$D131="","",名簿!$D131&amp;IF(名簿!$F131="転出","（転出）",""))</f>
        <v/>
      </c>
      <c r="D131" s="149"/>
      <c r="E131" s="61" t="str">
        <f aca="false">IF(OR($C131="",名簿!$F131="転出"),"",IF($C$2="学級ごと",$A131,IF($C$2="前の単元と同じ",単元14!$E131&amp;"",$D131&amp;"")))</f>
        <v/>
      </c>
      <c r="F131" s="150"/>
      <c r="G131" s="150"/>
      <c r="H131" s="150"/>
      <c r="I131" s="151"/>
      <c r="J131" s="41" t="str">
        <f aca="false">IF($E131="","",$E131&amp;"|"&amp;COUNTIF($E$5:$E131,$E131))</f>
        <v/>
      </c>
      <c r="K131" s="40" t="str">
        <f aca="false">IF($I131="","",LEN($I131))</f>
        <v/>
      </c>
      <c r="L131" s="13"/>
      <c r="M131" s="13"/>
      <c r="N131" s="13"/>
      <c r="O131" s="13"/>
      <c r="P131" s="152"/>
      <c r="Q131" s="149"/>
      <c r="R131" s="152"/>
      <c r="S131" s="152"/>
      <c r="T131" s="62" t="str">
        <f aca="false">IF(OR($C131="",R131=""),"",IF(R131/IF($R$2="",100,$R$2)&gt;=設定!$I$28,設定!$G$8,IF(R131/IF($R$2="",100,$R$2)&lt;設定!$I$29,設定!$G$10,設定!$G$9)))</f>
        <v/>
      </c>
      <c r="U131" s="62" t="str">
        <f aca="false">IF(OR($C131="",S131=""),"",IF(S131/IF($S$2="",100,$S$2)&gt;=設定!$I$28,設定!$G$8,IF(S131/IF($S$2="",100,$S$2)&lt;設定!$I$29,設定!$G$10,設定!$G$9)))</f>
        <v/>
      </c>
    </row>
    <row r="132" customFormat="false" ht="21" hidden="false" customHeight="true" outlineLevel="0" collapsed="false">
      <c r="A132" s="91" t="str">
        <f aca="false">IF(名簿!$D132="","",名簿!$B132&amp;"")</f>
        <v/>
      </c>
      <c r="B132" s="91" t="str">
        <f aca="false">IF(名簿!$D132="","",名簿!$C132)</f>
        <v/>
      </c>
      <c r="C132" s="59" t="str">
        <f aca="false">IF(名簿!$D132="","",名簿!$D132&amp;IF(名簿!$F132="転出","（転出）",""))</f>
        <v/>
      </c>
      <c r="D132" s="149"/>
      <c r="E132" s="61" t="str">
        <f aca="false">IF(OR($C132="",名簿!$F132="転出"),"",IF($C$2="学級ごと",$A132,IF($C$2="前の単元と同じ",単元14!$E132&amp;"",$D132&amp;"")))</f>
        <v/>
      </c>
      <c r="F132" s="150"/>
      <c r="G132" s="150"/>
      <c r="H132" s="150"/>
      <c r="I132" s="151"/>
      <c r="J132" s="41" t="str">
        <f aca="false">IF($E132="","",$E132&amp;"|"&amp;COUNTIF($E$5:$E132,$E132))</f>
        <v/>
      </c>
      <c r="K132" s="40" t="str">
        <f aca="false">IF($I132="","",LEN($I132))</f>
        <v/>
      </c>
      <c r="L132" s="13"/>
      <c r="M132" s="13"/>
      <c r="N132" s="13"/>
      <c r="O132" s="13"/>
      <c r="P132" s="152"/>
      <c r="Q132" s="149"/>
      <c r="R132" s="152"/>
      <c r="S132" s="152"/>
      <c r="T132" s="62" t="str">
        <f aca="false">IF(OR($C132="",R132=""),"",IF(R132/IF($R$2="",100,$R$2)&gt;=設定!$I$28,設定!$G$8,IF(R132/IF($R$2="",100,$R$2)&lt;設定!$I$29,設定!$G$10,設定!$G$9)))</f>
        <v/>
      </c>
      <c r="U132" s="62" t="str">
        <f aca="false">IF(OR($C132="",S132=""),"",IF(S132/IF($S$2="",100,$S$2)&gt;=設定!$I$28,設定!$G$8,IF(S132/IF($S$2="",100,$S$2)&lt;設定!$I$29,設定!$G$10,設定!$G$9)))</f>
        <v/>
      </c>
    </row>
    <row r="133" customFormat="false" ht="21" hidden="false" customHeight="true" outlineLevel="0" collapsed="false">
      <c r="A133" s="91" t="str">
        <f aca="false">IF(名簿!$D133="","",名簿!$B133&amp;"")</f>
        <v/>
      </c>
      <c r="B133" s="91" t="str">
        <f aca="false">IF(名簿!$D133="","",名簿!$C133)</f>
        <v/>
      </c>
      <c r="C133" s="59" t="str">
        <f aca="false">IF(名簿!$D133="","",名簿!$D133&amp;IF(名簿!$F133="転出","（転出）",""))</f>
        <v/>
      </c>
      <c r="D133" s="149"/>
      <c r="E133" s="61" t="str">
        <f aca="false">IF(OR($C133="",名簿!$F133="転出"),"",IF($C$2="学級ごと",$A133,IF($C$2="前の単元と同じ",単元14!$E133&amp;"",$D133&amp;"")))</f>
        <v/>
      </c>
      <c r="F133" s="150"/>
      <c r="G133" s="150"/>
      <c r="H133" s="150"/>
      <c r="I133" s="151"/>
      <c r="J133" s="41" t="str">
        <f aca="false">IF($E133="","",$E133&amp;"|"&amp;COUNTIF($E$5:$E133,$E133))</f>
        <v/>
      </c>
      <c r="K133" s="40" t="str">
        <f aca="false">IF($I133="","",LEN($I133))</f>
        <v/>
      </c>
      <c r="L133" s="13"/>
      <c r="M133" s="13"/>
      <c r="N133" s="13"/>
      <c r="O133" s="13"/>
      <c r="P133" s="152"/>
      <c r="Q133" s="149"/>
      <c r="R133" s="152"/>
      <c r="S133" s="152"/>
      <c r="T133" s="62" t="str">
        <f aca="false">IF(OR($C133="",R133=""),"",IF(R133/IF($R$2="",100,$R$2)&gt;=設定!$I$28,設定!$G$8,IF(R133/IF($R$2="",100,$R$2)&lt;設定!$I$29,設定!$G$10,設定!$G$9)))</f>
        <v/>
      </c>
      <c r="U133" s="62" t="str">
        <f aca="false">IF(OR($C133="",S133=""),"",IF(S133/IF($S$2="",100,$S$2)&gt;=設定!$I$28,設定!$G$8,IF(S133/IF($S$2="",100,$S$2)&lt;設定!$I$29,設定!$G$10,設定!$G$9)))</f>
        <v/>
      </c>
    </row>
    <row r="134" customFormat="false" ht="21" hidden="false" customHeight="true" outlineLevel="0" collapsed="false">
      <c r="A134" s="91" t="str">
        <f aca="false">IF(名簿!$D134="","",名簿!$B134&amp;"")</f>
        <v/>
      </c>
      <c r="B134" s="91" t="str">
        <f aca="false">IF(名簿!$D134="","",名簿!$C134)</f>
        <v/>
      </c>
      <c r="C134" s="59" t="str">
        <f aca="false">IF(名簿!$D134="","",名簿!$D134&amp;IF(名簿!$F134="転出","（転出）",""))</f>
        <v/>
      </c>
      <c r="D134" s="149"/>
      <c r="E134" s="61" t="str">
        <f aca="false">IF(OR($C134="",名簿!$F134="転出"),"",IF($C$2="学級ごと",$A134,IF($C$2="前の単元と同じ",単元14!$E134&amp;"",$D134&amp;"")))</f>
        <v/>
      </c>
      <c r="F134" s="150"/>
      <c r="G134" s="150"/>
      <c r="H134" s="150"/>
      <c r="I134" s="151"/>
      <c r="J134" s="41" t="str">
        <f aca="false">IF($E134="","",$E134&amp;"|"&amp;COUNTIF($E$5:$E134,$E134))</f>
        <v/>
      </c>
      <c r="K134" s="40" t="str">
        <f aca="false">IF($I134="","",LEN($I134))</f>
        <v/>
      </c>
      <c r="L134" s="13"/>
      <c r="M134" s="13"/>
      <c r="N134" s="13"/>
      <c r="O134" s="13"/>
      <c r="P134" s="152"/>
      <c r="Q134" s="149"/>
      <c r="R134" s="152"/>
      <c r="S134" s="152"/>
      <c r="T134" s="62" t="str">
        <f aca="false">IF(OR($C134="",R134=""),"",IF(R134/IF($R$2="",100,$R$2)&gt;=設定!$I$28,設定!$G$8,IF(R134/IF($R$2="",100,$R$2)&lt;設定!$I$29,設定!$G$10,設定!$G$9)))</f>
        <v/>
      </c>
      <c r="U134" s="62" t="str">
        <f aca="false">IF(OR($C134="",S134=""),"",IF(S134/IF($S$2="",100,$S$2)&gt;=設定!$I$28,設定!$G$8,IF(S134/IF($S$2="",100,$S$2)&lt;設定!$I$29,設定!$G$10,設定!$G$9)))</f>
        <v/>
      </c>
    </row>
    <row r="135" customFormat="false" ht="21" hidden="false" customHeight="true" outlineLevel="0" collapsed="false">
      <c r="A135" s="91" t="str">
        <f aca="false">IF(名簿!$D135="","",名簿!$B135&amp;"")</f>
        <v/>
      </c>
      <c r="B135" s="91" t="str">
        <f aca="false">IF(名簿!$D135="","",名簿!$C135)</f>
        <v/>
      </c>
      <c r="C135" s="59" t="str">
        <f aca="false">IF(名簿!$D135="","",名簿!$D135&amp;IF(名簿!$F135="転出","（転出）",""))</f>
        <v/>
      </c>
      <c r="D135" s="149"/>
      <c r="E135" s="61" t="str">
        <f aca="false">IF(OR($C135="",名簿!$F135="転出"),"",IF($C$2="学級ごと",$A135,IF($C$2="前の単元と同じ",単元14!$E135&amp;"",$D135&amp;"")))</f>
        <v/>
      </c>
      <c r="F135" s="150"/>
      <c r="G135" s="150"/>
      <c r="H135" s="150"/>
      <c r="I135" s="151"/>
      <c r="J135" s="41" t="str">
        <f aca="false">IF($E135="","",$E135&amp;"|"&amp;COUNTIF($E$5:$E135,$E135))</f>
        <v/>
      </c>
      <c r="K135" s="40" t="str">
        <f aca="false">IF($I135="","",LEN($I135))</f>
        <v/>
      </c>
      <c r="L135" s="13"/>
      <c r="M135" s="13"/>
      <c r="N135" s="13"/>
      <c r="O135" s="13"/>
      <c r="P135" s="152"/>
      <c r="Q135" s="149"/>
      <c r="R135" s="152"/>
      <c r="S135" s="152"/>
      <c r="T135" s="62" t="str">
        <f aca="false">IF(OR($C135="",R135=""),"",IF(R135/IF($R$2="",100,$R$2)&gt;=設定!$I$28,設定!$G$8,IF(R135/IF($R$2="",100,$R$2)&lt;設定!$I$29,設定!$G$10,設定!$G$9)))</f>
        <v/>
      </c>
      <c r="U135" s="62" t="str">
        <f aca="false">IF(OR($C135="",S135=""),"",IF(S135/IF($S$2="",100,$S$2)&gt;=設定!$I$28,設定!$G$8,IF(S135/IF($S$2="",100,$S$2)&lt;設定!$I$29,設定!$G$10,設定!$G$9)))</f>
        <v/>
      </c>
    </row>
    <row r="136" customFormat="false" ht="21" hidden="false" customHeight="true" outlineLevel="0" collapsed="false">
      <c r="A136" s="91" t="str">
        <f aca="false">IF(名簿!$D136="","",名簿!$B136&amp;"")</f>
        <v/>
      </c>
      <c r="B136" s="91" t="str">
        <f aca="false">IF(名簿!$D136="","",名簿!$C136)</f>
        <v/>
      </c>
      <c r="C136" s="59" t="str">
        <f aca="false">IF(名簿!$D136="","",名簿!$D136&amp;IF(名簿!$F136="転出","（転出）",""))</f>
        <v/>
      </c>
      <c r="D136" s="149"/>
      <c r="E136" s="61" t="str">
        <f aca="false">IF(OR($C136="",名簿!$F136="転出"),"",IF($C$2="学級ごと",$A136,IF($C$2="前の単元と同じ",単元14!$E136&amp;"",$D136&amp;"")))</f>
        <v/>
      </c>
      <c r="F136" s="150"/>
      <c r="G136" s="150"/>
      <c r="H136" s="150"/>
      <c r="I136" s="151"/>
      <c r="J136" s="41" t="str">
        <f aca="false">IF($E136="","",$E136&amp;"|"&amp;COUNTIF($E$5:$E136,$E136))</f>
        <v/>
      </c>
      <c r="K136" s="40" t="str">
        <f aca="false">IF($I136="","",LEN($I136))</f>
        <v/>
      </c>
      <c r="L136" s="13"/>
      <c r="M136" s="13"/>
      <c r="N136" s="13"/>
      <c r="O136" s="13"/>
      <c r="P136" s="152"/>
      <c r="Q136" s="149"/>
      <c r="R136" s="152"/>
      <c r="S136" s="152"/>
      <c r="T136" s="62" t="str">
        <f aca="false">IF(OR($C136="",R136=""),"",IF(R136/IF($R$2="",100,$R$2)&gt;=設定!$I$28,設定!$G$8,IF(R136/IF($R$2="",100,$R$2)&lt;設定!$I$29,設定!$G$10,設定!$G$9)))</f>
        <v/>
      </c>
      <c r="U136" s="62" t="str">
        <f aca="false">IF(OR($C136="",S136=""),"",IF(S136/IF($S$2="",100,$S$2)&gt;=設定!$I$28,設定!$G$8,IF(S136/IF($S$2="",100,$S$2)&lt;設定!$I$29,設定!$G$10,設定!$G$9)))</f>
        <v/>
      </c>
    </row>
    <row r="137" customFormat="false" ht="21" hidden="false" customHeight="true" outlineLevel="0" collapsed="false">
      <c r="A137" s="91" t="str">
        <f aca="false">IF(名簿!$D137="","",名簿!$B137&amp;"")</f>
        <v/>
      </c>
      <c r="B137" s="91" t="str">
        <f aca="false">IF(名簿!$D137="","",名簿!$C137)</f>
        <v/>
      </c>
      <c r="C137" s="59" t="str">
        <f aca="false">IF(名簿!$D137="","",名簿!$D137&amp;IF(名簿!$F137="転出","（転出）",""))</f>
        <v/>
      </c>
      <c r="D137" s="149"/>
      <c r="E137" s="61" t="str">
        <f aca="false">IF(OR($C137="",名簿!$F137="転出"),"",IF($C$2="学級ごと",$A137,IF($C$2="前の単元と同じ",単元14!$E137&amp;"",$D137&amp;"")))</f>
        <v/>
      </c>
      <c r="F137" s="150"/>
      <c r="G137" s="150"/>
      <c r="H137" s="150"/>
      <c r="I137" s="151"/>
      <c r="J137" s="41" t="str">
        <f aca="false">IF($E137="","",$E137&amp;"|"&amp;COUNTIF($E$5:$E137,$E137))</f>
        <v/>
      </c>
      <c r="K137" s="40" t="str">
        <f aca="false">IF($I137="","",LEN($I137))</f>
        <v/>
      </c>
      <c r="L137" s="13"/>
      <c r="M137" s="13"/>
      <c r="N137" s="13"/>
      <c r="O137" s="13"/>
      <c r="P137" s="152"/>
      <c r="Q137" s="149"/>
      <c r="R137" s="152"/>
      <c r="S137" s="152"/>
      <c r="T137" s="62" t="str">
        <f aca="false">IF(OR($C137="",R137=""),"",IF(R137/IF($R$2="",100,$R$2)&gt;=設定!$I$28,設定!$G$8,IF(R137/IF($R$2="",100,$R$2)&lt;設定!$I$29,設定!$G$10,設定!$G$9)))</f>
        <v/>
      </c>
      <c r="U137" s="62" t="str">
        <f aca="false">IF(OR($C137="",S137=""),"",IF(S137/IF($S$2="",100,$S$2)&gt;=設定!$I$28,設定!$G$8,IF(S137/IF($S$2="",100,$S$2)&lt;設定!$I$29,設定!$G$10,設定!$G$9)))</f>
        <v/>
      </c>
    </row>
    <row r="138" customFormat="false" ht="21" hidden="false" customHeight="true" outlineLevel="0" collapsed="false">
      <c r="A138" s="91" t="str">
        <f aca="false">IF(名簿!$D138="","",名簿!$B138&amp;"")</f>
        <v/>
      </c>
      <c r="B138" s="91" t="str">
        <f aca="false">IF(名簿!$D138="","",名簿!$C138)</f>
        <v/>
      </c>
      <c r="C138" s="59" t="str">
        <f aca="false">IF(名簿!$D138="","",名簿!$D138&amp;IF(名簿!$F138="転出","（転出）",""))</f>
        <v/>
      </c>
      <c r="D138" s="149"/>
      <c r="E138" s="61" t="str">
        <f aca="false">IF(OR($C138="",名簿!$F138="転出"),"",IF($C$2="学級ごと",$A138,IF($C$2="前の単元と同じ",単元14!$E138&amp;"",$D138&amp;"")))</f>
        <v/>
      </c>
      <c r="F138" s="150"/>
      <c r="G138" s="150"/>
      <c r="H138" s="150"/>
      <c r="I138" s="151"/>
      <c r="J138" s="41" t="str">
        <f aca="false">IF($E138="","",$E138&amp;"|"&amp;COUNTIF($E$5:$E138,$E138))</f>
        <v/>
      </c>
      <c r="K138" s="40" t="str">
        <f aca="false">IF($I138="","",LEN($I138))</f>
        <v/>
      </c>
      <c r="L138" s="13"/>
      <c r="M138" s="13"/>
      <c r="N138" s="13"/>
      <c r="O138" s="13"/>
      <c r="P138" s="152"/>
      <c r="Q138" s="149"/>
      <c r="R138" s="152"/>
      <c r="S138" s="152"/>
      <c r="T138" s="62" t="str">
        <f aca="false">IF(OR($C138="",R138=""),"",IF(R138/IF($R$2="",100,$R$2)&gt;=設定!$I$28,設定!$G$8,IF(R138/IF($R$2="",100,$R$2)&lt;設定!$I$29,設定!$G$10,設定!$G$9)))</f>
        <v/>
      </c>
      <c r="U138" s="62" t="str">
        <f aca="false">IF(OR($C138="",S138=""),"",IF(S138/IF($S$2="",100,$S$2)&gt;=設定!$I$28,設定!$G$8,IF(S138/IF($S$2="",100,$S$2)&lt;設定!$I$29,設定!$G$10,設定!$G$9)))</f>
        <v/>
      </c>
    </row>
    <row r="139" customFormat="false" ht="21" hidden="false" customHeight="true" outlineLevel="0" collapsed="false">
      <c r="A139" s="91" t="str">
        <f aca="false">IF(名簿!$D139="","",名簿!$B139&amp;"")</f>
        <v/>
      </c>
      <c r="B139" s="91" t="str">
        <f aca="false">IF(名簿!$D139="","",名簿!$C139)</f>
        <v/>
      </c>
      <c r="C139" s="59" t="str">
        <f aca="false">IF(名簿!$D139="","",名簿!$D139&amp;IF(名簿!$F139="転出","（転出）",""))</f>
        <v/>
      </c>
      <c r="D139" s="149"/>
      <c r="E139" s="61" t="str">
        <f aca="false">IF(OR($C139="",名簿!$F139="転出"),"",IF($C$2="学級ごと",$A139,IF($C$2="前の単元と同じ",単元14!$E139&amp;"",$D139&amp;"")))</f>
        <v/>
      </c>
      <c r="F139" s="150"/>
      <c r="G139" s="150"/>
      <c r="H139" s="150"/>
      <c r="I139" s="151"/>
      <c r="J139" s="41" t="str">
        <f aca="false">IF($E139="","",$E139&amp;"|"&amp;COUNTIF($E$5:$E139,$E139))</f>
        <v/>
      </c>
      <c r="K139" s="40" t="str">
        <f aca="false">IF($I139="","",LEN($I139))</f>
        <v/>
      </c>
      <c r="L139" s="13"/>
      <c r="M139" s="13"/>
      <c r="N139" s="13"/>
      <c r="O139" s="13"/>
      <c r="P139" s="152"/>
      <c r="Q139" s="149"/>
      <c r="R139" s="152"/>
      <c r="S139" s="152"/>
      <c r="T139" s="62" t="str">
        <f aca="false">IF(OR($C139="",R139=""),"",IF(R139/IF($R$2="",100,$R$2)&gt;=設定!$I$28,設定!$G$8,IF(R139/IF($R$2="",100,$R$2)&lt;設定!$I$29,設定!$G$10,設定!$G$9)))</f>
        <v/>
      </c>
      <c r="U139" s="62" t="str">
        <f aca="false">IF(OR($C139="",S139=""),"",IF(S139/IF($S$2="",100,$S$2)&gt;=設定!$I$28,設定!$G$8,IF(S139/IF($S$2="",100,$S$2)&lt;設定!$I$29,設定!$G$10,設定!$G$9)))</f>
        <v/>
      </c>
    </row>
    <row r="140" customFormat="false" ht="21" hidden="false" customHeight="true" outlineLevel="0" collapsed="false">
      <c r="A140" s="91" t="str">
        <f aca="false">IF(名簿!$D140="","",名簿!$B140&amp;"")</f>
        <v/>
      </c>
      <c r="B140" s="91" t="str">
        <f aca="false">IF(名簿!$D140="","",名簿!$C140)</f>
        <v/>
      </c>
      <c r="C140" s="59" t="str">
        <f aca="false">IF(名簿!$D140="","",名簿!$D140&amp;IF(名簿!$F140="転出","（転出）",""))</f>
        <v/>
      </c>
      <c r="D140" s="149"/>
      <c r="E140" s="61" t="str">
        <f aca="false">IF(OR($C140="",名簿!$F140="転出"),"",IF($C$2="学級ごと",$A140,IF($C$2="前の単元と同じ",単元14!$E140&amp;"",$D140&amp;"")))</f>
        <v/>
      </c>
      <c r="F140" s="150"/>
      <c r="G140" s="150"/>
      <c r="H140" s="150"/>
      <c r="I140" s="151"/>
      <c r="J140" s="41" t="str">
        <f aca="false">IF($E140="","",$E140&amp;"|"&amp;COUNTIF($E$5:$E140,$E140))</f>
        <v/>
      </c>
      <c r="K140" s="40" t="str">
        <f aca="false">IF($I140="","",LEN($I140))</f>
        <v/>
      </c>
      <c r="L140" s="13"/>
      <c r="M140" s="13"/>
      <c r="N140" s="13"/>
      <c r="O140" s="13"/>
      <c r="P140" s="152"/>
      <c r="Q140" s="149"/>
      <c r="R140" s="152"/>
      <c r="S140" s="152"/>
      <c r="T140" s="62" t="str">
        <f aca="false">IF(OR($C140="",R140=""),"",IF(R140/IF($R$2="",100,$R$2)&gt;=設定!$I$28,設定!$G$8,IF(R140/IF($R$2="",100,$R$2)&lt;設定!$I$29,設定!$G$10,設定!$G$9)))</f>
        <v/>
      </c>
      <c r="U140" s="62" t="str">
        <f aca="false">IF(OR($C140="",S140=""),"",IF(S140/IF($S$2="",100,$S$2)&gt;=設定!$I$28,設定!$G$8,IF(S140/IF($S$2="",100,$S$2)&lt;設定!$I$29,設定!$G$10,設定!$G$9)))</f>
        <v/>
      </c>
    </row>
    <row r="141" customFormat="false" ht="21" hidden="false" customHeight="true" outlineLevel="0" collapsed="false">
      <c r="A141" s="91" t="str">
        <f aca="false">IF(名簿!$D141="","",名簿!$B141&amp;"")</f>
        <v/>
      </c>
      <c r="B141" s="91" t="str">
        <f aca="false">IF(名簿!$D141="","",名簿!$C141)</f>
        <v/>
      </c>
      <c r="C141" s="59" t="str">
        <f aca="false">IF(名簿!$D141="","",名簿!$D141&amp;IF(名簿!$F141="転出","（転出）",""))</f>
        <v/>
      </c>
      <c r="D141" s="149"/>
      <c r="E141" s="61" t="str">
        <f aca="false">IF(OR($C141="",名簿!$F141="転出"),"",IF($C$2="学級ごと",$A141,IF($C$2="前の単元と同じ",単元14!$E141&amp;"",$D141&amp;"")))</f>
        <v/>
      </c>
      <c r="F141" s="150"/>
      <c r="G141" s="150"/>
      <c r="H141" s="150"/>
      <c r="I141" s="151"/>
      <c r="J141" s="41" t="str">
        <f aca="false">IF($E141="","",$E141&amp;"|"&amp;COUNTIF($E$5:$E141,$E141))</f>
        <v/>
      </c>
      <c r="K141" s="40" t="str">
        <f aca="false">IF($I141="","",LEN($I141))</f>
        <v/>
      </c>
      <c r="L141" s="13"/>
      <c r="M141" s="13"/>
      <c r="N141" s="13"/>
      <c r="O141" s="13"/>
      <c r="P141" s="152"/>
      <c r="Q141" s="149"/>
      <c r="R141" s="152"/>
      <c r="S141" s="152"/>
      <c r="T141" s="62" t="str">
        <f aca="false">IF(OR($C141="",R141=""),"",IF(R141/IF($R$2="",100,$R$2)&gt;=設定!$I$28,設定!$G$8,IF(R141/IF($R$2="",100,$R$2)&lt;設定!$I$29,設定!$G$10,設定!$G$9)))</f>
        <v/>
      </c>
      <c r="U141" s="62" t="str">
        <f aca="false">IF(OR($C141="",S141=""),"",IF(S141/IF($S$2="",100,$S$2)&gt;=設定!$I$28,設定!$G$8,IF(S141/IF($S$2="",100,$S$2)&lt;設定!$I$29,設定!$G$10,設定!$G$9)))</f>
        <v/>
      </c>
    </row>
    <row r="142" customFormat="false" ht="21" hidden="false" customHeight="true" outlineLevel="0" collapsed="false">
      <c r="A142" s="91" t="str">
        <f aca="false">IF(名簿!$D142="","",名簿!$B142&amp;"")</f>
        <v/>
      </c>
      <c r="B142" s="91" t="str">
        <f aca="false">IF(名簿!$D142="","",名簿!$C142)</f>
        <v/>
      </c>
      <c r="C142" s="59" t="str">
        <f aca="false">IF(名簿!$D142="","",名簿!$D142&amp;IF(名簿!$F142="転出","（転出）",""))</f>
        <v/>
      </c>
      <c r="D142" s="149"/>
      <c r="E142" s="61" t="str">
        <f aca="false">IF(OR($C142="",名簿!$F142="転出"),"",IF($C$2="学級ごと",$A142,IF($C$2="前の単元と同じ",単元14!$E142&amp;"",$D142&amp;"")))</f>
        <v/>
      </c>
      <c r="F142" s="150"/>
      <c r="G142" s="150"/>
      <c r="H142" s="150"/>
      <c r="I142" s="151"/>
      <c r="J142" s="41" t="str">
        <f aca="false">IF($E142="","",$E142&amp;"|"&amp;COUNTIF($E$5:$E142,$E142))</f>
        <v/>
      </c>
      <c r="K142" s="40" t="str">
        <f aca="false">IF($I142="","",LEN($I142))</f>
        <v/>
      </c>
      <c r="L142" s="13"/>
      <c r="M142" s="13"/>
      <c r="N142" s="13"/>
      <c r="O142" s="13"/>
      <c r="P142" s="152"/>
      <c r="Q142" s="149"/>
      <c r="R142" s="152"/>
      <c r="S142" s="152"/>
      <c r="T142" s="62" t="str">
        <f aca="false">IF(OR($C142="",R142=""),"",IF(R142/IF($R$2="",100,$R$2)&gt;=設定!$I$28,設定!$G$8,IF(R142/IF($R$2="",100,$R$2)&lt;設定!$I$29,設定!$G$10,設定!$G$9)))</f>
        <v/>
      </c>
      <c r="U142" s="62" t="str">
        <f aca="false">IF(OR($C142="",S142=""),"",IF(S142/IF($S$2="",100,$S$2)&gt;=設定!$I$28,設定!$G$8,IF(S142/IF($S$2="",100,$S$2)&lt;設定!$I$29,設定!$G$10,設定!$G$9)))</f>
        <v/>
      </c>
    </row>
    <row r="143" customFormat="false" ht="21" hidden="false" customHeight="true" outlineLevel="0" collapsed="false">
      <c r="A143" s="91" t="str">
        <f aca="false">IF(名簿!$D143="","",名簿!$B143&amp;"")</f>
        <v/>
      </c>
      <c r="B143" s="91" t="str">
        <f aca="false">IF(名簿!$D143="","",名簿!$C143)</f>
        <v/>
      </c>
      <c r="C143" s="59" t="str">
        <f aca="false">IF(名簿!$D143="","",名簿!$D143&amp;IF(名簿!$F143="転出","（転出）",""))</f>
        <v/>
      </c>
      <c r="D143" s="149"/>
      <c r="E143" s="61" t="str">
        <f aca="false">IF(OR($C143="",名簿!$F143="転出"),"",IF($C$2="学級ごと",$A143,IF($C$2="前の単元と同じ",単元14!$E143&amp;"",$D143&amp;"")))</f>
        <v/>
      </c>
      <c r="F143" s="150"/>
      <c r="G143" s="150"/>
      <c r="H143" s="150"/>
      <c r="I143" s="151"/>
      <c r="J143" s="41" t="str">
        <f aca="false">IF($E143="","",$E143&amp;"|"&amp;COUNTIF($E$5:$E143,$E143))</f>
        <v/>
      </c>
      <c r="K143" s="40" t="str">
        <f aca="false">IF($I143="","",LEN($I143))</f>
        <v/>
      </c>
      <c r="L143" s="13"/>
      <c r="M143" s="13"/>
      <c r="N143" s="13"/>
      <c r="O143" s="13"/>
      <c r="P143" s="152"/>
      <c r="Q143" s="149"/>
      <c r="R143" s="152"/>
      <c r="S143" s="152"/>
      <c r="T143" s="62" t="str">
        <f aca="false">IF(OR($C143="",R143=""),"",IF(R143/IF($R$2="",100,$R$2)&gt;=設定!$I$28,設定!$G$8,IF(R143/IF($R$2="",100,$R$2)&lt;設定!$I$29,設定!$G$10,設定!$G$9)))</f>
        <v/>
      </c>
      <c r="U143" s="62" t="str">
        <f aca="false">IF(OR($C143="",S143=""),"",IF(S143/IF($S$2="",100,$S$2)&gt;=設定!$I$28,設定!$G$8,IF(S143/IF($S$2="",100,$S$2)&lt;設定!$I$29,設定!$G$10,設定!$G$9)))</f>
        <v/>
      </c>
    </row>
    <row r="144" customFormat="false" ht="21" hidden="false" customHeight="true" outlineLevel="0" collapsed="false">
      <c r="A144" s="91" t="str">
        <f aca="false">IF(名簿!$D144="","",名簿!$B144&amp;"")</f>
        <v/>
      </c>
      <c r="B144" s="91" t="str">
        <f aca="false">IF(名簿!$D144="","",名簿!$C144)</f>
        <v/>
      </c>
      <c r="C144" s="59" t="str">
        <f aca="false">IF(名簿!$D144="","",名簿!$D144&amp;IF(名簿!$F144="転出","（転出）",""))</f>
        <v/>
      </c>
      <c r="D144" s="149"/>
      <c r="E144" s="61" t="str">
        <f aca="false">IF(OR($C144="",名簿!$F144="転出"),"",IF($C$2="学級ごと",$A144,IF($C$2="前の単元と同じ",単元14!$E144&amp;"",$D144&amp;"")))</f>
        <v/>
      </c>
      <c r="F144" s="150"/>
      <c r="G144" s="150"/>
      <c r="H144" s="150"/>
      <c r="I144" s="151"/>
      <c r="J144" s="41" t="str">
        <f aca="false">IF($E144="","",$E144&amp;"|"&amp;COUNTIF($E$5:$E144,$E144))</f>
        <v/>
      </c>
      <c r="K144" s="40" t="str">
        <f aca="false">IF($I144="","",LEN($I144))</f>
        <v/>
      </c>
      <c r="L144" s="13"/>
      <c r="M144" s="13"/>
      <c r="N144" s="13"/>
      <c r="O144" s="13"/>
      <c r="P144" s="152"/>
      <c r="Q144" s="149"/>
      <c r="R144" s="152"/>
      <c r="S144" s="152"/>
      <c r="T144" s="62" t="str">
        <f aca="false">IF(OR($C144="",R144=""),"",IF(R144/IF($R$2="",100,$R$2)&gt;=設定!$I$28,設定!$G$8,IF(R144/IF($R$2="",100,$R$2)&lt;設定!$I$29,設定!$G$10,設定!$G$9)))</f>
        <v/>
      </c>
      <c r="U144" s="62" t="str">
        <f aca="false">IF(OR($C144="",S144=""),"",IF(S144/IF($S$2="",100,$S$2)&gt;=設定!$I$28,設定!$G$8,IF(S144/IF($S$2="",100,$S$2)&lt;設定!$I$29,設定!$G$10,設定!$G$9)))</f>
        <v/>
      </c>
    </row>
    <row r="145" customFormat="false" ht="21" hidden="false" customHeight="true" outlineLevel="0" collapsed="false">
      <c r="A145" s="91" t="str">
        <f aca="false">IF(名簿!$D145="","",名簿!$B145&amp;"")</f>
        <v/>
      </c>
      <c r="B145" s="91" t="str">
        <f aca="false">IF(名簿!$D145="","",名簿!$C145)</f>
        <v/>
      </c>
      <c r="C145" s="59" t="str">
        <f aca="false">IF(名簿!$D145="","",名簿!$D145&amp;IF(名簿!$F145="転出","（転出）",""))</f>
        <v/>
      </c>
      <c r="D145" s="149"/>
      <c r="E145" s="61" t="str">
        <f aca="false">IF(OR($C145="",名簿!$F145="転出"),"",IF($C$2="学級ごと",$A145,IF($C$2="前の単元と同じ",単元14!$E145&amp;"",$D145&amp;"")))</f>
        <v/>
      </c>
      <c r="F145" s="150"/>
      <c r="G145" s="150"/>
      <c r="H145" s="150"/>
      <c r="I145" s="151"/>
      <c r="J145" s="41" t="str">
        <f aca="false">IF($E145="","",$E145&amp;"|"&amp;COUNTIF($E$5:$E145,$E145))</f>
        <v/>
      </c>
      <c r="K145" s="40" t="str">
        <f aca="false">IF($I145="","",LEN($I145))</f>
        <v/>
      </c>
      <c r="L145" s="13"/>
      <c r="M145" s="13"/>
      <c r="N145" s="13"/>
      <c r="O145" s="13"/>
      <c r="P145" s="152"/>
      <c r="Q145" s="149"/>
      <c r="R145" s="152"/>
      <c r="S145" s="152"/>
      <c r="T145" s="62" t="str">
        <f aca="false">IF(OR($C145="",R145=""),"",IF(R145/IF($R$2="",100,$R$2)&gt;=設定!$I$28,設定!$G$8,IF(R145/IF($R$2="",100,$R$2)&lt;設定!$I$29,設定!$G$10,設定!$G$9)))</f>
        <v/>
      </c>
      <c r="U145" s="62" t="str">
        <f aca="false">IF(OR($C145="",S145=""),"",IF(S145/IF($S$2="",100,$S$2)&gt;=設定!$I$28,設定!$G$8,IF(S145/IF($S$2="",100,$S$2)&lt;設定!$I$29,設定!$G$10,設定!$G$9)))</f>
        <v/>
      </c>
    </row>
    <row r="146" customFormat="false" ht="21" hidden="false" customHeight="true" outlineLevel="0" collapsed="false">
      <c r="A146" s="91" t="str">
        <f aca="false">IF(名簿!$D146="","",名簿!$B146&amp;"")</f>
        <v/>
      </c>
      <c r="B146" s="91" t="str">
        <f aca="false">IF(名簿!$D146="","",名簿!$C146)</f>
        <v/>
      </c>
      <c r="C146" s="59" t="str">
        <f aca="false">IF(名簿!$D146="","",名簿!$D146&amp;IF(名簿!$F146="転出","（転出）",""))</f>
        <v/>
      </c>
      <c r="D146" s="149"/>
      <c r="E146" s="61" t="str">
        <f aca="false">IF(OR($C146="",名簿!$F146="転出"),"",IF($C$2="学級ごと",$A146,IF($C$2="前の単元と同じ",単元14!$E146&amp;"",$D146&amp;"")))</f>
        <v/>
      </c>
      <c r="F146" s="150"/>
      <c r="G146" s="150"/>
      <c r="H146" s="150"/>
      <c r="I146" s="151"/>
      <c r="J146" s="41" t="str">
        <f aca="false">IF($E146="","",$E146&amp;"|"&amp;COUNTIF($E$5:$E146,$E146))</f>
        <v/>
      </c>
      <c r="K146" s="40" t="str">
        <f aca="false">IF($I146="","",LEN($I146))</f>
        <v/>
      </c>
      <c r="L146" s="13"/>
      <c r="M146" s="13"/>
      <c r="N146" s="13"/>
      <c r="O146" s="13"/>
      <c r="P146" s="152"/>
      <c r="Q146" s="149"/>
      <c r="R146" s="152"/>
      <c r="S146" s="152"/>
      <c r="T146" s="62" t="str">
        <f aca="false">IF(OR($C146="",R146=""),"",IF(R146/IF($R$2="",100,$R$2)&gt;=設定!$I$28,設定!$G$8,IF(R146/IF($R$2="",100,$R$2)&lt;設定!$I$29,設定!$G$10,設定!$G$9)))</f>
        <v/>
      </c>
      <c r="U146" s="62" t="str">
        <f aca="false">IF(OR($C146="",S146=""),"",IF(S146/IF($S$2="",100,$S$2)&gt;=設定!$I$28,設定!$G$8,IF(S146/IF($S$2="",100,$S$2)&lt;設定!$I$29,設定!$G$10,設定!$G$9)))</f>
        <v/>
      </c>
    </row>
    <row r="147" customFormat="false" ht="21" hidden="false" customHeight="true" outlineLevel="0" collapsed="false">
      <c r="A147" s="91" t="str">
        <f aca="false">IF(名簿!$D147="","",名簿!$B147&amp;"")</f>
        <v/>
      </c>
      <c r="B147" s="91" t="str">
        <f aca="false">IF(名簿!$D147="","",名簿!$C147)</f>
        <v/>
      </c>
      <c r="C147" s="59" t="str">
        <f aca="false">IF(名簿!$D147="","",名簿!$D147&amp;IF(名簿!$F147="転出","（転出）",""))</f>
        <v/>
      </c>
      <c r="D147" s="149"/>
      <c r="E147" s="61" t="str">
        <f aca="false">IF(OR($C147="",名簿!$F147="転出"),"",IF($C$2="学級ごと",$A147,IF($C$2="前の単元と同じ",単元14!$E147&amp;"",$D147&amp;"")))</f>
        <v/>
      </c>
      <c r="F147" s="150"/>
      <c r="G147" s="150"/>
      <c r="H147" s="150"/>
      <c r="I147" s="151"/>
      <c r="J147" s="41" t="str">
        <f aca="false">IF($E147="","",$E147&amp;"|"&amp;COUNTIF($E$5:$E147,$E147))</f>
        <v/>
      </c>
      <c r="K147" s="40" t="str">
        <f aca="false">IF($I147="","",LEN($I147))</f>
        <v/>
      </c>
      <c r="L147" s="13"/>
      <c r="M147" s="13"/>
      <c r="N147" s="13"/>
      <c r="O147" s="13"/>
      <c r="P147" s="152"/>
      <c r="Q147" s="149"/>
      <c r="R147" s="152"/>
      <c r="S147" s="152"/>
      <c r="T147" s="62" t="str">
        <f aca="false">IF(OR($C147="",R147=""),"",IF(R147/IF($R$2="",100,$R$2)&gt;=設定!$I$28,設定!$G$8,IF(R147/IF($R$2="",100,$R$2)&lt;設定!$I$29,設定!$G$10,設定!$G$9)))</f>
        <v/>
      </c>
      <c r="U147" s="62" t="str">
        <f aca="false">IF(OR($C147="",S147=""),"",IF(S147/IF($S$2="",100,$S$2)&gt;=設定!$I$28,設定!$G$8,IF(S147/IF($S$2="",100,$S$2)&lt;設定!$I$29,設定!$G$10,設定!$G$9)))</f>
        <v/>
      </c>
    </row>
    <row r="148" customFormat="false" ht="21" hidden="false" customHeight="true" outlineLevel="0" collapsed="false">
      <c r="A148" s="91" t="str">
        <f aca="false">IF(名簿!$D148="","",名簿!$B148&amp;"")</f>
        <v/>
      </c>
      <c r="B148" s="91" t="str">
        <f aca="false">IF(名簿!$D148="","",名簿!$C148)</f>
        <v/>
      </c>
      <c r="C148" s="59" t="str">
        <f aca="false">IF(名簿!$D148="","",名簿!$D148&amp;IF(名簿!$F148="転出","（転出）",""))</f>
        <v/>
      </c>
      <c r="D148" s="149"/>
      <c r="E148" s="61" t="str">
        <f aca="false">IF(OR($C148="",名簿!$F148="転出"),"",IF($C$2="学級ごと",$A148,IF($C$2="前の単元と同じ",単元14!$E148&amp;"",$D148&amp;"")))</f>
        <v/>
      </c>
      <c r="F148" s="150"/>
      <c r="G148" s="150"/>
      <c r="H148" s="150"/>
      <c r="I148" s="151"/>
      <c r="J148" s="41" t="str">
        <f aca="false">IF($E148="","",$E148&amp;"|"&amp;COUNTIF($E$5:$E148,$E148))</f>
        <v/>
      </c>
      <c r="K148" s="40" t="str">
        <f aca="false">IF($I148="","",LEN($I148))</f>
        <v/>
      </c>
      <c r="L148" s="13"/>
      <c r="M148" s="13"/>
      <c r="N148" s="13"/>
      <c r="O148" s="13"/>
      <c r="P148" s="152"/>
      <c r="Q148" s="149"/>
      <c r="R148" s="152"/>
      <c r="S148" s="152"/>
      <c r="T148" s="62" t="str">
        <f aca="false">IF(OR($C148="",R148=""),"",IF(R148/IF($R$2="",100,$R$2)&gt;=設定!$I$28,設定!$G$8,IF(R148/IF($R$2="",100,$R$2)&lt;設定!$I$29,設定!$G$10,設定!$G$9)))</f>
        <v/>
      </c>
      <c r="U148" s="62" t="str">
        <f aca="false">IF(OR($C148="",S148=""),"",IF(S148/IF($S$2="",100,$S$2)&gt;=設定!$I$28,設定!$G$8,IF(S148/IF($S$2="",100,$S$2)&lt;設定!$I$29,設定!$G$10,設定!$G$9)))</f>
        <v/>
      </c>
    </row>
    <row r="149" customFormat="false" ht="21" hidden="false" customHeight="true" outlineLevel="0" collapsed="false">
      <c r="A149" s="91" t="str">
        <f aca="false">IF(名簿!$D149="","",名簿!$B149&amp;"")</f>
        <v/>
      </c>
      <c r="B149" s="91" t="str">
        <f aca="false">IF(名簿!$D149="","",名簿!$C149)</f>
        <v/>
      </c>
      <c r="C149" s="59" t="str">
        <f aca="false">IF(名簿!$D149="","",名簿!$D149&amp;IF(名簿!$F149="転出","（転出）",""))</f>
        <v/>
      </c>
      <c r="D149" s="149"/>
      <c r="E149" s="61" t="str">
        <f aca="false">IF(OR($C149="",名簿!$F149="転出"),"",IF($C$2="学級ごと",$A149,IF($C$2="前の単元と同じ",単元14!$E149&amp;"",$D149&amp;"")))</f>
        <v/>
      </c>
      <c r="F149" s="150"/>
      <c r="G149" s="150"/>
      <c r="H149" s="150"/>
      <c r="I149" s="151"/>
      <c r="J149" s="41" t="str">
        <f aca="false">IF($E149="","",$E149&amp;"|"&amp;COUNTIF($E$5:$E149,$E149))</f>
        <v/>
      </c>
      <c r="K149" s="40" t="str">
        <f aca="false">IF($I149="","",LEN($I149))</f>
        <v/>
      </c>
      <c r="L149" s="13"/>
      <c r="M149" s="13"/>
      <c r="N149" s="13"/>
      <c r="O149" s="13"/>
      <c r="P149" s="152"/>
      <c r="Q149" s="149"/>
      <c r="R149" s="152"/>
      <c r="S149" s="152"/>
      <c r="T149" s="62" t="str">
        <f aca="false">IF(OR($C149="",R149=""),"",IF(R149/IF($R$2="",100,$R$2)&gt;=設定!$I$28,設定!$G$8,IF(R149/IF($R$2="",100,$R$2)&lt;設定!$I$29,設定!$G$10,設定!$G$9)))</f>
        <v/>
      </c>
      <c r="U149" s="62" t="str">
        <f aca="false">IF(OR($C149="",S149=""),"",IF(S149/IF($S$2="",100,$S$2)&gt;=設定!$I$28,設定!$G$8,IF(S149/IF($S$2="",100,$S$2)&lt;設定!$I$29,設定!$G$10,設定!$G$9)))</f>
        <v/>
      </c>
    </row>
    <row r="150" customFormat="false" ht="21" hidden="false" customHeight="true" outlineLevel="0" collapsed="false">
      <c r="A150" s="91" t="str">
        <f aca="false">IF(名簿!$D150="","",名簿!$B150&amp;"")</f>
        <v/>
      </c>
      <c r="B150" s="91" t="str">
        <f aca="false">IF(名簿!$D150="","",名簿!$C150)</f>
        <v/>
      </c>
      <c r="C150" s="59" t="str">
        <f aca="false">IF(名簿!$D150="","",名簿!$D150&amp;IF(名簿!$F150="転出","（転出）",""))</f>
        <v/>
      </c>
      <c r="D150" s="149"/>
      <c r="E150" s="61" t="str">
        <f aca="false">IF(OR($C150="",名簿!$F150="転出"),"",IF($C$2="学級ごと",$A150,IF($C$2="前の単元と同じ",単元14!$E150&amp;"",$D150&amp;"")))</f>
        <v/>
      </c>
      <c r="F150" s="150"/>
      <c r="G150" s="150"/>
      <c r="H150" s="150"/>
      <c r="I150" s="151"/>
      <c r="J150" s="41" t="str">
        <f aca="false">IF($E150="","",$E150&amp;"|"&amp;COUNTIF($E$5:$E150,$E150))</f>
        <v/>
      </c>
      <c r="K150" s="40" t="str">
        <f aca="false">IF($I150="","",LEN($I150))</f>
        <v/>
      </c>
      <c r="L150" s="13"/>
      <c r="M150" s="13"/>
      <c r="N150" s="13"/>
      <c r="O150" s="13"/>
      <c r="P150" s="152"/>
      <c r="Q150" s="149"/>
      <c r="R150" s="152"/>
      <c r="S150" s="152"/>
      <c r="T150" s="62" t="str">
        <f aca="false">IF(OR($C150="",R150=""),"",IF(R150/IF($R$2="",100,$R$2)&gt;=設定!$I$28,設定!$G$8,IF(R150/IF($R$2="",100,$R$2)&lt;設定!$I$29,設定!$G$10,設定!$G$9)))</f>
        <v/>
      </c>
      <c r="U150" s="62" t="str">
        <f aca="false">IF(OR($C150="",S150=""),"",IF(S150/IF($S$2="",100,$S$2)&gt;=設定!$I$28,設定!$G$8,IF(S150/IF($S$2="",100,$S$2)&lt;設定!$I$29,設定!$G$10,設定!$G$9)))</f>
        <v/>
      </c>
    </row>
    <row r="151" customFormat="false" ht="21" hidden="false" customHeight="true" outlineLevel="0" collapsed="false">
      <c r="A151" s="91" t="str">
        <f aca="false">IF(名簿!$D151="","",名簿!$B151&amp;"")</f>
        <v/>
      </c>
      <c r="B151" s="91" t="str">
        <f aca="false">IF(名簿!$D151="","",名簿!$C151)</f>
        <v/>
      </c>
      <c r="C151" s="59" t="str">
        <f aca="false">IF(名簿!$D151="","",名簿!$D151&amp;IF(名簿!$F151="転出","（転出）",""))</f>
        <v/>
      </c>
      <c r="D151" s="149"/>
      <c r="E151" s="61" t="str">
        <f aca="false">IF(OR($C151="",名簿!$F151="転出"),"",IF($C$2="学級ごと",$A151,IF($C$2="前の単元と同じ",単元14!$E151&amp;"",$D151&amp;"")))</f>
        <v/>
      </c>
      <c r="F151" s="150"/>
      <c r="G151" s="150"/>
      <c r="H151" s="150"/>
      <c r="I151" s="151"/>
      <c r="J151" s="41" t="str">
        <f aca="false">IF($E151="","",$E151&amp;"|"&amp;COUNTIF($E$5:$E151,$E151))</f>
        <v/>
      </c>
      <c r="K151" s="40" t="str">
        <f aca="false">IF($I151="","",LEN($I151))</f>
        <v/>
      </c>
      <c r="L151" s="13"/>
      <c r="M151" s="13"/>
      <c r="N151" s="13"/>
      <c r="O151" s="13"/>
      <c r="P151" s="152"/>
      <c r="Q151" s="149"/>
      <c r="R151" s="152"/>
      <c r="S151" s="152"/>
      <c r="T151" s="62" t="str">
        <f aca="false">IF(OR($C151="",R151=""),"",IF(R151/IF($R$2="",100,$R$2)&gt;=設定!$I$28,設定!$G$8,IF(R151/IF($R$2="",100,$R$2)&lt;設定!$I$29,設定!$G$10,設定!$G$9)))</f>
        <v/>
      </c>
      <c r="U151" s="62" t="str">
        <f aca="false">IF(OR($C151="",S151=""),"",IF(S151/IF($S$2="",100,$S$2)&gt;=設定!$I$28,設定!$G$8,IF(S151/IF($S$2="",100,$S$2)&lt;設定!$I$29,設定!$G$10,設定!$G$9)))</f>
        <v/>
      </c>
    </row>
    <row r="152" customFormat="false" ht="21" hidden="false" customHeight="true" outlineLevel="0" collapsed="false">
      <c r="A152" s="91" t="str">
        <f aca="false">IF(名簿!$D152="","",名簿!$B152&amp;"")</f>
        <v/>
      </c>
      <c r="B152" s="91" t="str">
        <f aca="false">IF(名簿!$D152="","",名簿!$C152)</f>
        <v/>
      </c>
      <c r="C152" s="59" t="str">
        <f aca="false">IF(名簿!$D152="","",名簿!$D152&amp;IF(名簿!$F152="転出","（転出）",""))</f>
        <v/>
      </c>
      <c r="D152" s="149"/>
      <c r="E152" s="61" t="str">
        <f aca="false">IF(OR($C152="",名簿!$F152="転出"),"",IF($C$2="学級ごと",$A152,IF($C$2="前の単元と同じ",単元14!$E152&amp;"",$D152&amp;"")))</f>
        <v/>
      </c>
      <c r="F152" s="150"/>
      <c r="G152" s="150"/>
      <c r="H152" s="150"/>
      <c r="I152" s="151"/>
      <c r="J152" s="41" t="str">
        <f aca="false">IF($E152="","",$E152&amp;"|"&amp;COUNTIF($E$5:$E152,$E152))</f>
        <v/>
      </c>
      <c r="K152" s="40" t="str">
        <f aca="false">IF($I152="","",LEN($I152))</f>
        <v/>
      </c>
      <c r="L152" s="13"/>
      <c r="M152" s="13"/>
      <c r="N152" s="13"/>
      <c r="O152" s="13"/>
      <c r="P152" s="152"/>
      <c r="Q152" s="149"/>
      <c r="R152" s="152"/>
      <c r="S152" s="152"/>
      <c r="T152" s="62" t="str">
        <f aca="false">IF(OR($C152="",R152=""),"",IF(R152/IF($R$2="",100,$R$2)&gt;=設定!$I$28,設定!$G$8,IF(R152/IF($R$2="",100,$R$2)&lt;設定!$I$29,設定!$G$10,設定!$G$9)))</f>
        <v/>
      </c>
      <c r="U152" s="62" t="str">
        <f aca="false">IF(OR($C152="",S152=""),"",IF(S152/IF($S$2="",100,$S$2)&gt;=設定!$I$28,設定!$G$8,IF(S152/IF($S$2="",100,$S$2)&lt;設定!$I$29,設定!$G$10,設定!$G$9)))</f>
        <v/>
      </c>
    </row>
    <row r="153" customFormat="false" ht="21" hidden="false" customHeight="true" outlineLevel="0" collapsed="false">
      <c r="A153" s="91" t="str">
        <f aca="false">IF(名簿!$D153="","",名簿!$B153&amp;"")</f>
        <v/>
      </c>
      <c r="B153" s="91" t="str">
        <f aca="false">IF(名簿!$D153="","",名簿!$C153)</f>
        <v/>
      </c>
      <c r="C153" s="59" t="str">
        <f aca="false">IF(名簿!$D153="","",名簿!$D153&amp;IF(名簿!$F153="転出","（転出）",""))</f>
        <v/>
      </c>
      <c r="D153" s="149"/>
      <c r="E153" s="61" t="str">
        <f aca="false">IF(OR($C153="",名簿!$F153="転出"),"",IF($C$2="学級ごと",$A153,IF($C$2="前の単元と同じ",単元14!$E153&amp;"",$D153&amp;"")))</f>
        <v/>
      </c>
      <c r="F153" s="150"/>
      <c r="G153" s="150"/>
      <c r="H153" s="150"/>
      <c r="I153" s="151"/>
      <c r="J153" s="41" t="str">
        <f aca="false">IF($E153="","",$E153&amp;"|"&amp;COUNTIF($E$5:$E153,$E153))</f>
        <v/>
      </c>
      <c r="K153" s="40" t="str">
        <f aca="false">IF($I153="","",LEN($I153))</f>
        <v/>
      </c>
      <c r="L153" s="13"/>
      <c r="M153" s="13"/>
      <c r="N153" s="13"/>
      <c r="O153" s="13"/>
      <c r="P153" s="152"/>
      <c r="Q153" s="149"/>
      <c r="R153" s="152"/>
      <c r="S153" s="152"/>
      <c r="T153" s="62" t="str">
        <f aca="false">IF(OR($C153="",R153=""),"",IF(R153/IF($R$2="",100,$R$2)&gt;=設定!$I$28,設定!$G$8,IF(R153/IF($R$2="",100,$R$2)&lt;設定!$I$29,設定!$G$10,設定!$G$9)))</f>
        <v/>
      </c>
      <c r="U153" s="62" t="str">
        <f aca="false">IF(OR($C153="",S153=""),"",IF(S153/IF($S$2="",100,$S$2)&gt;=設定!$I$28,設定!$G$8,IF(S153/IF($S$2="",100,$S$2)&lt;設定!$I$29,設定!$G$10,設定!$G$9)))</f>
        <v/>
      </c>
    </row>
    <row r="154" customFormat="false" ht="21" hidden="false" customHeight="true" outlineLevel="0" collapsed="false">
      <c r="A154" s="91" t="str">
        <f aca="false">IF(名簿!$D154="","",名簿!$B154&amp;"")</f>
        <v/>
      </c>
      <c r="B154" s="91" t="str">
        <f aca="false">IF(名簿!$D154="","",名簿!$C154)</f>
        <v/>
      </c>
      <c r="C154" s="59" t="str">
        <f aca="false">IF(名簿!$D154="","",名簿!$D154&amp;IF(名簿!$F154="転出","（転出）",""))</f>
        <v/>
      </c>
      <c r="D154" s="149"/>
      <c r="E154" s="61" t="str">
        <f aca="false">IF(OR($C154="",名簿!$F154="転出"),"",IF($C$2="学級ごと",$A154,IF($C$2="前の単元と同じ",単元14!$E154&amp;"",$D154&amp;"")))</f>
        <v/>
      </c>
      <c r="F154" s="150"/>
      <c r="G154" s="150"/>
      <c r="H154" s="150"/>
      <c r="I154" s="151"/>
      <c r="J154" s="41" t="str">
        <f aca="false">IF($E154="","",$E154&amp;"|"&amp;COUNTIF($E$5:$E154,$E154))</f>
        <v/>
      </c>
      <c r="K154" s="40" t="str">
        <f aca="false">IF($I154="","",LEN($I154))</f>
        <v/>
      </c>
      <c r="L154" s="13"/>
      <c r="M154" s="13"/>
      <c r="N154" s="13"/>
      <c r="O154" s="13"/>
      <c r="P154" s="152"/>
      <c r="Q154" s="149"/>
      <c r="R154" s="152"/>
      <c r="S154" s="152"/>
      <c r="T154" s="62" t="str">
        <f aca="false">IF(OR($C154="",R154=""),"",IF(R154/IF($R$2="",100,$R$2)&gt;=設定!$I$28,設定!$G$8,IF(R154/IF($R$2="",100,$R$2)&lt;設定!$I$29,設定!$G$10,設定!$G$9)))</f>
        <v/>
      </c>
      <c r="U154" s="62" t="str">
        <f aca="false">IF(OR($C154="",S154=""),"",IF(S154/IF($S$2="",100,$S$2)&gt;=設定!$I$28,設定!$G$8,IF(S154/IF($S$2="",100,$S$2)&lt;設定!$I$29,設定!$G$10,設定!$G$9)))</f>
        <v/>
      </c>
    </row>
    <row r="155" customFormat="false" ht="21" hidden="false" customHeight="true" outlineLevel="0" collapsed="false">
      <c r="A155" s="91" t="str">
        <f aca="false">IF(名簿!$D155="","",名簿!$B155&amp;"")</f>
        <v/>
      </c>
      <c r="B155" s="91" t="str">
        <f aca="false">IF(名簿!$D155="","",名簿!$C155)</f>
        <v/>
      </c>
      <c r="C155" s="59" t="str">
        <f aca="false">IF(名簿!$D155="","",名簿!$D155&amp;IF(名簿!$F155="転出","（転出）",""))</f>
        <v/>
      </c>
      <c r="D155" s="149"/>
      <c r="E155" s="61" t="str">
        <f aca="false">IF(OR($C155="",名簿!$F155="転出"),"",IF($C$2="学級ごと",$A155,IF($C$2="前の単元と同じ",単元14!$E155&amp;"",$D155&amp;"")))</f>
        <v/>
      </c>
      <c r="F155" s="150"/>
      <c r="G155" s="150"/>
      <c r="H155" s="150"/>
      <c r="I155" s="151"/>
      <c r="J155" s="41" t="str">
        <f aca="false">IF($E155="","",$E155&amp;"|"&amp;COUNTIF($E$5:$E155,$E155))</f>
        <v/>
      </c>
      <c r="K155" s="40" t="str">
        <f aca="false">IF($I155="","",LEN($I155))</f>
        <v/>
      </c>
      <c r="L155" s="13"/>
      <c r="M155" s="13"/>
      <c r="N155" s="13"/>
      <c r="O155" s="13"/>
      <c r="P155" s="152"/>
      <c r="Q155" s="149"/>
      <c r="R155" s="152"/>
      <c r="S155" s="152"/>
      <c r="T155" s="62" t="str">
        <f aca="false">IF(OR($C155="",R155=""),"",IF(R155/IF($R$2="",100,$R$2)&gt;=設定!$I$28,設定!$G$8,IF(R155/IF($R$2="",100,$R$2)&lt;設定!$I$29,設定!$G$10,設定!$G$9)))</f>
        <v/>
      </c>
      <c r="U155" s="62" t="str">
        <f aca="false">IF(OR($C155="",S155=""),"",IF(S155/IF($S$2="",100,$S$2)&gt;=設定!$I$28,設定!$G$8,IF(S155/IF($S$2="",100,$S$2)&lt;設定!$I$29,設定!$G$10,設定!$G$9)))</f>
        <v/>
      </c>
    </row>
    <row r="156" customFormat="false" ht="21" hidden="false" customHeight="true" outlineLevel="0" collapsed="false">
      <c r="A156" s="91" t="str">
        <f aca="false">IF(名簿!$D156="","",名簿!$B156&amp;"")</f>
        <v/>
      </c>
      <c r="B156" s="91" t="str">
        <f aca="false">IF(名簿!$D156="","",名簿!$C156)</f>
        <v/>
      </c>
      <c r="C156" s="59" t="str">
        <f aca="false">IF(名簿!$D156="","",名簿!$D156&amp;IF(名簿!$F156="転出","（転出）",""))</f>
        <v/>
      </c>
      <c r="D156" s="149"/>
      <c r="E156" s="61" t="str">
        <f aca="false">IF(OR($C156="",名簿!$F156="転出"),"",IF($C$2="学級ごと",$A156,IF($C$2="前の単元と同じ",単元14!$E156&amp;"",$D156&amp;"")))</f>
        <v/>
      </c>
      <c r="F156" s="150"/>
      <c r="G156" s="150"/>
      <c r="H156" s="150"/>
      <c r="I156" s="151"/>
      <c r="J156" s="41" t="str">
        <f aca="false">IF($E156="","",$E156&amp;"|"&amp;COUNTIF($E$5:$E156,$E156))</f>
        <v/>
      </c>
      <c r="K156" s="40" t="str">
        <f aca="false">IF($I156="","",LEN($I156))</f>
        <v/>
      </c>
      <c r="L156" s="13"/>
      <c r="M156" s="13"/>
      <c r="N156" s="13"/>
      <c r="O156" s="13"/>
      <c r="P156" s="152"/>
      <c r="Q156" s="149"/>
      <c r="R156" s="152"/>
      <c r="S156" s="152"/>
      <c r="T156" s="62" t="str">
        <f aca="false">IF(OR($C156="",R156=""),"",IF(R156/IF($R$2="",100,$R$2)&gt;=設定!$I$28,設定!$G$8,IF(R156/IF($R$2="",100,$R$2)&lt;設定!$I$29,設定!$G$10,設定!$G$9)))</f>
        <v/>
      </c>
      <c r="U156" s="62" t="str">
        <f aca="false">IF(OR($C156="",S156=""),"",IF(S156/IF($S$2="",100,$S$2)&gt;=設定!$I$28,設定!$G$8,IF(S156/IF($S$2="",100,$S$2)&lt;設定!$I$29,設定!$G$10,設定!$G$9)))</f>
        <v/>
      </c>
    </row>
    <row r="157" customFormat="false" ht="21" hidden="false" customHeight="true" outlineLevel="0" collapsed="false">
      <c r="A157" s="91" t="str">
        <f aca="false">IF(名簿!$D157="","",名簿!$B157&amp;"")</f>
        <v/>
      </c>
      <c r="B157" s="91" t="str">
        <f aca="false">IF(名簿!$D157="","",名簿!$C157)</f>
        <v/>
      </c>
      <c r="C157" s="59" t="str">
        <f aca="false">IF(名簿!$D157="","",名簿!$D157&amp;IF(名簿!$F157="転出","（転出）",""))</f>
        <v/>
      </c>
      <c r="D157" s="149"/>
      <c r="E157" s="61" t="str">
        <f aca="false">IF(OR($C157="",名簿!$F157="転出"),"",IF($C$2="学級ごと",$A157,IF($C$2="前の単元と同じ",単元14!$E157&amp;"",$D157&amp;"")))</f>
        <v/>
      </c>
      <c r="F157" s="150"/>
      <c r="G157" s="150"/>
      <c r="H157" s="150"/>
      <c r="I157" s="151"/>
      <c r="J157" s="41" t="str">
        <f aca="false">IF($E157="","",$E157&amp;"|"&amp;COUNTIF($E$5:$E157,$E157))</f>
        <v/>
      </c>
      <c r="K157" s="40" t="str">
        <f aca="false">IF($I157="","",LEN($I157))</f>
        <v/>
      </c>
      <c r="L157" s="13"/>
      <c r="M157" s="13"/>
      <c r="N157" s="13"/>
      <c r="O157" s="13"/>
      <c r="P157" s="152"/>
      <c r="Q157" s="149"/>
      <c r="R157" s="152"/>
      <c r="S157" s="152"/>
      <c r="T157" s="62" t="str">
        <f aca="false">IF(OR($C157="",R157=""),"",IF(R157/IF($R$2="",100,$R$2)&gt;=設定!$I$28,設定!$G$8,IF(R157/IF($R$2="",100,$R$2)&lt;設定!$I$29,設定!$G$10,設定!$G$9)))</f>
        <v/>
      </c>
      <c r="U157" s="62" t="str">
        <f aca="false">IF(OR($C157="",S157=""),"",IF(S157/IF($S$2="",100,$S$2)&gt;=設定!$I$28,設定!$G$8,IF(S157/IF($S$2="",100,$S$2)&lt;設定!$I$29,設定!$G$10,設定!$G$9)))</f>
        <v/>
      </c>
    </row>
    <row r="158" customFormat="false" ht="21" hidden="false" customHeight="true" outlineLevel="0" collapsed="false">
      <c r="A158" s="91" t="str">
        <f aca="false">IF(名簿!$D158="","",名簿!$B158&amp;"")</f>
        <v/>
      </c>
      <c r="B158" s="91" t="str">
        <f aca="false">IF(名簿!$D158="","",名簿!$C158)</f>
        <v/>
      </c>
      <c r="C158" s="59" t="str">
        <f aca="false">IF(名簿!$D158="","",名簿!$D158&amp;IF(名簿!$F158="転出","（転出）",""))</f>
        <v/>
      </c>
      <c r="D158" s="149"/>
      <c r="E158" s="61" t="str">
        <f aca="false">IF(OR($C158="",名簿!$F158="転出"),"",IF($C$2="学級ごと",$A158,IF($C$2="前の単元と同じ",単元14!$E158&amp;"",$D158&amp;"")))</f>
        <v/>
      </c>
      <c r="F158" s="150"/>
      <c r="G158" s="150"/>
      <c r="H158" s="150"/>
      <c r="I158" s="151"/>
      <c r="J158" s="41" t="str">
        <f aca="false">IF($E158="","",$E158&amp;"|"&amp;COUNTIF($E$5:$E158,$E158))</f>
        <v/>
      </c>
      <c r="K158" s="40" t="str">
        <f aca="false">IF($I158="","",LEN($I158))</f>
        <v/>
      </c>
      <c r="L158" s="13"/>
      <c r="M158" s="13"/>
      <c r="N158" s="13"/>
      <c r="O158" s="13"/>
      <c r="P158" s="152"/>
      <c r="Q158" s="149"/>
      <c r="R158" s="152"/>
      <c r="S158" s="152"/>
      <c r="T158" s="62" t="str">
        <f aca="false">IF(OR($C158="",R158=""),"",IF(R158/IF($R$2="",100,$R$2)&gt;=設定!$I$28,設定!$G$8,IF(R158/IF($R$2="",100,$R$2)&lt;設定!$I$29,設定!$G$10,設定!$G$9)))</f>
        <v/>
      </c>
      <c r="U158" s="62" t="str">
        <f aca="false">IF(OR($C158="",S158=""),"",IF(S158/IF($S$2="",100,$S$2)&gt;=設定!$I$28,設定!$G$8,IF(S158/IF($S$2="",100,$S$2)&lt;設定!$I$29,設定!$G$10,設定!$G$9)))</f>
        <v/>
      </c>
    </row>
    <row r="159" customFormat="false" ht="21" hidden="false" customHeight="true" outlineLevel="0" collapsed="false">
      <c r="A159" s="91" t="str">
        <f aca="false">IF(名簿!$D159="","",名簿!$B159&amp;"")</f>
        <v/>
      </c>
      <c r="B159" s="91" t="str">
        <f aca="false">IF(名簿!$D159="","",名簿!$C159)</f>
        <v/>
      </c>
      <c r="C159" s="59" t="str">
        <f aca="false">IF(名簿!$D159="","",名簿!$D159&amp;IF(名簿!$F159="転出","（転出）",""))</f>
        <v/>
      </c>
      <c r="D159" s="149"/>
      <c r="E159" s="61" t="str">
        <f aca="false">IF(OR($C159="",名簿!$F159="転出"),"",IF($C$2="学級ごと",$A159,IF($C$2="前の単元と同じ",単元14!$E159&amp;"",$D159&amp;"")))</f>
        <v/>
      </c>
      <c r="F159" s="150"/>
      <c r="G159" s="150"/>
      <c r="H159" s="150"/>
      <c r="I159" s="151"/>
      <c r="J159" s="41" t="str">
        <f aca="false">IF($E159="","",$E159&amp;"|"&amp;COUNTIF($E$5:$E159,$E159))</f>
        <v/>
      </c>
      <c r="K159" s="40" t="str">
        <f aca="false">IF($I159="","",LEN($I159))</f>
        <v/>
      </c>
      <c r="L159" s="13"/>
      <c r="M159" s="13"/>
      <c r="N159" s="13"/>
      <c r="O159" s="13"/>
      <c r="P159" s="152"/>
      <c r="Q159" s="149"/>
      <c r="R159" s="152"/>
      <c r="S159" s="152"/>
      <c r="T159" s="62" t="str">
        <f aca="false">IF(OR($C159="",R159=""),"",IF(R159/IF($R$2="",100,$R$2)&gt;=設定!$I$28,設定!$G$8,IF(R159/IF($R$2="",100,$R$2)&lt;設定!$I$29,設定!$G$10,設定!$G$9)))</f>
        <v/>
      </c>
      <c r="U159" s="62" t="str">
        <f aca="false">IF(OR($C159="",S159=""),"",IF(S159/IF($S$2="",100,$S$2)&gt;=設定!$I$28,設定!$G$8,IF(S159/IF($S$2="",100,$S$2)&lt;設定!$I$29,設定!$G$10,設定!$G$9)))</f>
        <v/>
      </c>
    </row>
    <row r="160" customFormat="false" ht="21" hidden="false" customHeight="true" outlineLevel="0" collapsed="false">
      <c r="A160" s="91" t="str">
        <f aca="false">IF(名簿!$D160="","",名簿!$B160&amp;"")</f>
        <v/>
      </c>
      <c r="B160" s="91" t="str">
        <f aca="false">IF(名簿!$D160="","",名簿!$C160)</f>
        <v/>
      </c>
      <c r="C160" s="59" t="str">
        <f aca="false">IF(名簿!$D160="","",名簿!$D160&amp;IF(名簿!$F160="転出","（転出）",""))</f>
        <v/>
      </c>
      <c r="D160" s="149"/>
      <c r="E160" s="61" t="str">
        <f aca="false">IF(OR($C160="",名簿!$F160="転出"),"",IF($C$2="学級ごと",$A160,IF($C$2="前の単元と同じ",単元14!$E160&amp;"",$D160&amp;"")))</f>
        <v/>
      </c>
      <c r="F160" s="150"/>
      <c r="G160" s="150"/>
      <c r="H160" s="150"/>
      <c r="I160" s="151"/>
      <c r="J160" s="41" t="str">
        <f aca="false">IF($E160="","",$E160&amp;"|"&amp;COUNTIF($E$5:$E160,$E160))</f>
        <v/>
      </c>
      <c r="K160" s="40" t="str">
        <f aca="false">IF($I160="","",LEN($I160))</f>
        <v/>
      </c>
      <c r="L160" s="13"/>
      <c r="M160" s="13"/>
      <c r="N160" s="13"/>
      <c r="O160" s="13"/>
      <c r="P160" s="152"/>
      <c r="Q160" s="149"/>
      <c r="R160" s="152"/>
      <c r="S160" s="152"/>
      <c r="T160" s="62" t="str">
        <f aca="false">IF(OR($C160="",R160=""),"",IF(R160/IF($R$2="",100,$R$2)&gt;=設定!$I$28,設定!$G$8,IF(R160/IF($R$2="",100,$R$2)&lt;設定!$I$29,設定!$G$10,設定!$G$9)))</f>
        <v/>
      </c>
      <c r="U160" s="62" t="str">
        <f aca="false">IF(OR($C160="",S160=""),"",IF(S160/IF($S$2="",100,$S$2)&gt;=設定!$I$28,設定!$G$8,IF(S160/IF($S$2="",100,$S$2)&lt;設定!$I$29,設定!$G$10,設定!$G$9)))</f>
        <v/>
      </c>
    </row>
    <row r="161" customFormat="false" ht="21" hidden="false" customHeight="true" outlineLevel="0" collapsed="false">
      <c r="A161" s="91" t="str">
        <f aca="false">IF(名簿!$D161="","",名簿!$B161&amp;"")</f>
        <v/>
      </c>
      <c r="B161" s="91" t="str">
        <f aca="false">IF(名簿!$D161="","",名簿!$C161)</f>
        <v/>
      </c>
      <c r="C161" s="59" t="str">
        <f aca="false">IF(名簿!$D161="","",名簿!$D161&amp;IF(名簿!$F161="転出","（転出）",""))</f>
        <v/>
      </c>
      <c r="D161" s="149"/>
      <c r="E161" s="61" t="str">
        <f aca="false">IF(OR($C161="",名簿!$F161="転出"),"",IF($C$2="学級ごと",$A161,IF($C$2="前の単元と同じ",単元14!$E161&amp;"",$D161&amp;"")))</f>
        <v/>
      </c>
      <c r="F161" s="150"/>
      <c r="G161" s="150"/>
      <c r="H161" s="150"/>
      <c r="I161" s="151"/>
      <c r="J161" s="41" t="str">
        <f aca="false">IF($E161="","",$E161&amp;"|"&amp;COUNTIF($E$5:$E161,$E161))</f>
        <v/>
      </c>
      <c r="K161" s="40" t="str">
        <f aca="false">IF($I161="","",LEN($I161))</f>
        <v/>
      </c>
      <c r="L161" s="13"/>
      <c r="M161" s="13"/>
      <c r="N161" s="13"/>
      <c r="O161" s="13"/>
      <c r="P161" s="152"/>
      <c r="Q161" s="149"/>
      <c r="R161" s="152"/>
      <c r="S161" s="152"/>
      <c r="T161" s="62" t="str">
        <f aca="false">IF(OR($C161="",R161=""),"",IF(R161/IF($R$2="",100,$R$2)&gt;=設定!$I$28,設定!$G$8,IF(R161/IF($R$2="",100,$R$2)&lt;設定!$I$29,設定!$G$10,設定!$G$9)))</f>
        <v/>
      </c>
      <c r="U161" s="62" t="str">
        <f aca="false">IF(OR($C161="",S161=""),"",IF(S161/IF($S$2="",100,$S$2)&gt;=設定!$I$28,設定!$G$8,IF(S161/IF($S$2="",100,$S$2)&lt;設定!$I$29,設定!$G$10,設定!$G$9)))</f>
        <v/>
      </c>
    </row>
    <row r="162" customFormat="false" ht="21" hidden="false" customHeight="true" outlineLevel="0" collapsed="false">
      <c r="A162" s="91" t="str">
        <f aca="false">IF(名簿!$D162="","",名簿!$B162&amp;"")</f>
        <v/>
      </c>
      <c r="B162" s="91" t="str">
        <f aca="false">IF(名簿!$D162="","",名簿!$C162)</f>
        <v/>
      </c>
      <c r="C162" s="59" t="str">
        <f aca="false">IF(名簿!$D162="","",名簿!$D162&amp;IF(名簿!$F162="転出","（転出）",""))</f>
        <v/>
      </c>
      <c r="D162" s="149"/>
      <c r="E162" s="61" t="str">
        <f aca="false">IF(OR($C162="",名簿!$F162="転出"),"",IF($C$2="学級ごと",$A162,IF($C$2="前の単元と同じ",単元14!$E162&amp;"",$D162&amp;"")))</f>
        <v/>
      </c>
      <c r="F162" s="150"/>
      <c r="G162" s="150"/>
      <c r="H162" s="150"/>
      <c r="I162" s="151"/>
      <c r="J162" s="41" t="str">
        <f aca="false">IF($E162="","",$E162&amp;"|"&amp;COUNTIF($E$5:$E162,$E162))</f>
        <v/>
      </c>
      <c r="K162" s="40" t="str">
        <f aca="false">IF($I162="","",LEN($I162))</f>
        <v/>
      </c>
      <c r="L162" s="13"/>
      <c r="M162" s="13"/>
      <c r="N162" s="13"/>
      <c r="O162" s="13"/>
      <c r="P162" s="152"/>
      <c r="Q162" s="149"/>
      <c r="R162" s="152"/>
      <c r="S162" s="152"/>
      <c r="T162" s="62" t="str">
        <f aca="false">IF(OR($C162="",R162=""),"",IF(R162/IF($R$2="",100,$R$2)&gt;=設定!$I$28,設定!$G$8,IF(R162/IF($R$2="",100,$R$2)&lt;設定!$I$29,設定!$G$10,設定!$G$9)))</f>
        <v/>
      </c>
      <c r="U162" s="62" t="str">
        <f aca="false">IF(OR($C162="",S162=""),"",IF(S162/IF($S$2="",100,$S$2)&gt;=設定!$I$28,設定!$G$8,IF(S162/IF($S$2="",100,$S$2)&lt;設定!$I$29,設定!$G$10,設定!$G$9)))</f>
        <v/>
      </c>
    </row>
    <row r="163" customFormat="false" ht="21" hidden="false" customHeight="true" outlineLevel="0" collapsed="false">
      <c r="A163" s="91" t="str">
        <f aca="false">IF(名簿!$D163="","",名簿!$B163&amp;"")</f>
        <v/>
      </c>
      <c r="B163" s="91" t="str">
        <f aca="false">IF(名簿!$D163="","",名簿!$C163)</f>
        <v/>
      </c>
      <c r="C163" s="59" t="str">
        <f aca="false">IF(名簿!$D163="","",名簿!$D163&amp;IF(名簿!$F163="転出","（転出）",""))</f>
        <v/>
      </c>
      <c r="D163" s="149"/>
      <c r="E163" s="61" t="str">
        <f aca="false">IF(OR($C163="",名簿!$F163="転出"),"",IF($C$2="学級ごと",$A163,IF($C$2="前の単元と同じ",単元14!$E163&amp;"",$D163&amp;"")))</f>
        <v/>
      </c>
      <c r="F163" s="150"/>
      <c r="G163" s="150"/>
      <c r="H163" s="150"/>
      <c r="I163" s="151"/>
      <c r="J163" s="41" t="str">
        <f aca="false">IF($E163="","",$E163&amp;"|"&amp;COUNTIF($E$5:$E163,$E163))</f>
        <v/>
      </c>
      <c r="K163" s="40" t="str">
        <f aca="false">IF($I163="","",LEN($I163))</f>
        <v/>
      </c>
      <c r="L163" s="13"/>
      <c r="M163" s="13"/>
      <c r="N163" s="13"/>
      <c r="O163" s="13"/>
      <c r="P163" s="152"/>
      <c r="Q163" s="149"/>
      <c r="R163" s="152"/>
      <c r="S163" s="152"/>
      <c r="T163" s="62" t="str">
        <f aca="false">IF(OR($C163="",R163=""),"",IF(R163/IF($R$2="",100,$R$2)&gt;=設定!$I$28,設定!$G$8,IF(R163/IF($R$2="",100,$R$2)&lt;設定!$I$29,設定!$G$10,設定!$G$9)))</f>
        <v/>
      </c>
      <c r="U163" s="62" t="str">
        <f aca="false">IF(OR($C163="",S163=""),"",IF(S163/IF($S$2="",100,$S$2)&gt;=設定!$I$28,設定!$G$8,IF(S163/IF($S$2="",100,$S$2)&lt;設定!$I$29,設定!$G$10,設定!$G$9)))</f>
        <v/>
      </c>
    </row>
    <row r="164" customFormat="false" ht="21" hidden="false" customHeight="true" outlineLevel="0" collapsed="false">
      <c r="A164" s="91" t="str">
        <f aca="false">IF(名簿!$D164="","",名簿!$B164&amp;"")</f>
        <v/>
      </c>
      <c r="B164" s="91" t="str">
        <f aca="false">IF(名簿!$D164="","",名簿!$C164)</f>
        <v/>
      </c>
      <c r="C164" s="59" t="str">
        <f aca="false">IF(名簿!$D164="","",名簿!$D164&amp;IF(名簿!$F164="転出","（転出）",""))</f>
        <v/>
      </c>
      <c r="D164" s="149"/>
      <c r="E164" s="61" t="str">
        <f aca="false">IF(OR($C164="",名簿!$F164="転出"),"",IF($C$2="学級ごと",$A164,IF($C$2="前の単元と同じ",単元14!$E164&amp;"",$D164&amp;"")))</f>
        <v/>
      </c>
      <c r="F164" s="150"/>
      <c r="G164" s="150"/>
      <c r="H164" s="150"/>
      <c r="I164" s="151"/>
      <c r="J164" s="41" t="str">
        <f aca="false">IF($E164="","",$E164&amp;"|"&amp;COUNTIF($E$5:$E164,$E164))</f>
        <v/>
      </c>
      <c r="K164" s="40" t="str">
        <f aca="false">IF($I164="","",LEN($I164))</f>
        <v/>
      </c>
      <c r="L164" s="13"/>
      <c r="M164" s="13"/>
      <c r="N164" s="13"/>
      <c r="O164" s="13"/>
      <c r="P164" s="152"/>
      <c r="Q164" s="149"/>
      <c r="R164" s="152"/>
      <c r="S164" s="152"/>
      <c r="T164" s="62" t="str">
        <f aca="false">IF(OR($C164="",R164=""),"",IF(R164/IF($R$2="",100,$R$2)&gt;=設定!$I$28,設定!$G$8,IF(R164/IF($R$2="",100,$R$2)&lt;設定!$I$29,設定!$G$10,設定!$G$9)))</f>
        <v/>
      </c>
      <c r="U164" s="62" t="str">
        <f aca="false">IF(OR($C164="",S164=""),"",IF(S164/IF($S$2="",100,$S$2)&gt;=設定!$I$28,設定!$G$8,IF(S164/IF($S$2="",100,$S$2)&lt;設定!$I$29,設定!$G$10,設定!$G$9)))</f>
        <v/>
      </c>
    </row>
  </sheetData>
  <sheetProtection sheet="true" formatColumns="false" formatRows="false" autoFilter="false"/>
  <autoFilter ref="A4:I164"/>
  <mergeCells count="5">
    <mergeCell ref="A1:I1"/>
    <mergeCell ref="R1:U1"/>
    <mergeCell ref="A2:B2"/>
    <mergeCell ref="D2:I2"/>
    <mergeCell ref="T2:U2"/>
  </mergeCells>
  <conditionalFormatting sqref="A5:C164">
    <cfRule type="expression" priority="2" aboveAverage="0" equalAverage="0" bottom="0" percent="0" rank="0" text="" dxfId="37">
      <formula>RIGHT($C5,4)="（転出）"</formula>
    </cfRule>
    <cfRule type="expression" priority="3" aboveAverage="0" equalAverage="0" bottom="0" percent="0" rank="0" text="" dxfId="8">
      <formula>$C5&lt;&gt;""</formula>
    </cfRule>
  </conditionalFormatting>
  <conditionalFormatting sqref="D5:D164">
    <cfRule type="expression" priority="4" aboveAverage="0" equalAverage="0" bottom="0" percent="0" rank="0" text="" dxfId="37">
      <formula>RIGHT($C5,4)="（転出）"</formula>
    </cfRule>
    <cfRule type="expression" priority="5" aboveAverage="0" equalAverage="0" bottom="0" percent="0" rank="0" text="" dxfId="38">
      <formula>AND($C5&lt;&gt;"",$C$2&lt;&gt;"習熟度別")</formula>
    </cfRule>
    <cfRule type="expression" priority="6" aboveAverage="0" equalAverage="0" bottom="0" percent="0" rank="0" text="" dxfId="39">
      <formula>AND($C5&lt;&gt;"",$E5="")</formula>
    </cfRule>
    <cfRule type="expression" priority="7" aboveAverage="0" equalAverage="0" bottom="0" percent="0" rank="0" text="" dxfId="39">
      <formula>AND($C5&lt;&gt;"",$D5&lt;&gt;"",COUNTIF(コース一覧,$D5)=0)</formula>
    </cfRule>
    <cfRule type="expression" priority="8" aboveAverage="0" equalAverage="0" bottom="0" percent="0" rank="0" text="" dxfId="40">
      <formula>AND($C5&lt;&gt;"",$C$2="習熟度別",$Q5&lt;&gt;"",$E5&lt;&gt;"",$Q5&lt;&gt;$E5)</formula>
    </cfRule>
    <cfRule type="expression" priority="9" aboveAverage="0" equalAverage="0" bottom="0" percent="0" rank="0" text="" dxfId="41">
      <formula>$C5&lt;&gt;""</formula>
    </cfRule>
  </conditionalFormatting>
  <conditionalFormatting sqref="E5:E164">
    <cfRule type="expression" priority="10" aboveAverage="0" equalAverage="0" bottom="0" percent="0" rank="0" text="" dxfId="37">
      <formula>RIGHT($C5,4)="（転出）"</formula>
    </cfRule>
    <cfRule type="expression" priority="11" aboveAverage="0" equalAverage="0" bottom="0" percent="0" rank="0" text="" dxfId="42">
      <formula>AND($E5&lt;&gt;"",$E5=$L$2)</formula>
    </cfRule>
    <cfRule type="expression" priority="12" aboveAverage="0" equalAverage="0" bottom="0" percent="0" rank="0" text="" dxfId="43">
      <formula>AND($E5&lt;&gt;"",$E5=$L$3)</formula>
    </cfRule>
    <cfRule type="expression" priority="13" aboveAverage="0" equalAverage="0" bottom="0" percent="0" rank="0" text="" dxfId="44">
      <formula>AND($E5&lt;&gt;"",$E5=$L$4)</formula>
    </cfRule>
    <cfRule type="expression" priority="14" aboveAverage="0" equalAverage="0" bottom="0" percent="0" rank="0" text="" dxfId="45">
      <formula>AND($E5&lt;&gt;"",$E5=$L$5)</formula>
    </cfRule>
    <cfRule type="expression" priority="15" aboveAverage="0" equalAverage="0" bottom="0" percent="0" rank="0" text="" dxfId="46">
      <formula>AND($E5&lt;&gt;"",$E5=$L$6)</formula>
    </cfRule>
    <cfRule type="expression" priority="16" aboveAverage="0" equalAverage="0" bottom="0" percent="0" rank="0" text="" dxfId="8">
      <formula>$C5&lt;&gt;""</formula>
    </cfRule>
  </conditionalFormatting>
  <conditionalFormatting sqref="F5:H164">
    <cfRule type="expression" priority="17" aboveAverage="0" equalAverage="0" bottom="0" percent="0" rank="0" text="" dxfId="37">
      <formula>RIGHT($C5,4)="（転出）"</formula>
    </cfRule>
    <cfRule type="expression" priority="18" aboveAverage="0" equalAverage="0" bottom="0" percent="0" rank="0" text="" dxfId="12">
      <formula>AND(F5&lt;&gt;"",F5=設定!$G$10)</formula>
    </cfRule>
    <cfRule type="expression" priority="19" aboveAverage="0" equalAverage="0" bottom="0" percent="0" rank="0" text="" dxfId="47">
      <formula>AND(F5&lt;&gt;"",F5=設定!$G$8)</formula>
    </cfRule>
    <cfRule type="expression" priority="20" aboveAverage="0" equalAverage="0" bottom="0" percent="0" rank="0" text="" dxfId="41">
      <formula>AND($C5&lt;&gt;"",$E5&lt;&gt;"")</formula>
    </cfRule>
    <cfRule type="expression" priority="21" aboveAverage="0" equalAverage="0" bottom="0" percent="0" rank="0" text="" dxfId="8">
      <formula>$C5&lt;&gt;""</formula>
    </cfRule>
  </conditionalFormatting>
  <conditionalFormatting sqref="I5:I164">
    <cfRule type="expression" priority="22" aboveAverage="0" equalAverage="0" bottom="0" percent="0" rank="0" text="" dxfId="37">
      <formula>RIGHT($C5,4)="（転出）"</formula>
    </cfRule>
    <cfRule type="expression" priority="23" aboveAverage="0" equalAverage="0" bottom="0" percent="0" rank="0" text="" dxfId="48">
      <formula>AND($C5&lt;&gt;"",$I5&lt;&gt;"",ISNUMBER(設定!$I$22),LEN($I5)&gt;設定!$I$22)</formula>
    </cfRule>
    <cfRule type="expression" priority="24" aboveAverage="0" equalAverage="0" bottom="0" percent="0" rank="0" text="" dxfId="41">
      <formula>AND($C5&lt;&gt;"",$E5&lt;&gt;"")</formula>
    </cfRule>
    <cfRule type="expression" priority="25" aboveAverage="0" equalAverage="0" bottom="0" percent="0" rank="0" text="" dxfId="8">
      <formula>$C5&lt;&gt;""</formula>
    </cfRule>
  </conditionalFormatting>
  <conditionalFormatting sqref="K5:K164">
    <cfRule type="expression" priority="26" aboveAverage="0" equalAverage="0" bottom="0" percent="0" rank="0" text="" dxfId="49">
      <formula>AND($K5&lt;&gt;"",ISNUMBER(設定!$I$22),$K5&gt;設定!$I$22)</formula>
    </cfRule>
    <cfRule type="expression" priority="27" aboveAverage="0" equalAverage="0" bottom="0" percent="0" rank="0" text="" dxfId="50">
      <formula>$C5&lt;&gt;""</formula>
    </cfRule>
  </conditionalFormatting>
  <conditionalFormatting sqref="P5:P164">
    <cfRule type="expression" priority="28" aboveAverage="0" equalAverage="0" bottom="0" percent="0" rank="0" text="" dxfId="41">
      <formula>$C5&lt;&gt;""</formula>
    </cfRule>
  </conditionalFormatting>
  <conditionalFormatting sqref="R5:R164">
    <cfRule type="expression" priority="29" aboveAverage="0" equalAverage="0" bottom="0" percent="0" rank="0" text="" dxfId="49">
      <formula>AND($C5&lt;&gt;"",$R5&lt;&gt;"",$R$2&lt;&gt;"",$R5&gt;$R$2)</formula>
    </cfRule>
    <cfRule type="expression" priority="30" aboveAverage="0" equalAverage="0" bottom="0" percent="0" rank="0" text="" dxfId="41">
      <formula>$C5&lt;&gt;""</formula>
    </cfRule>
  </conditionalFormatting>
  <conditionalFormatting sqref="S5:S164">
    <cfRule type="expression" priority="31" aboveAverage="0" equalAverage="0" bottom="0" percent="0" rank="0" text="" dxfId="49">
      <formula>AND($C5&lt;&gt;"",$S5&lt;&gt;"",$S$2&lt;&gt;"",$S5&gt;$S$2)</formula>
    </cfRule>
    <cfRule type="expression" priority="32" aboveAverage="0" equalAverage="0" bottom="0" percent="0" rank="0" text="" dxfId="41">
      <formula>$C5&lt;&gt;""</formula>
    </cfRule>
  </conditionalFormatting>
  <conditionalFormatting sqref="T5:U164">
    <cfRule type="expression" priority="33" aboveAverage="0" equalAverage="0" bottom="0" percent="0" rank="0" text="" dxfId="12">
      <formula>AND(T5&lt;&gt;"",T5=設定!$G$10)</formula>
    </cfRule>
    <cfRule type="expression" priority="34" aboveAverage="0" equalAverage="0" bottom="0" percent="0" rank="0" text="" dxfId="51">
      <formula>AND(T5&lt;&gt;"",T5=設定!$G$8)</formula>
    </cfRule>
    <cfRule type="expression" priority="35" aboveAverage="0" equalAverage="0" bottom="0" percent="0" rank="0" text="" dxfId="19">
      <formula>$C5&lt;&gt;""</formula>
    </cfRule>
  </conditionalFormatting>
  <conditionalFormatting sqref="Q5:Q164">
    <cfRule type="expression" priority="36" aboveAverage="0" equalAverage="0" bottom="0" percent="0" rank="0" text="" dxfId="40">
      <formula>AND($C5&lt;&gt;"",$Q5&lt;&gt;"",$E5&lt;&gt;"",$Q5&lt;&gt;$E5)</formula>
    </cfRule>
    <cfRule type="expression" priority="37" aboveAverage="0" equalAverage="0" bottom="0" percent="0" rank="0" text="" dxfId="41">
      <formula>$C5&lt;&gt;""</formula>
    </cfRule>
  </conditionalFormatting>
  <conditionalFormatting sqref="L2:N2">
    <cfRule type="expression" priority="38" aboveAverage="0" equalAverage="0" bottom="0" percent="0" rank="0" text="" dxfId="14">
      <formula>$L2=""</formula>
    </cfRule>
  </conditionalFormatting>
  <conditionalFormatting sqref="L3:N3">
    <cfRule type="expression" priority="39" aboveAverage="0" equalAverage="0" bottom="0" percent="0" rank="0" text="" dxfId="14">
      <formula>$L3=""</formula>
    </cfRule>
  </conditionalFormatting>
  <conditionalFormatting sqref="L4:N4">
    <cfRule type="expression" priority="40" aboveAverage="0" equalAverage="0" bottom="0" percent="0" rank="0" text="" dxfId="14">
      <formula>$L4=""</formula>
    </cfRule>
  </conditionalFormatting>
  <conditionalFormatting sqref="L5:N5">
    <cfRule type="expression" priority="41" aboveAverage="0" equalAverage="0" bottom="0" percent="0" rank="0" text="" dxfId="14">
      <formula>$L5=""</formula>
    </cfRule>
  </conditionalFormatting>
  <conditionalFormatting sqref="L6:N6">
    <cfRule type="expression" priority="42" aboveAverage="0" equalAverage="0" bottom="0" percent="0" rank="0" text="" dxfId="14">
      <formula>$L6=""</formula>
    </cfRule>
  </conditionalFormatting>
  <conditionalFormatting sqref="N7">
    <cfRule type="expression" priority="43" aboveAverage="0" equalAverage="0" bottom="0" percent="0" rank="0" text="" dxfId="52">
      <formula>$N$7=0</formula>
    </cfRule>
  </conditionalFormatting>
  <dataValidations count="6">
    <dataValidation allowBlank="true" error="点数（数字）を入力してください。" errorStyle="stop" operator="between" showDropDown="false" showErrorMessage="true" showInputMessage="false" sqref="R2:S2 P5:P164 R5:S164" type="decimal">
      <formula1>0</formula1>
      <formula2>1000</formula2>
    </dataValidation>
    <dataValidation allowBlank="false" error="一覧から選んでください。" errorStyle="stop" errorTitle="入力エラー" operator="between" showDropDown="false" showErrorMessage="true" showInputMessage="false" sqref="C2" type="list">
      <formula1>"習熟度別,前の単元と同じ,学級ごと"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D5:D164" type="list">
      <formula1>コース一覧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Q5:Q164" type="list">
      <formula1>コース一覧</formula1>
      <formula2>0</formula2>
    </dataValidation>
    <dataValidation allowBlank="true" error="設定シートの評価記号（A/B/C）から選んでください。" errorStyle="stop" errorTitle="入力エラー" operator="between" showDropDown="false" showErrorMessage="true" showInputMessage="false" sqref="F5:H164" type="list">
      <formula1>評価記号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M2:M6" type="list">
      <formula1>担当者一覧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U16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5"/>
    <col collapsed="false" customWidth="true" hidden="false" outlineLevel="0" max="3" min="3" style="0" width="17"/>
    <col collapsed="false" customWidth="true" hidden="false" outlineLevel="0" max="4" min="4" style="0" width="11"/>
    <col collapsed="false" customWidth="true" hidden="false" outlineLevel="0" max="5" min="5" style="0" width="12"/>
    <col collapsed="false" customWidth="true" hidden="false" outlineLevel="0" max="8" min="6" style="0" width="6"/>
    <col collapsed="false" customWidth="true" hidden="false" outlineLevel="0" max="9" min="9" style="0" width="55"/>
    <col collapsed="false" customWidth="true" hidden="true" outlineLevel="0" max="10" min="10" style="0" width="3"/>
    <col collapsed="false" customWidth="true" hidden="false" outlineLevel="0" max="11" min="11" style="0" width="5"/>
    <col collapsed="false" customWidth="true" hidden="false" outlineLevel="0" max="12" min="12" style="0" width="14"/>
    <col collapsed="false" customWidth="true" hidden="false" outlineLevel="0" max="13" min="13" style="0" width="13"/>
    <col collapsed="false" customWidth="true" hidden="false" outlineLevel="0" max="14" min="14" style="0" width="7"/>
    <col collapsed="false" customWidth="true" hidden="false" outlineLevel="0" max="15" min="15" style="0" width="2"/>
    <col collapsed="false" customWidth="true" hidden="false" outlineLevel="0" max="16" min="16" style="0" width="9"/>
    <col collapsed="false" customWidth="true" hidden="false" outlineLevel="0" max="17" min="17" style="0" width="12"/>
    <col collapsed="false" customWidth="true" hidden="false" outlineLevel="0" max="19" min="18" style="0" width="7"/>
    <col collapsed="false" customWidth="true" hidden="false" outlineLevel="0" max="21" min="20" style="0" width="6"/>
  </cols>
  <sheetData>
    <row r="1" customFormat="false" ht="33.75" hidden="false" customHeight="true" outlineLevel="0" collapsed="false">
      <c r="A1" s="14" t="str">
        <f aca="false">"単元16　"&amp;IF(設定!$D$32="","（設定シートで単元名を入力）",設定!$D$32)&amp;IF(設定!$C$32="","","　／　"&amp;設定!$C$32&amp;IF(ISNUMBER(設定!$C$32),"学期",""))</f>
        <v>単元16　（設定シートで単元名を入力）</v>
      </c>
      <c r="B1" s="14"/>
      <c r="C1" s="14"/>
      <c r="D1" s="14"/>
      <c r="E1" s="14"/>
      <c r="F1" s="14"/>
      <c r="G1" s="14"/>
      <c r="H1" s="14"/>
      <c r="I1" s="14"/>
      <c r="J1" s="13"/>
      <c r="K1" s="13"/>
      <c r="L1" s="16" t="s">
        <v>153</v>
      </c>
      <c r="M1" s="16" t="s">
        <v>68</v>
      </c>
      <c r="N1" s="16" t="s">
        <v>128</v>
      </c>
      <c r="O1" s="13"/>
      <c r="P1" s="13"/>
      <c r="Q1" s="13"/>
      <c r="R1" s="131" t="s">
        <v>154</v>
      </c>
      <c r="S1" s="131"/>
      <c r="T1" s="131"/>
      <c r="U1" s="131"/>
    </row>
    <row r="2" customFormat="false" ht="25.5" hidden="false" customHeight="true" outlineLevel="0" collapsed="false">
      <c r="A2" s="16" t="s">
        <v>131</v>
      </c>
      <c r="B2" s="16"/>
      <c r="C2" s="138" t="s">
        <v>164</v>
      </c>
      <c r="D2" s="139" t="str">
        <f aca="false">IF($C$2="習熟度別","← D列「コース」で一人ずつ選びます",IF($C$2="前の単元と同じ","← 前の単元のコースをそのまま使います","← 在籍学級のまま分かれます"))</f>
        <v>← D列「コース」で一人ずつ選びます</v>
      </c>
      <c r="E2" s="139"/>
      <c r="F2" s="139"/>
      <c r="G2" s="139"/>
      <c r="H2" s="139"/>
      <c r="I2" s="139"/>
      <c r="J2" s="13"/>
      <c r="K2" s="13"/>
      <c r="L2" s="119" t="str">
        <f aca="false">IF($C$2="前の単元と同じ",単元15!$L2&amp;"",IF($C$2="学級ごと",IF(設定!$B$8="","",設定!$B$8&amp;""),IF(設定!$D$8="","",設定!$D$8&amp;"")))</f>
        <v>深める</v>
      </c>
      <c r="M2" s="39"/>
      <c r="N2" s="140" t="n">
        <f aca="false">IF($L2="","",COUNTIF($E$5:$E$164,$L2))</f>
        <v>0</v>
      </c>
      <c r="O2" s="13"/>
      <c r="P2" s="13"/>
      <c r="Q2" s="13"/>
      <c r="R2" s="141" t="n">
        <v>100</v>
      </c>
      <c r="S2" s="141" t="n">
        <v>100</v>
      </c>
      <c r="T2" s="142" t="s">
        <v>165</v>
      </c>
      <c r="U2" s="142"/>
    </row>
    <row r="3" customFormat="false" ht="17.15" hidden="false" customHeight="false" outlineLevel="0" collapsed="false">
      <c r="A3" s="4" t="s">
        <v>166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23" t="str">
        <f aca="false">IF($C$2="前の単元と同じ",単元15!$L3&amp;"",IF($C$2="学級ごと",IF(設定!$B$9="","",設定!$B$9&amp;""),IF(設定!$D$9="","",設定!$D$9&amp;"")))</f>
        <v>広げるA</v>
      </c>
      <c r="M3" s="39"/>
      <c r="N3" s="140" t="n">
        <f aca="false">IF($L3="","",COUNTIF($E$5:$E$164,$L3))</f>
        <v>0</v>
      </c>
      <c r="O3" s="13"/>
      <c r="P3" s="143" t="s">
        <v>167</v>
      </c>
      <c r="Q3" s="13"/>
      <c r="R3" s="144" t="s">
        <v>168</v>
      </c>
      <c r="S3" s="13"/>
      <c r="T3" s="13"/>
      <c r="U3" s="13"/>
    </row>
    <row r="4" customFormat="false" ht="30" hidden="false" customHeight="true" outlineLevel="0" collapsed="false">
      <c r="A4" s="16" t="s">
        <v>121</v>
      </c>
      <c r="B4" s="16" t="s">
        <v>122</v>
      </c>
      <c r="C4" s="16" t="s">
        <v>123</v>
      </c>
      <c r="D4" s="145" t="s">
        <v>153</v>
      </c>
      <c r="E4" s="16" t="s">
        <v>169</v>
      </c>
      <c r="F4" s="146" t="str">
        <f aca="false">設定!$I$8</f>
        <v>知</v>
      </c>
      <c r="G4" s="146" t="str">
        <f aca="false">設定!$I$9</f>
        <v>思</v>
      </c>
      <c r="H4" s="146" t="str">
        <f aca="false">設定!$I$10</f>
        <v>態</v>
      </c>
      <c r="I4" s="146" t="s">
        <v>107</v>
      </c>
      <c r="J4" s="16"/>
      <c r="K4" s="110" t="s">
        <v>170</v>
      </c>
      <c r="L4" s="124" t="str">
        <f aca="false">IF($C$2="前の単元と同じ",単元15!$L4&amp;"",IF($C$2="学級ごと",IF(設定!$B$10="","",設定!$B$10&amp;""),IF(設定!$D$10="","",設定!$D$10&amp;"")))</f>
        <v>広げるB</v>
      </c>
      <c r="M4" s="39"/>
      <c r="N4" s="140" t="n">
        <f aca="false">IF($L4="","",COUNTIF($E$5:$E$164,$L4))</f>
        <v>0</v>
      </c>
      <c r="O4" s="13"/>
      <c r="P4" s="147" t="s">
        <v>171</v>
      </c>
      <c r="Q4" s="147" t="s">
        <v>172</v>
      </c>
      <c r="R4" s="131" t="str">
        <f aca="false">設定!$I$8&amp;"得点"</f>
        <v>知得点</v>
      </c>
      <c r="S4" s="131" t="str">
        <f aca="false">設定!$I$9&amp;"得点"</f>
        <v>思得点</v>
      </c>
      <c r="T4" s="148" t="str">
        <f aca="false">設定!$I$8&amp;"目安"</f>
        <v>知目安</v>
      </c>
      <c r="U4" s="148" t="str">
        <f aca="false">設定!$I$9&amp;"目安"</f>
        <v>思目安</v>
      </c>
    </row>
    <row r="5" customFormat="false" ht="21" hidden="false" customHeight="true" outlineLevel="0" collapsed="false">
      <c r="A5" s="91" t="str">
        <f aca="false">IF(名簿!$D5="","",名簿!$B5&amp;"")</f>
        <v/>
      </c>
      <c r="B5" s="91" t="str">
        <f aca="false">IF(名簿!$D5="","",名簿!$C5)</f>
        <v/>
      </c>
      <c r="C5" s="59" t="str">
        <f aca="false">IF(名簿!$D5="","",名簿!$D5&amp;IF(名簿!$F5="転出","（転出）",""))</f>
        <v/>
      </c>
      <c r="D5" s="149"/>
      <c r="E5" s="61" t="str">
        <f aca="false">IF(OR($C5="",名簿!$F5="転出"),"",IF($C$2="学級ごと",$A5,IF($C$2="前の単元と同じ",単元15!$E5&amp;"",$D5&amp;"")))</f>
        <v/>
      </c>
      <c r="F5" s="150"/>
      <c r="G5" s="150"/>
      <c r="H5" s="150"/>
      <c r="I5" s="151"/>
      <c r="J5" s="41" t="str">
        <f aca="false">IF($E5="","",$E5&amp;"|"&amp;COUNTIF($E$5:$E5,$E5))</f>
        <v/>
      </c>
      <c r="K5" s="40" t="str">
        <f aca="false">IF($I5="","",LEN($I5))</f>
        <v/>
      </c>
      <c r="L5" s="125" t="str">
        <f aca="false">IF($C$2="前の単元と同じ",単元15!$L5&amp;"",IF($C$2="学級ごと",IF(設定!$B$11="","",設定!$B$11&amp;""),IF(設定!$D$11="","",設定!$D$11&amp;"")))</f>
        <v>かためる</v>
      </c>
      <c r="M5" s="39"/>
      <c r="N5" s="140" t="n">
        <f aca="false">IF($L5="","",COUNTIF($E$5:$E$164,$L5))</f>
        <v>0</v>
      </c>
      <c r="O5" s="13"/>
      <c r="P5" s="152"/>
      <c r="Q5" s="149"/>
      <c r="R5" s="152"/>
      <c r="S5" s="152"/>
      <c r="T5" s="62" t="str">
        <f aca="false">IF(OR($C5="",R5=""),"",IF(R5/IF($R$2="",100,$R$2)&gt;=設定!$I$28,設定!$G$8,IF(R5/IF($R$2="",100,$R$2)&lt;設定!$I$29,設定!$G$10,設定!$G$9)))</f>
        <v/>
      </c>
      <c r="U5" s="62" t="str">
        <f aca="false">IF(OR($C5="",S5=""),"",IF(S5/IF($S$2="",100,$S$2)&gt;=設定!$I$28,設定!$G$8,IF(S5/IF($S$2="",100,$S$2)&lt;設定!$I$29,設定!$G$10,設定!$G$9)))</f>
        <v/>
      </c>
    </row>
    <row r="6" customFormat="false" ht="21" hidden="false" customHeight="true" outlineLevel="0" collapsed="false">
      <c r="A6" s="91" t="str">
        <f aca="false">IF(名簿!$D6="","",名簿!$B6&amp;"")</f>
        <v/>
      </c>
      <c r="B6" s="91" t="str">
        <f aca="false">IF(名簿!$D6="","",名簿!$C6)</f>
        <v/>
      </c>
      <c r="C6" s="59" t="str">
        <f aca="false">IF(名簿!$D6="","",名簿!$D6&amp;IF(名簿!$F6="転出","（転出）",""))</f>
        <v/>
      </c>
      <c r="D6" s="149"/>
      <c r="E6" s="61" t="str">
        <f aca="false">IF(OR($C6="",名簿!$F6="転出"),"",IF($C$2="学級ごと",$A6,IF($C$2="前の単元と同じ",単元15!$E6&amp;"",$D6&amp;"")))</f>
        <v/>
      </c>
      <c r="F6" s="150"/>
      <c r="G6" s="150"/>
      <c r="H6" s="150"/>
      <c r="I6" s="151"/>
      <c r="J6" s="41" t="str">
        <f aca="false">IF($E6="","",$E6&amp;"|"&amp;COUNTIF($E$5:$E6,$E6))</f>
        <v/>
      </c>
      <c r="K6" s="40" t="str">
        <f aca="false">IF($I6="","",LEN($I6))</f>
        <v/>
      </c>
      <c r="L6" s="126" t="str">
        <f aca="false">IF($C$2="前の単元と同じ",単元15!$L6&amp;"",IF($C$2="学級ごと",IF(設定!$B$12="","",設定!$B$12&amp;""),IF(設定!$D$12="","",設定!$D$12&amp;"")))</f>
        <v/>
      </c>
      <c r="M6" s="39"/>
      <c r="N6" s="153" t="str">
        <f aca="false">IF($L6="","",COUNTIF($E$5:$E$164,$L6))</f>
        <v/>
      </c>
      <c r="O6" s="13"/>
      <c r="P6" s="152"/>
      <c r="Q6" s="149"/>
      <c r="R6" s="152"/>
      <c r="S6" s="152"/>
      <c r="T6" s="62" t="str">
        <f aca="false">IF(OR($C6="",R6=""),"",IF(R6/IF($R$2="",100,$R$2)&gt;=設定!$I$28,設定!$G$8,IF(R6/IF($R$2="",100,$R$2)&lt;設定!$I$29,設定!$G$10,設定!$G$9)))</f>
        <v/>
      </c>
      <c r="U6" s="62" t="str">
        <f aca="false">IF(OR($C6="",S6=""),"",IF(S6/IF($S$2="",100,$S$2)&gt;=設定!$I$28,設定!$G$8,IF(S6/IF($S$2="",100,$S$2)&lt;設定!$I$29,設定!$G$10,設定!$G$9)))</f>
        <v/>
      </c>
    </row>
    <row r="7" customFormat="false" ht="21" hidden="false" customHeight="true" outlineLevel="0" collapsed="false">
      <c r="A7" s="91" t="str">
        <f aca="false">IF(名簿!$D7="","",名簿!$B7&amp;"")</f>
        <v/>
      </c>
      <c r="B7" s="91" t="str">
        <f aca="false">IF(名簿!$D7="","",名簿!$C7)</f>
        <v/>
      </c>
      <c r="C7" s="59" t="str">
        <f aca="false">IF(名簿!$D7="","",名簿!$D7&amp;IF(名簿!$F7="転出","（転出）",""))</f>
        <v/>
      </c>
      <c r="D7" s="149"/>
      <c r="E7" s="61" t="str">
        <f aca="false">IF(OR($C7="",名簿!$F7="転出"),"",IF($C$2="学級ごと",$A7,IF($C$2="前の単元と同じ",単元15!$E7&amp;"",$D7&amp;"")))</f>
        <v/>
      </c>
      <c r="F7" s="150"/>
      <c r="G7" s="150"/>
      <c r="H7" s="150"/>
      <c r="I7" s="151"/>
      <c r="J7" s="41" t="str">
        <f aca="false">IF($E7="","",$E7&amp;"|"&amp;COUNTIF($E$5:$E7,$E7))</f>
        <v/>
      </c>
      <c r="K7" s="40" t="str">
        <f aca="false">IF($I7="","",LEN($I7))</f>
        <v/>
      </c>
      <c r="L7" s="154" t="s">
        <v>133</v>
      </c>
      <c r="M7" s="155" t="s">
        <v>173</v>
      </c>
      <c r="N7" s="156" t="n">
        <f aca="false">SUMPRODUCT(($C$5:$C$164&lt;&gt;"")*(名簿!$F$5:$F$164&lt;&gt;"転出")*($E$5:$E$164=""))</f>
        <v>0</v>
      </c>
      <c r="O7" s="13"/>
      <c r="P7" s="152"/>
      <c r="Q7" s="149"/>
      <c r="R7" s="152"/>
      <c r="S7" s="152"/>
      <c r="T7" s="62" t="str">
        <f aca="false">IF(OR($C7="",R7=""),"",IF(R7/IF($R$2="",100,$R$2)&gt;=設定!$I$28,設定!$G$8,IF(R7/IF($R$2="",100,$R$2)&lt;設定!$I$29,設定!$G$10,設定!$G$9)))</f>
        <v/>
      </c>
      <c r="U7" s="62" t="str">
        <f aca="false">IF(OR($C7="",S7=""),"",IF(S7/IF($S$2="",100,$S$2)&gt;=設定!$I$28,設定!$G$8,IF(S7/IF($S$2="",100,$S$2)&lt;設定!$I$29,設定!$G$10,設定!$G$9)))</f>
        <v/>
      </c>
    </row>
    <row r="8" customFormat="false" ht="21" hidden="false" customHeight="true" outlineLevel="0" collapsed="false">
      <c r="A8" s="91" t="str">
        <f aca="false">IF(名簿!$D8="","",名簿!$B8&amp;"")</f>
        <v/>
      </c>
      <c r="B8" s="91" t="str">
        <f aca="false">IF(名簿!$D8="","",名簿!$C8)</f>
        <v/>
      </c>
      <c r="C8" s="59" t="str">
        <f aca="false">IF(名簿!$D8="","",名簿!$D8&amp;IF(名簿!$F8="転出","（転出）",""))</f>
        <v/>
      </c>
      <c r="D8" s="149"/>
      <c r="E8" s="61" t="str">
        <f aca="false">IF(OR($C8="",名簿!$F8="転出"),"",IF($C$2="学級ごと",$A8,IF($C$2="前の単元と同じ",単元15!$E8&amp;"",$D8&amp;"")))</f>
        <v/>
      </c>
      <c r="F8" s="150"/>
      <c r="G8" s="150"/>
      <c r="H8" s="150"/>
      <c r="I8" s="151"/>
      <c r="J8" s="41" t="str">
        <f aca="false">IF($E8="","",$E8&amp;"|"&amp;COUNTIF($E$5:$E8,$E8))</f>
        <v/>
      </c>
      <c r="K8" s="40" t="str">
        <f aca="false">IF($I8="","",LEN($I8))</f>
        <v/>
      </c>
      <c r="L8" s="157" t="s">
        <v>174</v>
      </c>
      <c r="M8" s="158" t="s">
        <v>175</v>
      </c>
      <c r="N8" s="159" t="n">
        <f aca="false">SUMPRODUCT(($E$5:$E$164&lt;&gt;"")*(($F$5:$F$164="")+($G$5:$G$164="")+($H$5:$H$164="")&gt;0))</f>
        <v>0</v>
      </c>
      <c r="O8" s="13"/>
      <c r="P8" s="152"/>
      <c r="Q8" s="149"/>
      <c r="R8" s="152"/>
      <c r="S8" s="152"/>
      <c r="T8" s="62" t="str">
        <f aca="false">IF(OR($C8="",R8=""),"",IF(R8/IF($R$2="",100,$R$2)&gt;=設定!$I$28,設定!$G$8,IF(R8/IF($R$2="",100,$R$2)&lt;設定!$I$29,設定!$G$10,設定!$G$9)))</f>
        <v/>
      </c>
      <c r="U8" s="62" t="str">
        <f aca="false">IF(OR($C8="",S8=""),"",IF(S8/IF($S$2="",100,$S$2)&gt;=設定!$I$28,設定!$G$8,IF(S8/IF($S$2="",100,$S$2)&lt;設定!$I$29,設定!$G$10,設定!$G$9)))</f>
        <v/>
      </c>
    </row>
    <row r="9" customFormat="false" ht="21" hidden="false" customHeight="true" outlineLevel="0" collapsed="false">
      <c r="A9" s="91" t="str">
        <f aca="false">IF(名簿!$D9="","",名簿!$B9&amp;"")</f>
        <v/>
      </c>
      <c r="B9" s="91" t="str">
        <f aca="false">IF(名簿!$D9="","",名簿!$C9)</f>
        <v/>
      </c>
      <c r="C9" s="59" t="str">
        <f aca="false">IF(名簿!$D9="","",名簿!$D9&amp;IF(名簿!$F9="転出","（転出）",""))</f>
        <v/>
      </c>
      <c r="D9" s="149"/>
      <c r="E9" s="61" t="str">
        <f aca="false">IF(OR($C9="",名簿!$F9="転出"),"",IF($C$2="学級ごと",$A9,IF($C$2="前の単元と同じ",単元15!$E9&amp;"",$D9&amp;"")))</f>
        <v/>
      </c>
      <c r="F9" s="150"/>
      <c r="G9" s="150"/>
      <c r="H9" s="150"/>
      <c r="I9" s="151"/>
      <c r="J9" s="41" t="str">
        <f aca="false">IF($E9="","",$E9&amp;"|"&amp;COUNTIF($E$5:$E9,$E9))</f>
        <v/>
      </c>
      <c r="K9" s="40" t="str">
        <f aca="false">IF($I9="","",LEN($I9))</f>
        <v/>
      </c>
      <c r="L9" s="13"/>
      <c r="M9" s="13"/>
      <c r="N9" s="13"/>
      <c r="O9" s="13"/>
      <c r="P9" s="152"/>
      <c r="Q9" s="149"/>
      <c r="R9" s="152"/>
      <c r="S9" s="152"/>
      <c r="T9" s="62" t="str">
        <f aca="false">IF(OR($C9="",R9=""),"",IF(R9/IF($R$2="",100,$R$2)&gt;=設定!$I$28,設定!$G$8,IF(R9/IF($R$2="",100,$R$2)&lt;設定!$I$29,設定!$G$10,設定!$G$9)))</f>
        <v/>
      </c>
      <c r="U9" s="62" t="str">
        <f aca="false">IF(OR($C9="",S9=""),"",IF(S9/IF($S$2="",100,$S$2)&gt;=設定!$I$28,設定!$G$8,IF(S9/IF($S$2="",100,$S$2)&lt;設定!$I$29,設定!$G$10,設定!$G$9)))</f>
        <v/>
      </c>
    </row>
    <row r="10" customFormat="false" ht="21" hidden="false" customHeight="true" outlineLevel="0" collapsed="false">
      <c r="A10" s="91" t="str">
        <f aca="false">IF(名簿!$D10="","",名簿!$B10&amp;"")</f>
        <v/>
      </c>
      <c r="B10" s="91" t="str">
        <f aca="false">IF(名簿!$D10="","",名簿!$C10)</f>
        <v/>
      </c>
      <c r="C10" s="59" t="str">
        <f aca="false">IF(名簿!$D10="","",名簿!$D10&amp;IF(名簿!$F10="転出","（転出）",""))</f>
        <v/>
      </c>
      <c r="D10" s="149"/>
      <c r="E10" s="61" t="str">
        <f aca="false">IF(OR($C10="",名簿!$F10="転出"),"",IF($C$2="学級ごと",$A10,IF($C$2="前の単元と同じ",単元15!$E10&amp;"",$D10&amp;"")))</f>
        <v/>
      </c>
      <c r="F10" s="150"/>
      <c r="G10" s="150"/>
      <c r="H10" s="150"/>
      <c r="I10" s="151"/>
      <c r="J10" s="41" t="str">
        <f aca="false">IF($E10="","",$E10&amp;"|"&amp;COUNTIF($E$5:$E10,$E10))</f>
        <v/>
      </c>
      <c r="K10" s="40" t="str">
        <f aca="false">IF($I10="","",LEN($I10))</f>
        <v/>
      </c>
      <c r="L10" s="13"/>
      <c r="M10" s="13"/>
      <c r="N10" s="13"/>
      <c r="O10" s="13"/>
      <c r="P10" s="152"/>
      <c r="Q10" s="149"/>
      <c r="R10" s="152"/>
      <c r="S10" s="152"/>
      <c r="T10" s="62" t="str">
        <f aca="false">IF(OR($C10="",R10=""),"",IF(R10/IF($R$2="",100,$R$2)&gt;=設定!$I$28,設定!$G$8,IF(R10/IF($R$2="",100,$R$2)&lt;設定!$I$29,設定!$G$10,設定!$G$9)))</f>
        <v/>
      </c>
      <c r="U10" s="62" t="str">
        <f aca="false">IF(OR($C10="",S10=""),"",IF(S10/IF($S$2="",100,$S$2)&gt;=設定!$I$28,設定!$G$8,IF(S10/IF($S$2="",100,$S$2)&lt;設定!$I$29,設定!$G$10,設定!$G$9)))</f>
        <v/>
      </c>
    </row>
    <row r="11" customFormat="false" ht="21" hidden="false" customHeight="true" outlineLevel="0" collapsed="false">
      <c r="A11" s="91" t="str">
        <f aca="false">IF(名簿!$D11="","",名簿!$B11&amp;"")</f>
        <v/>
      </c>
      <c r="B11" s="91" t="str">
        <f aca="false">IF(名簿!$D11="","",名簿!$C11)</f>
        <v/>
      </c>
      <c r="C11" s="59" t="str">
        <f aca="false">IF(名簿!$D11="","",名簿!$D11&amp;IF(名簿!$F11="転出","（転出）",""))</f>
        <v/>
      </c>
      <c r="D11" s="149"/>
      <c r="E11" s="61" t="str">
        <f aca="false">IF(OR($C11="",名簿!$F11="転出"),"",IF($C$2="学級ごと",$A11,IF($C$2="前の単元と同じ",単元15!$E11&amp;"",$D11&amp;"")))</f>
        <v/>
      </c>
      <c r="F11" s="150"/>
      <c r="G11" s="150"/>
      <c r="H11" s="150"/>
      <c r="I11" s="151"/>
      <c r="J11" s="41" t="str">
        <f aca="false">IF($E11="","",$E11&amp;"|"&amp;COUNTIF($E$5:$E11,$E11))</f>
        <v/>
      </c>
      <c r="K11" s="40" t="str">
        <f aca="false">IF($I11="","",LEN($I11))</f>
        <v/>
      </c>
      <c r="L11" s="13"/>
      <c r="M11" s="13"/>
      <c r="N11" s="13"/>
      <c r="O11" s="13"/>
      <c r="P11" s="152"/>
      <c r="Q11" s="149"/>
      <c r="R11" s="152"/>
      <c r="S11" s="152"/>
      <c r="T11" s="62" t="str">
        <f aca="false">IF(OR($C11="",R11=""),"",IF(R11/IF($R$2="",100,$R$2)&gt;=設定!$I$28,設定!$G$8,IF(R11/IF($R$2="",100,$R$2)&lt;設定!$I$29,設定!$G$10,設定!$G$9)))</f>
        <v/>
      </c>
      <c r="U11" s="62" t="str">
        <f aca="false">IF(OR($C11="",S11=""),"",IF(S11/IF($S$2="",100,$S$2)&gt;=設定!$I$28,設定!$G$8,IF(S11/IF($S$2="",100,$S$2)&lt;設定!$I$29,設定!$G$10,設定!$G$9)))</f>
        <v/>
      </c>
    </row>
    <row r="12" customFormat="false" ht="21" hidden="false" customHeight="true" outlineLevel="0" collapsed="false">
      <c r="A12" s="91" t="str">
        <f aca="false">IF(名簿!$D12="","",名簿!$B12&amp;"")</f>
        <v/>
      </c>
      <c r="B12" s="91" t="str">
        <f aca="false">IF(名簿!$D12="","",名簿!$C12)</f>
        <v/>
      </c>
      <c r="C12" s="59" t="str">
        <f aca="false">IF(名簿!$D12="","",名簿!$D12&amp;IF(名簿!$F12="転出","（転出）",""))</f>
        <v/>
      </c>
      <c r="D12" s="149"/>
      <c r="E12" s="61" t="str">
        <f aca="false">IF(OR($C12="",名簿!$F12="転出"),"",IF($C$2="学級ごと",$A12,IF($C$2="前の単元と同じ",単元15!$E12&amp;"",$D12&amp;"")))</f>
        <v/>
      </c>
      <c r="F12" s="150"/>
      <c r="G12" s="150"/>
      <c r="H12" s="150"/>
      <c r="I12" s="151"/>
      <c r="J12" s="41" t="str">
        <f aca="false">IF($E12="","",$E12&amp;"|"&amp;COUNTIF($E$5:$E12,$E12))</f>
        <v/>
      </c>
      <c r="K12" s="40" t="str">
        <f aca="false">IF($I12="","",LEN($I12))</f>
        <v/>
      </c>
      <c r="L12" s="13"/>
      <c r="M12" s="13"/>
      <c r="N12" s="13"/>
      <c r="O12" s="13"/>
      <c r="P12" s="152"/>
      <c r="Q12" s="149"/>
      <c r="R12" s="152"/>
      <c r="S12" s="152"/>
      <c r="T12" s="62" t="str">
        <f aca="false">IF(OR($C12="",R12=""),"",IF(R12/IF($R$2="",100,$R$2)&gt;=設定!$I$28,設定!$G$8,IF(R12/IF($R$2="",100,$R$2)&lt;設定!$I$29,設定!$G$10,設定!$G$9)))</f>
        <v/>
      </c>
      <c r="U12" s="62" t="str">
        <f aca="false">IF(OR($C12="",S12=""),"",IF(S12/IF($S$2="",100,$S$2)&gt;=設定!$I$28,設定!$G$8,IF(S12/IF($S$2="",100,$S$2)&lt;設定!$I$29,設定!$G$10,設定!$G$9)))</f>
        <v/>
      </c>
    </row>
    <row r="13" customFormat="false" ht="21" hidden="false" customHeight="true" outlineLevel="0" collapsed="false">
      <c r="A13" s="91" t="str">
        <f aca="false">IF(名簿!$D13="","",名簿!$B13&amp;"")</f>
        <v/>
      </c>
      <c r="B13" s="91" t="str">
        <f aca="false">IF(名簿!$D13="","",名簿!$C13)</f>
        <v/>
      </c>
      <c r="C13" s="59" t="str">
        <f aca="false">IF(名簿!$D13="","",名簿!$D13&amp;IF(名簿!$F13="転出","（転出）",""))</f>
        <v/>
      </c>
      <c r="D13" s="149"/>
      <c r="E13" s="61" t="str">
        <f aca="false">IF(OR($C13="",名簿!$F13="転出"),"",IF($C$2="学級ごと",$A13,IF($C$2="前の単元と同じ",単元15!$E13&amp;"",$D13&amp;"")))</f>
        <v/>
      </c>
      <c r="F13" s="150"/>
      <c r="G13" s="150"/>
      <c r="H13" s="150"/>
      <c r="I13" s="151"/>
      <c r="J13" s="41" t="str">
        <f aca="false">IF($E13="","",$E13&amp;"|"&amp;COUNTIF($E$5:$E13,$E13))</f>
        <v/>
      </c>
      <c r="K13" s="40" t="str">
        <f aca="false">IF($I13="","",LEN($I13))</f>
        <v/>
      </c>
      <c r="L13" s="13"/>
      <c r="M13" s="13"/>
      <c r="N13" s="13"/>
      <c r="O13" s="13"/>
      <c r="P13" s="152"/>
      <c r="Q13" s="149"/>
      <c r="R13" s="152"/>
      <c r="S13" s="152"/>
      <c r="T13" s="62" t="str">
        <f aca="false">IF(OR($C13="",R13=""),"",IF(R13/IF($R$2="",100,$R$2)&gt;=設定!$I$28,設定!$G$8,IF(R13/IF($R$2="",100,$R$2)&lt;設定!$I$29,設定!$G$10,設定!$G$9)))</f>
        <v/>
      </c>
      <c r="U13" s="62" t="str">
        <f aca="false">IF(OR($C13="",S13=""),"",IF(S13/IF($S$2="",100,$S$2)&gt;=設定!$I$28,設定!$G$8,IF(S13/IF($S$2="",100,$S$2)&lt;設定!$I$29,設定!$G$10,設定!$G$9)))</f>
        <v/>
      </c>
    </row>
    <row r="14" customFormat="false" ht="21" hidden="false" customHeight="true" outlineLevel="0" collapsed="false">
      <c r="A14" s="91" t="str">
        <f aca="false">IF(名簿!$D14="","",名簿!$B14&amp;"")</f>
        <v/>
      </c>
      <c r="B14" s="91" t="str">
        <f aca="false">IF(名簿!$D14="","",名簿!$C14)</f>
        <v/>
      </c>
      <c r="C14" s="59" t="str">
        <f aca="false">IF(名簿!$D14="","",名簿!$D14&amp;IF(名簿!$F14="転出","（転出）",""))</f>
        <v/>
      </c>
      <c r="D14" s="149"/>
      <c r="E14" s="61" t="str">
        <f aca="false">IF(OR($C14="",名簿!$F14="転出"),"",IF($C$2="学級ごと",$A14,IF($C$2="前の単元と同じ",単元15!$E14&amp;"",$D14&amp;"")))</f>
        <v/>
      </c>
      <c r="F14" s="150"/>
      <c r="G14" s="150"/>
      <c r="H14" s="150"/>
      <c r="I14" s="151"/>
      <c r="J14" s="41" t="str">
        <f aca="false">IF($E14="","",$E14&amp;"|"&amp;COUNTIF($E$5:$E14,$E14))</f>
        <v/>
      </c>
      <c r="K14" s="40" t="str">
        <f aca="false">IF($I14="","",LEN($I14))</f>
        <v/>
      </c>
      <c r="L14" s="13"/>
      <c r="M14" s="13"/>
      <c r="N14" s="13"/>
      <c r="O14" s="13"/>
      <c r="P14" s="152"/>
      <c r="Q14" s="149"/>
      <c r="R14" s="152"/>
      <c r="S14" s="152"/>
      <c r="T14" s="62" t="str">
        <f aca="false">IF(OR($C14="",R14=""),"",IF(R14/IF($R$2="",100,$R$2)&gt;=設定!$I$28,設定!$G$8,IF(R14/IF($R$2="",100,$R$2)&lt;設定!$I$29,設定!$G$10,設定!$G$9)))</f>
        <v/>
      </c>
      <c r="U14" s="62" t="str">
        <f aca="false">IF(OR($C14="",S14=""),"",IF(S14/IF($S$2="",100,$S$2)&gt;=設定!$I$28,設定!$G$8,IF(S14/IF($S$2="",100,$S$2)&lt;設定!$I$29,設定!$G$10,設定!$G$9)))</f>
        <v/>
      </c>
    </row>
    <row r="15" customFormat="false" ht="21" hidden="false" customHeight="true" outlineLevel="0" collapsed="false">
      <c r="A15" s="91" t="str">
        <f aca="false">IF(名簿!$D15="","",名簿!$B15&amp;"")</f>
        <v/>
      </c>
      <c r="B15" s="91" t="str">
        <f aca="false">IF(名簿!$D15="","",名簿!$C15)</f>
        <v/>
      </c>
      <c r="C15" s="59" t="str">
        <f aca="false">IF(名簿!$D15="","",名簿!$D15&amp;IF(名簿!$F15="転出","（転出）",""))</f>
        <v/>
      </c>
      <c r="D15" s="149"/>
      <c r="E15" s="61" t="str">
        <f aca="false">IF(OR($C15="",名簿!$F15="転出"),"",IF($C$2="学級ごと",$A15,IF($C$2="前の単元と同じ",単元15!$E15&amp;"",$D15&amp;"")))</f>
        <v/>
      </c>
      <c r="F15" s="150"/>
      <c r="G15" s="150"/>
      <c r="H15" s="150"/>
      <c r="I15" s="151"/>
      <c r="J15" s="41" t="str">
        <f aca="false">IF($E15="","",$E15&amp;"|"&amp;COUNTIF($E$5:$E15,$E15))</f>
        <v/>
      </c>
      <c r="K15" s="40" t="str">
        <f aca="false">IF($I15="","",LEN($I15))</f>
        <v/>
      </c>
      <c r="L15" s="13"/>
      <c r="M15" s="13"/>
      <c r="N15" s="13"/>
      <c r="O15" s="13"/>
      <c r="P15" s="152"/>
      <c r="Q15" s="149"/>
      <c r="R15" s="152"/>
      <c r="S15" s="152"/>
      <c r="T15" s="62" t="str">
        <f aca="false">IF(OR($C15="",R15=""),"",IF(R15/IF($R$2="",100,$R$2)&gt;=設定!$I$28,設定!$G$8,IF(R15/IF($R$2="",100,$R$2)&lt;設定!$I$29,設定!$G$10,設定!$G$9)))</f>
        <v/>
      </c>
      <c r="U15" s="62" t="str">
        <f aca="false">IF(OR($C15="",S15=""),"",IF(S15/IF($S$2="",100,$S$2)&gt;=設定!$I$28,設定!$G$8,IF(S15/IF($S$2="",100,$S$2)&lt;設定!$I$29,設定!$G$10,設定!$G$9)))</f>
        <v/>
      </c>
    </row>
    <row r="16" customFormat="false" ht="21" hidden="false" customHeight="true" outlineLevel="0" collapsed="false">
      <c r="A16" s="91" t="str">
        <f aca="false">IF(名簿!$D16="","",名簿!$B16&amp;"")</f>
        <v/>
      </c>
      <c r="B16" s="91" t="str">
        <f aca="false">IF(名簿!$D16="","",名簿!$C16)</f>
        <v/>
      </c>
      <c r="C16" s="59" t="str">
        <f aca="false">IF(名簿!$D16="","",名簿!$D16&amp;IF(名簿!$F16="転出","（転出）",""))</f>
        <v/>
      </c>
      <c r="D16" s="149"/>
      <c r="E16" s="61" t="str">
        <f aca="false">IF(OR($C16="",名簿!$F16="転出"),"",IF($C$2="学級ごと",$A16,IF($C$2="前の単元と同じ",単元15!$E16&amp;"",$D16&amp;"")))</f>
        <v/>
      </c>
      <c r="F16" s="150"/>
      <c r="G16" s="150"/>
      <c r="H16" s="150"/>
      <c r="I16" s="151"/>
      <c r="J16" s="41" t="str">
        <f aca="false">IF($E16="","",$E16&amp;"|"&amp;COUNTIF($E$5:$E16,$E16))</f>
        <v/>
      </c>
      <c r="K16" s="40" t="str">
        <f aca="false">IF($I16="","",LEN($I16))</f>
        <v/>
      </c>
      <c r="L16" s="13"/>
      <c r="M16" s="13"/>
      <c r="N16" s="13"/>
      <c r="O16" s="13"/>
      <c r="P16" s="152"/>
      <c r="Q16" s="149"/>
      <c r="R16" s="152"/>
      <c r="S16" s="152"/>
      <c r="T16" s="62" t="str">
        <f aca="false">IF(OR($C16="",R16=""),"",IF(R16/IF($R$2="",100,$R$2)&gt;=設定!$I$28,設定!$G$8,IF(R16/IF($R$2="",100,$R$2)&lt;設定!$I$29,設定!$G$10,設定!$G$9)))</f>
        <v/>
      </c>
      <c r="U16" s="62" t="str">
        <f aca="false">IF(OR($C16="",S16=""),"",IF(S16/IF($S$2="",100,$S$2)&gt;=設定!$I$28,設定!$G$8,IF(S16/IF($S$2="",100,$S$2)&lt;設定!$I$29,設定!$G$10,設定!$G$9)))</f>
        <v/>
      </c>
    </row>
    <row r="17" customFormat="false" ht="21" hidden="false" customHeight="true" outlineLevel="0" collapsed="false">
      <c r="A17" s="91" t="str">
        <f aca="false">IF(名簿!$D17="","",名簿!$B17&amp;"")</f>
        <v/>
      </c>
      <c r="B17" s="91" t="str">
        <f aca="false">IF(名簿!$D17="","",名簿!$C17)</f>
        <v/>
      </c>
      <c r="C17" s="59" t="str">
        <f aca="false">IF(名簿!$D17="","",名簿!$D17&amp;IF(名簿!$F17="転出","（転出）",""))</f>
        <v/>
      </c>
      <c r="D17" s="149"/>
      <c r="E17" s="61" t="str">
        <f aca="false">IF(OR($C17="",名簿!$F17="転出"),"",IF($C$2="学級ごと",$A17,IF($C$2="前の単元と同じ",単元15!$E17&amp;"",$D17&amp;"")))</f>
        <v/>
      </c>
      <c r="F17" s="150"/>
      <c r="G17" s="150"/>
      <c r="H17" s="150"/>
      <c r="I17" s="151"/>
      <c r="J17" s="41" t="str">
        <f aca="false">IF($E17="","",$E17&amp;"|"&amp;COUNTIF($E$5:$E17,$E17))</f>
        <v/>
      </c>
      <c r="K17" s="40" t="str">
        <f aca="false">IF($I17="","",LEN($I17))</f>
        <v/>
      </c>
      <c r="L17" s="13"/>
      <c r="M17" s="13"/>
      <c r="N17" s="13"/>
      <c r="O17" s="13"/>
      <c r="P17" s="152"/>
      <c r="Q17" s="149"/>
      <c r="R17" s="152"/>
      <c r="S17" s="152"/>
      <c r="T17" s="62" t="str">
        <f aca="false">IF(OR($C17="",R17=""),"",IF(R17/IF($R$2="",100,$R$2)&gt;=設定!$I$28,設定!$G$8,IF(R17/IF($R$2="",100,$R$2)&lt;設定!$I$29,設定!$G$10,設定!$G$9)))</f>
        <v/>
      </c>
      <c r="U17" s="62" t="str">
        <f aca="false">IF(OR($C17="",S17=""),"",IF(S17/IF($S$2="",100,$S$2)&gt;=設定!$I$28,設定!$G$8,IF(S17/IF($S$2="",100,$S$2)&lt;設定!$I$29,設定!$G$10,設定!$G$9)))</f>
        <v/>
      </c>
    </row>
    <row r="18" customFormat="false" ht="21" hidden="false" customHeight="true" outlineLevel="0" collapsed="false">
      <c r="A18" s="91" t="str">
        <f aca="false">IF(名簿!$D18="","",名簿!$B18&amp;"")</f>
        <v/>
      </c>
      <c r="B18" s="91" t="str">
        <f aca="false">IF(名簿!$D18="","",名簿!$C18)</f>
        <v/>
      </c>
      <c r="C18" s="59" t="str">
        <f aca="false">IF(名簿!$D18="","",名簿!$D18&amp;IF(名簿!$F18="転出","（転出）",""))</f>
        <v/>
      </c>
      <c r="D18" s="149"/>
      <c r="E18" s="61" t="str">
        <f aca="false">IF(OR($C18="",名簿!$F18="転出"),"",IF($C$2="学級ごと",$A18,IF($C$2="前の単元と同じ",単元15!$E18&amp;"",$D18&amp;"")))</f>
        <v/>
      </c>
      <c r="F18" s="150"/>
      <c r="G18" s="150"/>
      <c r="H18" s="150"/>
      <c r="I18" s="151"/>
      <c r="J18" s="41" t="str">
        <f aca="false">IF($E18="","",$E18&amp;"|"&amp;COUNTIF($E$5:$E18,$E18))</f>
        <v/>
      </c>
      <c r="K18" s="40" t="str">
        <f aca="false">IF($I18="","",LEN($I18))</f>
        <v/>
      </c>
      <c r="L18" s="13"/>
      <c r="M18" s="13"/>
      <c r="N18" s="13"/>
      <c r="O18" s="13"/>
      <c r="P18" s="152"/>
      <c r="Q18" s="149"/>
      <c r="R18" s="152"/>
      <c r="S18" s="152"/>
      <c r="T18" s="62" t="str">
        <f aca="false">IF(OR($C18="",R18=""),"",IF(R18/IF($R$2="",100,$R$2)&gt;=設定!$I$28,設定!$G$8,IF(R18/IF($R$2="",100,$R$2)&lt;設定!$I$29,設定!$G$10,設定!$G$9)))</f>
        <v/>
      </c>
      <c r="U18" s="62" t="str">
        <f aca="false">IF(OR($C18="",S18=""),"",IF(S18/IF($S$2="",100,$S$2)&gt;=設定!$I$28,設定!$G$8,IF(S18/IF($S$2="",100,$S$2)&lt;設定!$I$29,設定!$G$10,設定!$G$9)))</f>
        <v/>
      </c>
    </row>
    <row r="19" customFormat="false" ht="21" hidden="false" customHeight="true" outlineLevel="0" collapsed="false">
      <c r="A19" s="91" t="str">
        <f aca="false">IF(名簿!$D19="","",名簿!$B19&amp;"")</f>
        <v/>
      </c>
      <c r="B19" s="91" t="str">
        <f aca="false">IF(名簿!$D19="","",名簿!$C19)</f>
        <v/>
      </c>
      <c r="C19" s="59" t="str">
        <f aca="false">IF(名簿!$D19="","",名簿!$D19&amp;IF(名簿!$F19="転出","（転出）",""))</f>
        <v/>
      </c>
      <c r="D19" s="149"/>
      <c r="E19" s="61" t="str">
        <f aca="false">IF(OR($C19="",名簿!$F19="転出"),"",IF($C$2="学級ごと",$A19,IF($C$2="前の単元と同じ",単元15!$E19&amp;"",$D19&amp;"")))</f>
        <v/>
      </c>
      <c r="F19" s="150"/>
      <c r="G19" s="150"/>
      <c r="H19" s="150"/>
      <c r="I19" s="151"/>
      <c r="J19" s="41" t="str">
        <f aca="false">IF($E19="","",$E19&amp;"|"&amp;COUNTIF($E$5:$E19,$E19))</f>
        <v/>
      </c>
      <c r="K19" s="40" t="str">
        <f aca="false">IF($I19="","",LEN($I19))</f>
        <v/>
      </c>
      <c r="L19" s="13"/>
      <c r="M19" s="13"/>
      <c r="N19" s="13"/>
      <c r="O19" s="13"/>
      <c r="P19" s="152"/>
      <c r="Q19" s="149"/>
      <c r="R19" s="152"/>
      <c r="S19" s="152"/>
      <c r="T19" s="62" t="str">
        <f aca="false">IF(OR($C19="",R19=""),"",IF(R19/IF($R$2="",100,$R$2)&gt;=設定!$I$28,設定!$G$8,IF(R19/IF($R$2="",100,$R$2)&lt;設定!$I$29,設定!$G$10,設定!$G$9)))</f>
        <v/>
      </c>
      <c r="U19" s="62" t="str">
        <f aca="false">IF(OR($C19="",S19=""),"",IF(S19/IF($S$2="",100,$S$2)&gt;=設定!$I$28,設定!$G$8,IF(S19/IF($S$2="",100,$S$2)&lt;設定!$I$29,設定!$G$10,設定!$G$9)))</f>
        <v/>
      </c>
    </row>
    <row r="20" customFormat="false" ht="21" hidden="false" customHeight="true" outlineLevel="0" collapsed="false">
      <c r="A20" s="91" t="str">
        <f aca="false">IF(名簿!$D20="","",名簿!$B20&amp;"")</f>
        <v/>
      </c>
      <c r="B20" s="91" t="str">
        <f aca="false">IF(名簿!$D20="","",名簿!$C20)</f>
        <v/>
      </c>
      <c r="C20" s="59" t="str">
        <f aca="false">IF(名簿!$D20="","",名簿!$D20&amp;IF(名簿!$F20="転出","（転出）",""))</f>
        <v/>
      </c>
      <c r="D20" s="149"/>
      <c r="E20" s="61" t="str">
        <f aca="false">IF(OR($C20="",名簿!$F20="転出"),"",IF($C$2="学級ごと",$A20,IF($C$2="前の単元と同じ",単元15!$E20&amp;"",$D20&amp;"")))</f>
        <v/>
      </c>
      <c r="F20" s="150"/>
      <c r="G20" s="150"/>
      <c r="H20" s="150"/>
      <c r="I20" s="151"/>
      <c r="J20" s="41" t="str">
        <f aca="false">IF($E20="","",$E20&amp;"|"&amp;COUNTIF($E$5:$E20,$E20))</f>
        <v/>
      </c>
      <c r="K20" s="40" t="str">
        <f aca="false">IF($I20="","",LEN($I20))</f>
        <v/>
      </c>
      <c r="L20" s="13"/>
      <c r="M20" s="13"/>
      <c r="N20" s="13"/>
      <c r="O20" s="13"/>
      <c r="P20" s="152"/>
      <c r="Q20" s="149"/>
      <c r="R20" s="152"/>
      <c r="S20" s="152"/>
      <c r="T20" s="62" t="str">
        <f aca="false">IF(OR($C20="",R20=""),"",IF(R20/IF($R$2="",100,$R$2)&gt;=設定!$I$28,設定!$G$8,IF(R20/IF($R$2="",100,$R$2)&lt;設定!$I$29,設定!$G$10,設定!$G$9)))</f>
        <v/>
      </c>
      <c r="U20" s="62" t="str">
        <f aca="false">IF(OR($C20="",S20=""),"",IF(S20/IF($S$2="",100,$S$2)&gt;=設定!$I$28,設定!$G$8,IF(S20/IF($S$2="",100,$S$2)&lt;設定!$I$29,設定!$G$10,設定!$G$9)))</f>
        <v/>
      </c>
    </row>
    <row r="21" customFormat="false" ht="21" hidden="false" customHeight="true" outlineLevel="0" collapsed="false">
      <c r="A21" s="91" t="str">
        <f aca="false">IF(名簿!$D21="","",名簿!$B21&amp;"")</f>
        <v/>
      </c>
      <c r="B21" s="91" t="str">
        <f aca="false">IF(名簿!$D21="","",名簿!$C21)</f>
        <v/>
      </c>
      <c r="C21" s="59" t="str">
        <f aca="false">IF(名簿!$D21="","",名簿!$D21&amp;IF(名簿!$F21="転出","（転出）",""))</f>
        <v/>
      </c>
      <c r="D21" s="149"/>
      <c r="E21" s="61" t="str">
        <f aca="false">IF(OR($C21="",名簿!$F21="転出"),"",IF($C$2="学級ごと",$A21,IF($C$2="前の単元と同じ",単元15!$E21&amp;"",$D21&amp;"")))</f>
        <v/>
      </c>
      <c r="F21" s="150"/>
      <c r="G21" s="150"/>
      <c r="H21" s="150"/>
      <c r="I21" s="151"/>
      <c r="J21" s="41" t="str">
        <f aca="false">IF($E21="","",$E21&amp;"|"&amp;COUNTIF($E$5:$E21,$E21))</f>
        <v/>
      </c>
      <c r="K21" s="40" t="str">
        <f aca="false">IF($I21="","",LEN($I21))</f>
        <v/>
      </c>
      <c r="L21" s="13"/>
      <c r="M21" s="13"/>
      <c r="N21" s="13"/>
      <c r="O21" s="13"/>
      <c r="P21" s="152"/>
      <c r="Q21" s="149"/>
      <c r="R21" s="152"/>
      <c r="S21" s="152"/>
      <c r="T21" s="62" t="str">
        <f aca="false">IF(OR($C21="",R21=""),"",IF(R21/IF($R$2="",100,$R$2)&gt;=設定!$I$28,設定!$G$8,IF(R21/IF($R$2="",100,$R$2)&lt;設定!$I$29,設定!$G$10,設定!$G$9)))</f>
        <v/>
      </c>
      <c r="U21" s="62" t="str">
        <f aca="false">IF(OR($C21="",S21=""),"",IF(S21/IF($S$2="",100,$S$2)&gt;=設定!$I$28,設定!$G$8,IF(S21/IF($S$2="",100,$S$2)&lt;設定!$I$29,設定!$G$10,設定!$G$9)))</f>
        <v/>
      </c>
    </row>
    <row r="22" customFormat="false" ht="21" hidden="false" customHeight="true" outlineLevel="0" collapsed="false">
      <c r="A22" s="91" t="str">
        <f aca="false">IF(名簿!$D22="","",名簿!$B22&amp;"")</f>
        <v/>
      </c>
      <c r="B22" s="91" t="str">
        <f aca="false">IF(名簿!$D22="","",名簿!$C22)</f>
        <v/>
      </c>
      <c r="C22" s="59" t="str">
        <f aca="false">IF(名簿!$D22="","",名簿!$D22&amp;IF(名簿!$F22="転出","（転出）",""))</f>
        <v/>
      </c>
      <c r="D22" s="149"/>
      <c r="E22" s="61" t="str">
        <f aca="false">IF(OR($C22="",名簿!$F22="転出"),"",IF($C$2="学級ごと",$A22,IF($C$2="前の単元と同じ",単元15!$E22&amp;"",$D22&amp;"")))</f>
        <v/>
      </c>
      <c r="F22" s="150"/>
      <c r="G22" s="150"/>
      <c r="H22" s="150"/>
      <c r="I22" s="151"/>
      <c r="J22" s="41" t="str">
        <f aca="false">IF($E22="","",$E22&amp;"|"&amp;COUNTIF($E$5:$E22,$E22))</f>
        <v/>
      </c>
      <c r="K22" s="40" t="str">
        <f aca="false">IF($I22="","",LEN($I22))</f>
        <v/>
      </c>
      <c r="L22" s="13"/>
      <c r="M22" s="13"/>
      <c r="N22" s="13"/>
      <c r="O22" s="13"/>
      <c r="P22" s="152"/>
      <c r="Q22" s="149"/>
      <c r="R22" s="152"/>
      <c r="S22" s="152"/>
      <c r="T22" s="62" t="str">
        <f aca="false">IF(OR($C22="",R22=""),"",IF(R22/IF($R$2="",100,$R$2)&gt;=設定!$I$28,設定!$G$8,IF(R22/IF($R$2="",100,$R$2)&lt;設定!$I$29,設定!$G$10,設定!$G$9)))</f>
        <v/>
      </c>
      <c r="U22" s="62" t="str">
        <f aca="false">IF(OR($C22="",S22=""),"",IF(S22/IF($S$2="",100,$S$2)&gt;=設定!$I$28,設定!$G$8,IF(S22/IF($S$2="",100,$S$2)&lt;設定!$I$29,設定!$G$10,設定!$G$9)))</f>
        <v/>
      </c>
    </row>
    <row r="23" customFormat="false" ht="21" hidden="false" customHeight="true" outlineLevel="0" collapsed="false">
      <c r="A23" s="91" t="str">
        <f aca="false">IF(名簿!$D23="","",名簿!$B23&amp;"")</f>
        <v/>
      </c>
      <c r="B23" s="91" t="str">
        <f aca="false">IF(名簿!$D23="","",名簿!$C23)</f>
        <v/>
      </c>
      <c r="C23" s="59" t="str">
        <f aca="false">IF(名簿!$D23="","",名簿!$D23&amp;IF(名簿!$F23="転出","（転出）",""))</f>
        <v/>
      </c>
      <c r="D23" s="149"/>
      <c r="E23" s="61" t="str">
        <f aca="false">IF(OR($C23="",名簿!$F23="転出"),"",IF($C$2="学級ごと",$A23,IF($C$2="前の単元と同じ",単元15!$E23&amp;"",$D23&amp;"")))</f>
        <v/>
      </c>
      <c r="F23" s="150"/>
      <c r="G23" s="150"/>
      <c r="H23" s="150"/>
      <c r="I23" s="151"/>
      <c r="J23" s="41" t="str">
        <f aca="false">IF($E23="","",$E23&amp;"|"&amp;COUNTIF($E$5:$E23,$E23))</f>
        <v/>
      </c>
      <c r="K23" s="40" t="str">
        <f aca="false">IF($I23="","",LEN($I23))</f>
        <v/>
      </c>
      <c r="L23" s="13"/>
      <c r="M23" s="13"/>
      <c r="N23" s="13"/>
      <c r="O23" s="13"/>
      <c r="P23" s="152"/>
      <c r="Q23" s="149"/>
      <c r="R23" s="152"/>
      <c r="S23" s="152"/>
      <c r="T23" s="62" t="str">
        <f aca="false">IF(OR($C23="",R23=""),"",IF(R23/IF($R$2="",100,$R$2)&gt;=設定!$I$28,設定!$G$8,IF(R23/IF($R$2="",100,$R$2)&lt;設定!$I$29,設定!$G$10,設定!$G$9)))</f>
        <v/>
      </c>
      <c r="U23" s="62" t="str">
        <f aca="false">IF(OR($C23="",S23=""),"",IF(S23/IF($S$2="",100,$S$2)&gt;=設定!$I$28,設定!$G$8,IF(S23/IF($S$2="",100,$S$2)&lt;設定!$I$29,設定!$G$10,設定!$G$9)))</f>
        <v/>
      </c>
    </row>
    <row r="24" customFormat="false" ht="21" hidden="false" customHeight="true" outlineLevel="0" collapsed="false">
      <c r="A24" s="91" t="str">
        <f aca="false">IF(名簿!$D24="","",名簿!$B24&amp;"")</f>
        <v/>
      </c>
      <c r="B24" s="91" t="str">
        <f aca="false">IF(名簿!$D24="","",名簿!$C24)</f>
        <v/>
      </c>
      <c r="C24" s="59" t="str">
        <f aca="false">IF(名簿!$D24="","",名簿!$D24&amp;IF(名簿!$F24="転出","（転出）",""))</f>
        <v/>
      </c>
      <c r="D24" s="149"/>
      <c r="E24" s="61" t="str">
        <f aca="false">IF(OR($C24="",名簿!$F24="転出"),"",IF($C$2="学級ごと",$A24,IF($C$2="前の単元と同じ",単元15!$E24&amp;"",$D24&amp;"")))</f>
        <v/>
      </c>
      <c r="F24" s="150"/>
      <c r="G24" s="150"/>
      <c r="H24" s="150"/>
      <c r="I24" s="151"/>
      <c r="J24" s="41" t="str">
        <f aca="false">IF($E24="","",$E24&amp;"|"&amp;COUNTIF($E$5:$E24,$E24))</f>
        <v/>
      </c>
      <c r="K24" s="40" t="str">
        <f aca="false">IF($I24="","",LEN($I24))</f>
        <v/>
      </c>
      <c r="L24" s="13"/>
      <c r="M24" s="13"/>
      <c r="N24" s="13"/>
      <c r="O24" s="13"/>
      <c r="P24" s="152"/>
      <c r="Q24" s="149"/>
      <c r="R24" s="152"/>
      <c r="S24" s="152"/>
      <c r="T24" s="62" t="str">
        <f aca="false">IF(OR($C24="",R24=""),"",IF(R24/IF($R$2="",100,$R$2)&gt;=設定!$I$28,設定!$G$8,IF(R24/IF($R$2="",100,$R$2)&lt;設定!$I$29,設定!$G$10,設定!$G$9)))</f>
        <v/>
      </c>
      <c r="U24" s="62" t="str">
        <f aca="false">IF(OR($C24="",S24=""),"",IF(S24/IF($S$2="",100,$S$2)&gt;=設定!$I$28,設定!$G$8,IF(S24/IF($S$2="",100,$S$2)&lt;設定!$I$29,設定!$G$10,設定!$G$9)))</f>
        <v/>
      </c>
    </row>
    <row r="25" customFormat="false" ht="21" hidden="false" customHeight="true" outlineLevel="0" collapsed="false">
      <c r="A25" s="91" t="str">
        <f aca="false">IF(名簿!$D25="","",名簿!$B25&amp;"")</f>
        <v/>
      </c>
      <c r="B25" s="91" t="str">
        <f aca="false">IF(名簿!$D25="","",名簿!$C25)</f>
        <v/>
      </c>
      <c r="C25" s="59" t="str">
        <f aca="false">IF(名簿!$D25="","",名簿!$D25&amp;IF(名簿!$F25="転出","（転出）",""))</f>
        <v/>
      </c>
      <c r="D25" s="149"/>
      <c r="E25" s="61" t="str">
        <f aca="false">IF(OR($C25="",名簿!$F25="転出"),"",IF($C$2="学級ごと",$A25,IF($C$2="前の単元と同じ",単元15!$E25&amp;"",$D25&amp;"")))</f>
        <v/>
      </c>
      <c r="F25" s="150"/>
      <c r="G25" s="150"/>
      <c r="H25" s="150"/>
      <c r="I25" s="151"/>
      <c r="J25" s="41" t="str">
        <f aca="false">IF($E25="","",$E25&amp;"|"&amp;COUNTIF($E$5:$E25,$E25))</f>
        <v/>
      </c>
      <c r="K25" s="40" t="str">
        <f aca="false">IF($I25="","",LEN($I25))</f>
        <v/>
      </c>
      <c r="L25" s="13"/>
      <c r="M25" s="13"/>
      <c r="N25" s="13"/>
      <c r="O25" s="13"/>
      <c r="P25" s="152"/>
      <c r="Q25" s="149"/>
      <c r="R25" s="152"/>
      <c r="S25" s="152"/>
      <c r="T25" s="62" t="str">
        <f aca="false">IF(OR($C25="",R25=""),"",IF(R25/IF($R$2="",100,$R$2)&gt;=設定!$I$28,設定!$G$8,IF(R25/IF($R$2="",100,$R$2)&lt;設定!$I$29,設定!$G$10,設定!$G$9)))</f>
        <v/>
      </c>
      <c r="U25" s="62" t="str">
        <f aca="false">IF(OR($C25="",S25=""),"",IF(S25/IF($S$2="",100,$S$2)&gt;=設定!$I$28,設定!$G$8,IF(S25/IF($S$2="",100,$S$2)&lt;設定!$I$29,設定!$G$10,設定!$G$9)))</f>
        <v/>
      </c>
    </row>
    <row r="26" customFormat="false" ht="21" hidden="false" customHeight="true" outlineLevel="0" collapsed="false">
      <c r="A26" s="91" t="str">
        <f aca="false">IF(名簿!$D26="","",名簿!$B26&amp;"")</f>
        <v/>
      </c>
      <c r="B26" s="91" t="str">
        <f aca="false">IF(名簿!$D26="","",名簿!$C26)</f>
        <v/>
      </c>
      <c r="C26" s="59" t="str">
        <f aca="false">IF(名簿!$D26="","",名簿!$D26&amp;IF(名簿!$F26="転出","（転出）",""))</f>
        <v/>
      </c>
      <c r="D26" s="149"/>
      <c r="E26" s="61" t="str">
        <f aca="false">IF(OR($C26="",名簿!$F26="転出"),"",IF($C$2="学級ごと",$A26,IF($C$2="前の単元と同じ",単元15!$E26&amp;"",$D26&amp;"")))</f>
        <v/>
      </c>
      <c r="F26" s="150"/>
      <c r="G26" s="150"/>
      <c r="H26" s="150"/>
      <c r="I26" s="151"/>
      <c r="J26" s="41" t="str">
        <f aca="false">IF($E26="","",$E26&amp;"|"&amp;COUNTIF($E$5:$E26,$E26))</f>
        <v/>
      </c>
      <c r="K26" s="40" t="str">
        <f aca="false">IF($I26="","",LEN($I26))</f>
        <v/>
      </c>
      <c r="L26" s="13"/>
      <c r="M26" s="13"/>
      <c r="N26" s="13"/>
      <c r="O26" s="13"/>
      <c r="P26" s="152"/>
      <c r="Q26" s="149"/>
      <c r="R26" s="152"/>
      <c r="S26" s="152"/>
      <c r="T26" s="62" t="str">
        <f aca="false">IF(OR($C26="",R26=""),"",IF(R26/IF($R$2="",100,$R$2)&gt;=設定!$I$28,設定!$G$8,IF(R26/IF($R$2="",100,$R$2)&lt;設定!$I$29,設定!$G$10,設定!$G$9)))</f>
        <v/>
      </c>
      <c r="U26" s="62" t="str">
        <f aca="false">IF(OR($C26="",S26=""),"",IF(S26/IF($S$2="",100,$S$2)&gt;=設定!$I$28,設定!$G$8,IF(S26/IF($S$2="",100,$S$2)&lt;設定!$I$29,設定!$G$10,設定!$G$9)))</f>
        <v/>
      </c>
    </row>
    <row r="27" customFormat="false" ht="21" hidden="false" customHeight="true" outlineLevel="0" collapsed="false">
      <c r="A27" s="91" t="str">
        <f aca="false">IF(名簿!$D27="","",名簿!$B27&amp;"")</f>
        <v/>
      </c>
      <c r="B27" s="91" t="str">
        <f aca="false">IF(名簿!$D27="","",名簿!$C27)</f>
        <v/>
      </c>
      <c r="C27" s="59" t="str">
        <f aca="false">IF(名簿!$D27="","",名簿!$D27&amp;IF(名簿!$F27="転出","（転出）",""))</f>
        <v/>
      </c>
      <c r="D27" s="149"/>
      <c r="E27" s="61" t="str">
        <f aca="false">IF(OR($C27="",名簿!$F27="転出"),"",IF($C$2="学級ごと",$A27,IF($C$2="前の単元と同じ",単元15!$E27&amp;"",$D27&amp;"")))</f>
        <v/>
      </c>
      <c r="F27" s="150"/>
      <c r="G27" s="150"/>
      <c r="H27" s="150"/>
      <c r="I27" s="151"/>
      <c r="J27" s="41" t="str">
        <f aca="false">IF($E27="","",$E27&amp;"|"&amp;COUNTIF($E$5:$E27,$E27))</f>
        <v/>
      </c>
      <c r="K27" s="40" t="str">
        <f aca="false">IF($I27="","",LEN($I27))</f>
        <v/>
      </c>
      <c r="L27" s="13"/>
      <c r="M27" s="13"/>
      <c r="N27" s="13"/>
      <c r="O27" s="13"/>
      <c r="P27" s="152"/>
      <c r="Q27" s="149"/>
      <c r="R27" s="152"/>
      <c r="S27" s="152"/>
      <c r="T27" s="62" t="str">
        <f aca="false">IF(OR($C27="",R27=""),"",IF(R27/IF($R$2="",100,$R$2)&gt;=設定!$I$28,設定!$G$8,IF(R27/IF($R$2="",100,$R$2)&lt;設定!$I$29,設定!$G$10,設定!$G$9)))</f>
        <v/>
      </c>
      <c r="U27" s="62" t="str">
        <f aca="false">IF(OR($C27="",S27=""),"",IF(S27/IF($S$2="",100,$S$2)&gt;=設定!$I$28,設定!$G$8,IF(S27/IF($S$2="",100,$S$2)&lt;設定!$I$29,設定!$G$10,設定!$G$9)))</f>
        <v/>
      </c>
    </row>
    <row r="28" customFormat="false" ht="21" hidden="false" customHeight="true" outlineLevel="0" collapsed="false">
      <c r="A28" s="91" t="str">
        <f aca="false">IF(名簿!$D28="","",名簿!$B28&amp;"")</f>
        <v/>
      </c>
      <c r="B28" s="91" t="str">
        <f aca="false">IF(名簿!$D28="","",名簿!$C28)</f>
        <v/>
      </c>
      <c r="C28" s="59" t="str">
        <f aca="false">IF(名簿!$D28="","",名簿!$D28&amp;IF(名簿!$F28="転出","（転出）",""))</f>
        <v/>
      </c>
      <c r="D28" s="149"/>
      <c r="E28" s="61" t="str">
        <f aca="false">IF(OR($C28="",名簿!$F28="転出"),"",IF($C$2="学級ごと",$A28,IF($C$2="前の単元と同じ",単元15!$E28&amp;"",$D28&amp;"")))</f>
        <v/>
      </c>
      <c r="F28" s="150"/>
      <c r="G28" s="150"/>
      <c r="H28" s="150"/>
      <c r="I28" s="151"/>
      <c r="J28" s="41" t="str">
        <f aca="false">IF($E28="","",$E28&amp;"|"&amp;COUNTIF($E$5:$E28,$E28))</f>
        <v/>
      </c>
      <c r="K28" s="40" t="str">
        <f aca="false">IF($I28="","",LEN($I28))</f>
        <v/>
      </c>
      <c r="L28" s="13"/>
      <c r="M28" s="13"/>
      <c r="N28" s="13"/>
      <c r="O28" s="13"/>
      <c r="P28" s="152"/>
      <c r="Q28" s="149"/>
      <c r="R28" s="152"/>
      <c r="S28" s="152"/>
      <c r="T28" s="62" t="str">
        <f aca="false">IF(OR($C28="",R28=""),"",IF(R28/IF($R$2="",100,$R$2)&gt;=設定!$I$28,設定!$G$8,IF(R28/IF($R$2="",100,$R$2)&lt;設定!$I$29,設定!$G$10,設定!$G$9)))</f>
        <v/>
      </c>
      <c r="U28" s="62" t="str">
        <f aca="false">IF(OR($C28="",S28=""),"",IF(S28/IF($S$2="",100,$S$2)&gt;=設定!$I$28,設定!$G$8,IF(S28/IF($S$2="",100,$S$2)&lt;設定!$I$29,設定!$G$10,設定!$G$9)))</f>
        <v/>
      </c>
    </row>
    <row r="29" customFormat="false" ht="21" hidden="false" customHeight="true" outlineLevel="0" collapsed="false">
      <c r="A29" s="91" t="str">
        <f aca="false">IF(名簿!$D29="","",名簿!$B29&amp;"")</f>
        <v/>
      </c>
      <c r="B29" s="91" t="str">
        <f aca="false">IF(名簿!$D29="","",名簿!$C29)</f>
        <v/>
      </c>
      <c r="C29" s="59" t="str">
        <f aca="false">IF(名簿!$D29="","",名簿!$D29&amp;IF(名簿!$F29="転出","（転出）",""))</f>
        <v/>
      </c>
      <c r="D29" s="149"/>
      <c r="E29" s="61" t="str">
        <f aca="false">IF(OR($C29="",名簿!$F29="転出"),"",IF($C$2="学級ごと",$A29,IF($C$2="前の単元と同じ",単元15!$E29&amp;"",$D29&amp;"")))</f>
        <v/>
      </c>
      <c r="F29" s="150"/>
      <c r="G29" s="150"/>
      <c r="H29" s="150"/>
      <c r="I29" s="151"/>
      <c r="J29" s="41" t="str">
        <f aca="false">IF($E29="","",$E29&amp;"|"&amp;COUNTIF($E$5:$E29,$E29))</f>
        <v/>
      </c>
      <c r="K29" s="40" t="str">
        <f aca="false">IF($I29="","",LEN($I29))</f>
        <v/>
      </c>
      <c r="L29" s="13"/>
      <c r="M29" s="13"/>
      <c r="N29" s="13"/>
      <c r="O29" s="13"/>
      <c r="P29" s="152"/>
      <c r="Q29" s="149"/>
      <c r="R29" s="152"/>
      <c r="S29" s="152"/>
      <c r="T29" s="62" t="str">
        <f aca="false">IF(OR($C29="",R29=""),"",IF(R29/IF($R$2="",100,$R$2)&gt;=設定!$I$28,設定!$G$8,IF(R29/IF($R$2="",100,$R$2)&lt;設定!$I$29,設定!$G$10,設定!$G$9)))</f>
        <v/>
      </c>
      <c r="U29" s="62" t="str">
        <f aca="false">IF(OR($C29="",S29=""),"",IF(S29/IF($S$2="",100,$S$2)&gt;=設定!$I$28,設定!$G$8,IF(S29/IF($S$2="",100,$S$2)&lt;設定!$I$29,設定!$G$10,設定!$G$9)))</f>
        <v/>
      </c>
    </row>
    <row r="30" customFormat="false" ht="21" hidden="false" customHeight="true" outlineLevel="0" collapsed="false">
      <c r="A30" s="91" t="str">
        <f aca="false">IF(名簿!$D30="","",名簿!$B30&amp;"")</f>
        <v/>
      </c>
      <c r="B30" s="91" t="str">
        <f aca="false">IF(名簿!$D30="","",名簿!$C30)</f>
        <v/>
      </c>
      <c r="C30" s="59" t="str">
        <f aca="false">IF(名簿!$D30="","",名簿!$D30&amp;IF(名簿!$F30="転出","（転出）",""))</f>
        <v/>
      </c>
      <c r="D30" s="149"/>
      <c r="E30" s="61" t="str">
        <f aca="false">IF(OR($C30="",名簿!$F30="転出"),"",IF($C$2="学級ごと",$A30,IF($C$2="前の単元と同じ",単元15!$E30&amp;"",$D30&amp;"")))</f>
        <v/>
      </c>
      <c r="F30" s="150"/>
      <c r="G30" s="150"/>
      <c r="H30" s="150"/>
      <c r="I30" s="151"/>
      <c r="J30" s="41" t="str">
        <f aca="false">IF($E30="","",$E30&amp;"|"&amp;COUNTIF($E$5:$E30,$E30))</f>
        <v/>
      </c>
      <c r="K30" s="40" t="str">
        <f aca="false">IF($I30="","",LEN($I30))</f>
        <v/>
      </c>
      <c r="L30" s="13"/>
      <c r="M30" s="13"/>
      <c r="N30" s="13"/>
      <c r="O30" s="13"/>
      <c r="P30" s="152"/>
      <c r="Q30" s="149"/>
      <c r="R30" s="152"/>
      <c r="S30" s="152"/>
      <c r="T30" s="62" t="str">
        <f aca="false">IF(OR($C30="",R30=""),"",IF(R30/IF($R$2="",100,$R$2)&gt;=設定!$I$28,設定!$G$8,IF(R30/IF($R$2="",100,$R$2)&lt;設定!$I$29,設定!$G$10,設定!$G$9)))</f>
        <v/>
      </c>
      <c r="U30" s="62" t="str">
        <f aca="false">IF(OR($C30="",S30=""),"",IF(S30/IF($S$2="",100,$S$2)&gt;=設定!$I$28,設定!$G$8,IF(S30/IF($S$2="",100,$S$2)&lt;設定!$I$29,設定!$G$10,設定!$G$9)))</f>
        <v/>
      </c>
    </row>
    <row r="31" customFormat="false" ht="21" hidden="false" customHeight="true" outlineLevel="0" collapsed="false">
      <c r="A31" s="91" t="str">
        <f aca="false">IF(名簿!$D31="","",名簿!$B31&amp;"")</f>
        <v/>
      </c>
      <c r="B31" s="91" t="str">
        <f aca="false">IF(名簿!$D31="","",名簿!$C31)</f>
        <v/>
      </c>
      <c r="C31" s="59" t="str">
        <f aca="false">IF(名簿!$D31="","",名簿!$D31&amp;IF(名簿!$F31="転出","（転出）",""))</f>
        <v/>
      </c>
      <c r="D31" s="149"/>
      <c r="E31" s="61" t="str">
        <f aca="false">IF(OR($C31="",名簿!$F31="転出"),"",IF($C$2="学級ごと",$A31,IF($C$2="前の単元と同じ",単元15!$E31&amp;"",$D31&amp;"")))</f>
        <v/>
      </c>
      <c r="F31" s="150"/>
      <c r="G31" s="150"/>
      <c r="H31" s="150"/>
      <c r="I31" s="151"/>
      <c r="J31" s="41" t="str">
        <f aca="false">IF($E31="","",$E31&amp;"|"&amp;COUNTIF($E$5:$E31,$E31))</f>
        <v/>
      </c>
      <c r="K31" s="40" t="str">
        <f aca="false">IF($I31="","",LEN($I31))</f>
        <v/>
      </c>
      <c r="L31" s="13"/>
      <c r="M31" s="13"/>
      <c r="N31" s="13"/>
      <c r="O31" s="13"/>
      <c r="P31" s="152"/>
      <c r="Q31" s="149"/>
      <c r="R31" s="152"/>
      <c r="S31" s="152"/>
      <c r="T31" s="62" t="str">
        <f aca="false">IF(OR($C31="",R31=""),"",IF(R31/IF($R$2="",100,$R$2)&gt;=設定!$I$28,設定!$G$8,IF(R31/IF($R$2="",100,$R$2)&lt;設定!$I$29,設定!$G$10,設定!$G$9)))</f>
        <v/>
      </c>
      <c r="U31" s="62" t="str">
        <f aca="false">IF(OR($C31="",S31=""),"",IF(S31/IF($S$2="",100,$S$2)&gt;=設定!$I$28,設定!$G$8,IF(S31/IF($S$2="",100,$S$2)&lt;設定!$I$29,設定!$G$10,設定!$G$9)))</f>
        <v/>
      </c>
    </row>
    <row r="32" customFormat="false" ht="21" hidden="false" customHeight="true" outlineLevel="0" collapsed="false">
      <c r="A32" s="91" t="str">
        <f aca="false">IF(名簿!$D32="","",名簿!$B32&amp;"")</f>
        <v/>
      </c>
      <c r="B32" s="91" t="str">
        <f aca="false">IF(名簿!$D32="","",名簿!$C32)</f>
        <v/>
      </c>
      <c r="C32" s="59" t="str">
        <f aca="false">IF(名簿!$D32="","",名簿!$D32&amp;IF(名簿!$F32="転出","（転出）",""))</f>
        <v/>
      </c>
      <c r="D32" s="149"/>
      <c r="E32" s="61" t="str">
        <f aca="false">IF(OR($C32="",名簿!$F32="転出"),"",IF($C$2="学級ごと",$A32,IF($C$2="前の単元と同じ",単元15!$E32&amp;"",$D32&amp;"")))</f>
        <v/>
      </c>
      <c r="F32" s="150"/>
      <c r="G32" s="150"/>
      <c r="H32" s="150"/>
      <c r="I32" s="151"/>
      <c r="J32" s="41" t="str">
        <f aca="false">IF($E32="","",$E32&amp;"|"&amp;COUNTIF($E$5:$E32,$E32))</f>
        <v/>
      </c>
      <c r="K32" s="40" t="str">
        <f aca="false">IF($I32="","",LEN($I32))</f>
        <v/>
      </c>
      <c r="L32" s="13"/>
      <c r="M32" s="13"/>
      <c r="N32" s="13"/>
      <c r="O32" s="13"/>
      <c r="P32" s="152"/>
      <c r="Q32" s="149"/>
      <c r="R32" s="152"/>
      <c r="S32" s="152"/>
      <c r="T32" s="62" t="str">
        <f aca="false">IF(OR($C32="",R32=""),"",IF(R32/IF($R$2="",100,$R$2)&gt;=設定!$I$28,設定!$G$8,IF(R32/IF($R$2="",100,$R$2)&lt;設定!$I$29,設定!$G$10,設定!$G$9)))</f>
        <v/>
      </c>
      <c r="U32" s="62" t="str">
        <f aca="false">IF(OR($C32="",S32=""),"",IF(S32/IF($S$2="",100,$S$2)&gt;=設定!$I$28,設定!$G$8,IF(S32/IF($S$2="",100,$S$2)&lt;設定!$I$29,設定!$G$10,設定!$G$9)))</f>
        <v/>
      </c>
    </row>
    <row r="33" customFormat="false" ht="21" hidden="false" customHeight="true" outlineLevel="0" collapsed="false">
      <c r="A33" s="91" t="str">
        <f aca="false">IF(名簿!$D33="","",名簿!$B33&amp;"")</f>
        <v/>
      </c>
      <c r="B33" s="91" t="str">
        <f aca="false">IF(名簿!$D33="","",名簿!$C33)</f>
        <v/>
      </c>
      <c r="C33" s="59" t="str">
        <f aca="false">IF(名簿!$D33="","",名簿!$D33&amp;IF(名簿!$F33="転出","（転出）",""))</f>
        <v/>
      </c>
      <c r="D33" s="149"/>
      <c r="E33" s="61" t="str">
        <f aca="false">IF(OR($C33="",名簿!$F33="転出"),"",IF($C$2="学級ごと",$A33,IF($C$2="前の単元と同じ",単元15!$E33&amp;"",$D33&amp;"")))</f>
        <v/>
      </c>
      <c r="F33" s="150"/>
      <c r="G33" s="150"/>
      <c r="H33" s="150"/>
      <c r="I33" s="151"/>
      <c r="J33" s="41" t="str">
        <f aca="false">IF($E33="","",$E33&amp;"|"&amp;COUNTIF($E$5:$E33,$E33))</f>
        <v/>
      </c>
      <c r="K33" s="40" t="str">
        <f aca="false">IF($I33="","",LEN($I33))</f>
        <v/>
      </c>
      <c r="L33" s="13"/>
      <c r="M33" s="13"/>
      <c r="N33" s="13"/>
      <c r="O33" s="13"/>
      <c r="P33" s="152"/>
      <c r="Q33" s="149"/>
      <c r="R33" s="152"/>
      <c r="S33" s="152"/>
      <c r="T33" s="62" t="str">
        <f aca="false">IF(OR($C33="",R33=""),"",IF(R33/IF($R$2="",100,$R$2)&gt;=設定!$I$28,設定!$G$8,IF(R33/IF($R$2="",100,$R$2)&lt;設定!$I$29,設定!$G$10,設定!$G$9)))</f>
        <v/>
      </c>
      <c r="U33" s="62" t="str">
        <f aca="false">IF(OR($C33="",S33=""),"",IF(S33/IF($S$2="",100,$S$2)&gt;=設定!$I$28,設定!$G$8,IF(S33/IF($S$2="",100,$S$2)&lt;設定!$I$29,設定!$G$10,設定!$G$9)))</f>
        <v/>
      </c>
    </row>
    <row r="34" customFormat="false" ht="21" hidden="false" customHeight="true" outlineLevel="0" collapsed="false">
      <c r="A34" s="91" t="str">
        <f aca="false">IF(名簿!$D34="","",名簿!$B34&amp;"")</f>
        <v/>
      </c>
      <c r="B34" s="91" t="str">
        <f aca="false">IF(名簿!$D34="","",名簿!$C34)</f>
        <v/>
      </c>
      <c r="C34" s="59" t="str">
        <f aca="false">IF(名簿!$D34="","",名簿!$D34&amp;IF(名簿!$F34="転出","（転出）",""))</f>
        <v/>
      </c>
      <c r="D34" s="149"/>
      <c r="E34" s="61" t="str">
        <f aca="false">IF(OR($C34="",名簿!$F34="転出"),"",IF($C$2="学級ごと",$A34,IF($C$2="前の単元と同じ",単元15!$E34&amp;"",$D34&amp;"")))</f>
        <v/>
      </c>
      <c r="F34" s="150"/>
      <c r="G34" s="150"/>
      <c r="H34" s="150"/>
      <c r="I34" s="151"/>
      <c r="J34" s="41" t="str">
        <f aca="false">IF($E34="","",$E34&amp;"|"&amp;COUNTIF($E$5:$E34,$E34))</f>
        <v/>
      </c>
      <c r="K34" s="40" t="str">
        <f aca="false">IF($I34="","",LEN($I34))</f>
        <v/>
      </c>
      <c r="L34" s="13"/>
      <c r="M34" s="13"/>
      <c r="N34" s="13"/>
      <c r="O34" s="13"/>
      <c r="P34" s="152"/>
      <c r="Q34" s="149"/>
      <c r="R34" s="152"/>
      <c r="S34" s="152"/>
      <c r="T34" s="62" t="str">
        <f aca="false">IF(OR($C34="",R34=""),"",IF(R34/IF($R$2="",100,$R$2)&gt;=設定!$I$28,設定!$G$8,IF(R34/IF($R$2="",100,$R$2)&lt;設定!$I$29,設定!$G$10,設定!$G$9)))</f>
        <v/>
      </c>
      <c r="U34" s="62" t="str">
        <f aca="false">IF(OR($C34="",S34=""),"",IF(S34/IF($S$2="",100,$S$2)&gt;=設定!$I$28,設定!$G$8,IF(S34/IF($S$2="",100,$S$2)&lt;設定!$I$29,設定!$G$10,設定!$G$9)))</f>
        <v/>
      </c>
    </row>
    <row r="35" customFormat="false" ht="21" hidden="false" customHeight="true" outlineLevel="0" collapsed="false">
      <c r="A35" s="91" t="str">
        <f aca="false">IF(名簿!$D35="","",名簿!$B35&amp;"")</f>
        <v/>
      </c>
      <c r="B35" s="91" t="str">
        <f aca="false">IF(名簿!$D35="","",名簿!$C35)</f>
        <v/>
      </c>
      <c r="C35" s="59" t="str">
        <f aca="false">IF(名簿!$D35="","",名簿!$D35&amp;IF(名簿!$F35="転出","（転出）",""))</f>
        <v/>
      </c>
      <c r="D35" s="149"/>
      <c r="E35" s="61" t="str">
        <f aca="false">IF(OR($C35="",名簿!$F35="転出"),"",IF($C$2="学級ごと",$A35,IF($C$2="前の単元と同じ",単元15!$E35&amp;"",$D35&amp;"")))</f>
        <v/>
      </c>
      <c r="F35" s="150"/>
      <c r="G35" s="150"/>
      <c r="H35" s="150"/>
      <c r="I35" s="151"/>
      <c r="J35" s="41" t="str">
        <f aca="false">IF($E35="","",$E35&amp;"|"&amp;COUNTIF($E$5:$E35,$E35))</f>
        <v/>
      </c>
      <c r="K35" s="40" t="str">
        <f aca="false">IF($I35="","",LEN($I35))</f>
        <v/>
      </c>
      <c r="L35" s="13"/>
      <c r="M35" s="13"/>
      <c r="N35" s="13"/>
      <c r="O35" s="13"/>
      <c r="P35" s="152"/>
      <c r="Q35" s="149"/>
      <c r="R35" s="152"/>
      <c r="S35" s="152"/>
      <c r="T35" s="62" t="str">
        <f aca="false">IF(OR($C35="",R35=""),"",IF(R35/IF($R$2="",100,$R$2)&gt;=設定!$I$28,設定!$G$8,IF(R35/IF($R$2="",100,$R$2)&lt;設定!$I$29,設定!$G$10,設定!$G$9)))</f>
        <v/>
      </c>
      <c r="U35" s="62" t="str">
        <f aca="false">IF(OR($C35="",S35=""),"",IF(S35/IF($S$2="",100,$S$2)&gt;=設定!$I$28,設定!$G$8,IF(S35/IF($S$2="",100,$S$2)&lt;設定!$I$29,設定!$G$10,設定!$G$9)))</f>
        <v/>
      </c>
    </row>
    <row r="36" customFormat="false" ht="21" hidden="false" customHeight="true" outlineLevel="0" collapsed="false">
      <c r="A36" s="91" t="str">
        <f aca="false">IF(名簿!$D36="","",名簿!$B36&amp;"")</f>
        <v/>
      </c>
      <c r="B36" s="91" t="str">
        <f aca="false">IF(名簿!$D36="","",名簿!$C36)</f>
        <v/>
      </c>
      <c r="C36" s="59" t="str">
        <f aca="false">IF(名簿!$D36="","",名簿!$D36&amp;IF(名簿!$F36="転出","（転出）",""))</f>
        <v/>
      </c>
      <c r="D36" s="149"/>
      <c r="E36" s="61" t="str">
        <f aca="false">IF(OR($C36="",名簿!$F36="転出"),"",IF($C$2="学級ごと",$A36,IF($C$2="前の単元と同じ",単元15!$E36&amp;"",$D36&amp;"")))</f>
        <v/>
      </c>
      <c r="F36" s="150"/>
      <c r="G36" s="150"/>
      <c r="H36" s="150"/>
      <c r="I36" s="151"/>
      <c r="J36" s="41" t="str">
        <f aca="false">IF($E36="","",$E36&amp;"|"&amp;COUNTIF($E$5:$E36,$E36))</f>
        <v/>
      </c>
      <c r="K36" s="40" t="str">
        <f aca="false">IF($I36="","",LEN($I36))</f>
        <v/>
      </c>
      <c r="L36" s="13"/>
      <c r="M36" s="13"/>
      <c r="N36" s="13"/>
      <c r="O36" s="13"/>
      <c r="P36" s="152"/>
      <c r="Q36" s="149"/>
      <c r="R36" s="152"/>
      <c r="S36" s="152"/>
      <c r="T36" s="62" t="str">
        <f aca="false">IF(OR($C36="",R36=""),"",IF(R36/IF($R$2="",100,$R$2)&gt;=設定!$I$28,設定!$G$8,IF(R36/IF($R$2="",100,$R$2)&lt;設定!$I$29,設定!$G$10,設定!$G$9)))</f>
        <v/>
      </c>
      <c r="U36" s="62" t="str">
        <f aca="false">IF(OR($C36="",S36=""),"",IF(S36/IF($S$2="",100,$S$2)&gt;=設定!$I$28,設定!$G$8,IF(S36/IF($S$2="",100,$S$2)&lt;設定!$I$29,設定!$G$10,設定!$G$9)))</f>
        <v/>
      </c>
    </row>
    <row r="37" customFormat="false" ht="21" hidden="false" customHeight="true" outlineLevel="0" collapsed="false">
      <c r="A37" s="91" t="str">
        <f aca="false">IF(名簿!$D37="","",名簿!$B37&amp;"")</f>
        <v/>
      </c>
      <c r="B37" s="91" t="str">
        <f aca="false">IF(名簿!$D37="","",名簿!$C37)</f>
        <v/>
      </c>
      <c r="C37" s="59" t="str">
        <f aca="false">IF(名簿!$D37="","",名簿!$D37&amp;IF(名簿!$F37="転出","（転出）",""))</f>
        <v/>
      </c>
      <c r="D37" s="149"/>
      <c r="E37" s="61" t="str">
        <f aca="false">IF(OR($C37="",名簿!$F37="転出"),"",IF($C$2="学級ごと",$A37,IF($C$2="前の単元と同じ",単元15!$E37&amp;"",$D37&amp;"")))</f>
        <v/>
      </c>
      <c r="F37" s="150"/>
      <c r="G37" s="150"/>
      <c r="H37" s="150"/>
      <c r="I37" s="151"/>
      <c r="J37" s="41" t="str">
        <f aca="false">IF($E37="","",$E37&amp;"|"&amp;COUNTIF($E$5:$E37,$E37))</f>
        <v/>
      </c>
      <c r="K37" s="40" t="str">
        <f aca="false">IF($I37="","",LEN($I37))</f>
        <v/>
      </c>
      <c r="L37" s="13"/>
      <c r="M37" s="13"/>
      <c r="N37" s="13"/>
      <c r="O37" s="13"/>
      <c r="P37" s="152"/>
      <c r="Q37" s="149"/>
      <c r="R37" s="152"/>
      <c r="S37" s="152"/>
      <c r="T37" s="62" t="str">
        <f aca="false">IF(OR($C37="",R37=""),"",IF(R37/IF($R$2="",100,$R$2)&gt;=設定!$I$28,設定!$G$8,IF(R37/IF($R$2="",100,$R$2)&lt;設定!$I$29,設定!$G$10,設定!$G$9)))</f>
        <v/>
      </c>
      <c r="U37" s="62" t="str">
        <f aca="false">IF(OR($C37="",S37=""),"",IF(S37/IF($S$2="",100,$S$2)&gt;=設定!$I$28,設定!$G$8,IF(S37/IF($S$2="",100,$S$2)&lt;設定!$I$29,設定!$G$10,設定!$G$9)))</f>
        <v/>
      </c>
    </row>
    <row r="38" customFormat="false" ht="21" hidden="false" customHeight="true" outlineLevel="0" collapsed="false">
      <c r="A38" s="91" t="str">
        <f aca="false">IF(名簿!$D38="","",名簿!$B38&amp;"")</f>
        <v/>
      </c>
      <c r="B38" s="91" t="str">
        <f aca="false">IF(名簿!$D38="","",名簿!$C38)</f>
        <v/>
      </c>
      <c r="C38" s="59" t="str">
        <f aca="false">IF(名簿!$D38="","",名簿!$D38&amp;IF(名簿!$F38="転出","（転出）",""))</f>
        <v/>
      </c>
      <c r="D38" s="149"/>
      <c r="E38" s="61" t="str">
        <f aca="false">IF(OR($C38="",名簿!$F38="転出"),"",IF($C$2="学級ごと",$A38,IF($C$2="前の単元と同じ",単元15!$E38&amp;"",$D38&amp;"")))</f>
        <v/>
      </c>
      <c r="F38" s="150"/>
      <c r="G38" s="150"/>
      <c r="H38" s="150"/>
      <c r="I38" s="151"/>
      <c r="J38" s="41" t="str">
        <f aca="false">IF($E38="","",$E38&amp;"|"&amp;COUNTIF($E$5:$E38,$E38))</f>
        <v/>
      </c>
      <c r="K38" s="40" t="str">
        <f aca="false">IF($I38="","",LEN($I38))</f>
        <v/>
      </c>
      <c r="L38" s="13"/>
      <c r="M38" s="13"/>
      <c r="N38" s="13"/>
      <c r="O38" s="13"/>
      <c r="P38" s="152"/>
      <c r="Q38" s="149"/>
      <c r="R38" s="152"/>
      <c r="S38" s="152"/>
      <c r="T38" s="62" t="str">
        <f aca="false">IF(OR($C38="",R38=""),"",IF(R38/IF($R$2="",100,$R$2)&gt;=設定!$I$28,設定!$G$8,IF(R38/IF($R$2="",100,$R$2)&lt;設定!$I$29,設定!$G$10,設定!$G$9)))</f>
        <v/>
      </c>
      <c r="U38" s="62" t="str">
        <f aca="false">IF(OR($C38="",S38=""),"",IF(S38/IF($S$2="",100,$S$2)&gt;=設定!$I$28,設定!$G$8,IF(S38/IF($S$2="",100,$S$2)&lt;設定!$I$29,設定!$G$10,設定!$G$9)))</f>
        <v/>
      </c>
    </row>
    <row r="39" customFormat="false" ht="21" hidden="false" customHeight="true" outlineLevel="0" collapsed="false">
      <c r="A39" s="91" t="str">
        <f aca="false">IF(名簿!$D39="","",名簿!$B39&amp;"")</f>
        <v/>
      </c>
      <c r="B39" s="91" t="str">
        <f aca="false">IF(名簿!$D39="","",名簿!$C39)</f>
        <v/>
      </c>
      <c r="C39" s="59" t="str">
        <f aca="false">IF(名簿!$D39="","",名簿!$D39&amp;IF(名簿!$F39="転出","（転出）",""))</f>
        <v/>
      </c>
      <c r="D39" s="149"/>
      <c r="E39" s="61" t="str">
        <f aca="false">IF(OR($C39="",名簿!$F39="転出"),"",IF($C$2="学級ごと",$A39,IF($C$2="前の単元と同じ",単元15!$E39&amp;"",$D39&amp;"")))</f>
        <v/>
      </c>
      <c r="F39" s="150"/>
      <c r="G39" s="150"/>
      <c r="H39" s="150"/>
      <c r="I39" s="151"/>
      <c r="J39" s="41" t="str">
        <f aca="false">IF($E39="","",$E39&amp;"|"&amp;COUNTIF($E$5:$E39,$E39))</f>
        <v/>
      </c>
      <c r="K39" s="40" t="str">
        <f aca="false">IF($I39="","",LEN($I39))</f>
        <v/>
      </c>
      <c r="L39" s="13"/>
      <c r="M39" s="13"/>
      <c r="N39" s="13"/>
      <c r="O39" s="13"/>
      <c r="P39" s="152"/>
      <c r="Q39" s="149"/>
      <c r="R39" s="152"/>
      <c r="S39" s="152"/>
      <c r="T39" s="62" t="str">
        <f aca="false">IF(OR($C39="",R39=""),"",IF(R39/IF($R$2="",100,$R$2)&gt;=設定!$I$28,設定!$G$8,IF(R39/IF($R$2="",100,$R$2)&lt;設定!$I$29,設定!$G$10,設定!$G$9)))</f>
        <v/>
      </c>
      <c r="U39" s="62" t="str">
        <f aca="false">IF(OR($C39="",S39=""),"",IF(S39/IF($S$2="",100,$S$2)&gt;=設定!$I$28,設定!$G$8,IF(S39/IF($S$2="",100,$S$2)&lt;設定!$I$29,設定!$G$10,設定!$G$9)))</f>
        <v/>
      </c>
    </row>
    <row r="40" customFormat="false" ht="21" hidden="false" customHeight="true" outlineLevel="0" collapsed="false">
      <c r="A40" s="91" t="str">
        <f aca="false">IF(名簿!$D40="","",名簿!$B40&amp;"")</f>
        <v/>
      </c>
      <c r="B40" s="91" t="str">
        <f aca="false">IF(名簿!$D40="","",名簿!$C40)</f>
        <v/>
      </c>
      <c r="C40" s="59" t="str">
        <f aca="false">IF(名簿!$D40="","",名簿!$D40&amp;IF(名簿!$F40="転出","（転出）",""))</f>
        <v/>
      </c>
      <c r="D40" s="149"/>
      <c r="E40" s="61" t="str">
        <f aca="false">IF(OR($C40="",名簿!$F40="転出"),"",IF($C$2="学級ごと",$A40,IF($C$2="前の単元と同じ",単元15!$E40&amp;"",$D40&amp;"")))</f>
        <v/>
      </c>
      <c r="F40" s="150"/>
      <c r="G40" s="150"/>
      <c r="H40" s="150"/>
      <c r="I40" s="151"/>
      <c r="J40" s="41" t="str">
        <f aca="false">IF($E40="","",$E40&amp;"|"&amp;COUNTIF($E$5:$E40,$E40))</f>
        <v/>
      </c>
      <c r="K40" s="40" t="str">
        <f aca="false">IF($I40="","",LEN($I40))</f>
        <v/>
      </c>
      <c r="L40" s="13"/>
      <c r="M40" s="13"/>
      <c r="N40" s="13"/>
      <c r="O40" s="13"/>
      <c r="P40" s="152"/>
      <c r="Q40" s="149"/>
      <c r="R40" s="152"/>
      <c r="S40" s="152"/>
      <c r="T40" s="62" t="str">
        <f aca="false">IF(OR($C40="",R40=""),"",IF(R40/IF($R$2="",100,$R$2)&gt;=設定!$I$28,設定!$G$8,IF(R40/IF($R$2="",100,$R$2)&lt;設定!$I$29,設定!$G$10,設定!$G$9)))</f>
        <v/>
      </c>
      <c r="U40" s="62" t="str">
        <f aca="false">IF(OR($C40="",S40=""),"",IF(S40/IF($S$2="",100,$S$2)&gt;=設定!$I$28,設定!$G$8,IF(S40/IF($S$2="",100,$S$2)&lt;設定!$I$29,設定!$G$10,設定!$G$9)))</f>
        <v/>
      </c>
    </row>
    <row r="41" customFormat="false" ht="21" hidden="false" customHeight="true" outlineLevel="0" collapsed="false">
      <c r="A41" s="91" t="str">
        <f aca="false">IF(名簿!$D41="","",名簿!$B41&amp;"")</f>
        <v/>
      </c>
      <c r="B41" s="91" t="str">
        <f aca="false">IF(名簿!$D41="","",名簿!$C41)</f>
        <v/>
      </c>
      <c r="C41" s="59" t="str">
        <f aca="false">IF(名簿!$D41="","",名簿!$D41&amp;IF(名簿!$F41="転出","（転出）",""))</f>
        <v/>
      </c>
      <c r="D41" s="149"/>
      <c r="E41" s="61" t="str">
        <f aca="false">IF(OR($C41="",名簿!$F41="転出"),"",IF($C$2="学級ごと",$A41,IF($C$2="前の単元と同じ",単元15!$E41&amp;"",$D41&amp;"")))</f>
        <v/>
      </c>
      <c r="F41" s="150"/>
      <c r="G41" s="150"/>
      <c r="H41" s="150"/>
      <c r="I41" s="151"/>
      <c r="J41" s="41" t="str">
        <f aca="false">IF($E41="","",$E41&amp;"|"&amp;COUNTIF($E$5:$E41,$E41))</f>
        <v/>
      </c>
      <c r="K41" s="40" t="str">
        <f aca="false">IF($I41="","",LEN($I41))</f>
        <v/>
      </c>
      <c r="L41" s="13"/>
      <c r="M41" s="13"/>
      <c r="N41" s="13"/>
      <c r="O41" s="13"/>
      <c r="P41" s="152"/>
      <c r="Q41" s="149"/>
      <c r="R41" s="152"/>
      <c r="S41" s="152"/>
      <c r="T41" s="62" t="str">
        <f aca="false">IF(OR($C41="",R41=""),"",IF(R41/IF($R$2="",100,$R$2)&gt;=設定!$I$28,設定!$G$8,IF(R41/IF($R$2="",100,$R$2)&lt;設定!$I$29,設定!$G$10,設定!$G$9)))</f>
        <v/>
      </c>
      <c r="U41" s="62" t="str">
        <f aca="false">IF(OR($C41="",S41=""),"",IF(S41/IF($S$2="",100,$S$2)&gt;=設定!$I$28,設定!$G$8,IF(S41/IF($S$2="",100,$S$2)&lt;設定!$I$29,設定!$G$10,設定!$G$9)))</f>
        <v/>
      </c>
    </row>
    <row r="42" customFormat="false" ht="21" hidden="false" customHeight="true" outlineLevel="0" collapsed="false">
      <c r="A42" s="91" t="str">
        <f aca="false">IF(名簿!$D42="","",名簿!$B42&amp;"")</f>
        <v/>
      </c>
      <c r="B42" s="91" t="str">
        <f aca="false">IF(名簿!$D42="","",名簿!$C42)</f>
        <v/>
      </c>
      <c r="C42" s="59" t="str">
        <f aca="false">IF(名簿!$D42="","",名簿!$D42&amp;IF(名簿!$F42="転出","（転出）",""))</f>
        <v/>
      </c>
      <c r="D42" s="149"/>
      <c r="E42" s="61" t="str">
        <f aca="false">IF(OR($C42="",名簿!$F42="転出"),"",IF($C$2="学級ごと",$A42,IF($C$2="前の単元と同じ",単元15!$E42&amp;"",$D42&amp;"")))</f>
        <v/>
      </c>
      <c r="F42" s="150"/>
      <c r="G42" s="150"/>
      <c r="H42" s="150"/>
      <c r="I42" s="151"/>
      <c r="J42" s="41" t="str">
        <f aca="false">IF($E42="","",$E42&amp;"|"&amp;COUNTIF($E$5:$E42,$E42))</f>
        <v/>
      </c>
      <c r="K42" s="40" t="str">
        <f aca="false">IF($I42="","",LEN($I42))</f>
        <v/>
      </c>
      <c r="L42" s="13"/>
      <c r="M42" s="13"/>
      <c r="N42" s="13"/>
      <c r="O42" s="13"/>
      <c r="P42" s="152"/>
      <c r="Q42" s="149"/>
      <c r="R42" s="152"/>
      <c r="S42" s="152"/>
      <c r="T42" s="62" t="str">
        <f aca="false">IF(OR($C42="",R42=""),"",IF(R42/IF($R$2="",100,$R$2)&gt;=設定!$I$28,設定!$G$8,IF(R42/IF($R$2="",100,$R$2)&lt;設定!$I$29,設定!$G$10,設定!$G$9)))</f>
        <v/>
      </c>
      <c r="U42" s="62" t="str">
        <f aca="false">IF(OR($C42="",S42=""),"",IF(S42/IF($S$2="",100,$S$2)&gt;=設定!$I$28,設定!$G$8,IF(S42/IF($S$2="",100,$S$2)&lt;設定!$I$29,設定!$G$10,設定!$G$9)))</f>
        <v/>
      </c>
    </row>
    <row r="43" customFormat="false" ht="21" hidden="false" customHeight="true" outlineLevel="0" collapsed="false">
      <c r="A43" s="91" t="str">
        <f aca="false">IF(名簿!$D43="","",名簿!$B43&amp;"")</f>
        <v/>
      </c>
      <c r="B43" s="91" t="str">
        <f aca="false">IF(名簿!$D43="","",名簿!$C43)</f>
        <v/>
      </c>
      <c r="C43" s="59" t="str">
        <f aca="false">IF(名簿!$D43="","",名簿!$D43&amp;IF(名簿!$F43="転出","（転出）",""))</f>
        <v/>
      </c>
      <c r="D43" s="149"/>
      <c r="E43" s="61" t="str">
        <f aca="false">IF(OR($C43="",名簿!$F43="転出"),"",IF($C$2="学級ごと",$A43,IF($C$2="前の単元と同じ",単元15!$E43&amp;"",$D43&amp;"")))</f>
        <v/>
      </c>
      <c r="F43" s="150"/>
      <c r="G43" s="150"/>
      <c r="H43" s="150"/>
      <c r="I43" s="151"/>
      <c r="J43" s="41" t="str">
        <f aca="false">IF($E43="","",$E43&amp;"|"&amp;COUNTIF($E$5:$E43,$E43))</f>
        <v/>
      </c>
      <c r="K43" s="40" t="str">
        <f aca="false">IF($I43="","",LEN($I43))</f>
        <v/>
      </c>
      <c r="L43" s="13"/>
      <c r="M43" s="13"/>
      <c r="N43" s="13"/>
      <c r="O43" s="13"/>
      <c r="P43" s="152"/>
      <c r="Q43" s="149"/>
      <c r="R43" s="152"/>
      <c r="S43" s="152"/>
      <c r="T43" s="62" t="str">
        <f aca="false">IF(OR($C43="",R43=""),"",IF(R43/IF($R$2="",100,$R$2)&gt;=設定!$I$28,設定!$G$8,IF(R43/IF($R$2="",100,$R$2)&lt;設定!$I$29,設定!$G$10,設定!$G$9)))</f>
        <v/>
      </c>
      <c r="U43" s="62" t="str">
        <f aca="false">IF(OR($C43="",S43=""),"",IF(S43/IF($S$2="",100,$S$2)&gt;=設定!$I$28,設定!$G$8,IF(S43/IF($S$2="",100,$S$2)&lt;設定!$I$29,設定!$G$10,設定!$G$9)))</f>
        <v/>
      </c>
    </row>
    <row r="44" customFormat="false" ht="21" hidden="false" customHeight="true" outlineLevel="0" collapsed="false">
      <c r="A44" s="91" t="str">
        <f aca="false">IF(名簿!$D44="","",名簿!$B44&amp;"")</f>
        <v/>
      </c>
      <c r="B44" s="91" t="str">
        <f aca="false">IF(名簿!$D44="","",名簿!$C44)</f>
        <v/>
      </c>
      <c r="C44" s="59" t="str">
        <f aca="false">IF(名簿!$D44="","",名簿!$D44&amp;IF(名簿!$F44="転出","（転出）",""))</f>
        <v/>
      </c>
      <c r="D44" s="149"/>
      <c r="E44" s="61" t="str">
        <f aca="false">IF(OR($C44="",名簿!$F44="転出"),"",IF($C$2="学級ごと",$A44,IF($C$2="前の単元と同じ",単元15!$E44&amp;"",$D44&amp;"")))</f>
        <v/>
      </c>
      <c r="F44" s="150"/>
      <c r="G44" s="150"/>
      <c r="H44" s="150"/>
      <c r="I44" s="151"/>
      <c r="J44" s="41" t="str">
        <f aca="false">IF($E44="","",$E44&amp;"|"&amp;COUNTIF($E$5:$E44,$E44))</f>
        <v/>
      </c>
      <c r="K44" s="40" t="str">
        <f aca="false">IF($I44="","",LEN($I44))</f>
        <v/>
      </c>
      <c r="L44" s="13"/>
      <c r="M44" s="13"/>
      <c r="N44" s="13"/>
      <c r="O44" s="13"/>
      <c r="P44" s="152"/>
      <c r="Q44" s="149"/>
      <c r="R44" s="152"/>
      <c r="S44" s="152"/>
      <c r="T44" s="62" t="str">
        <f aca="false">IF(OR($C44="",R44=""),"",IF(R44/IF($R$2="",100,$R$2)&gt;=設定!$I$28,設定!$G$8,IF(R44/IF($R$2="",100,$R$2)&lt;設定!$I$29,設定!$G$10,設定!$G$9)))</f>
        <v/>
      </c>
      <c r="U44" s="62" t="str">
        <f aca="false">IF(OR($C44="",S44=""),"",IF(S44/IF($S$2="",100,$S$2)&gt;=設定!$I$28,設定!$G$8,IF(S44/IF($S$2="",100,$S$2)&lt;設定!$I$29,設定!$G$10,設定!$G$9)))</f>
        <v/>
      </c>
    </row>
    <row r="45" customFormat="false" ht="21" hidden="false" customHeight="true" outlineLevel="0" collapsed="false">
      <c r="A45" s="91" t="str">
        <f aca="false">IF(名簿!$D45="","",名簿!$B45&amp;"")</f>
        <v/>
      </c>
      <c r="B45" s="91" t="str">
        <f aca="false">IF(名簿!$D45="","",名簿!$C45)</f>
        <v/>
      </c>
      <c r="C45" s="59" t="str">
        <f aca="false">IF(名簿!$D45="","",名簿!$D45&amp;IF(名簿!$F45="転出","（転出）",""))</f>
        <v/>
      </c>
      <c r="D45" s="149"/>
      <c r="E45" s="61" t="str">
        <f aca="false">IF(OR($C45="",名簿!$F45="転出"),"",IF($C$2="学級ごと",$A45,IF($C$2="前の単元と同じ",単元15!$E45&amp;"",$D45&amp;"")))</f>
        <v/>
      </c>
      <c r="F45" s="150"/>
      <c r="G45" s="150"/>
      <c r="H45" s="150"/>
      <c r="I45" s="151"/>
      <c r="J45" s="41" t="str">
        <f aca="false">IF($E45="","",$E45&amp;"|"&amp;COUNTIF($E$5:$E45,$E45))</f>
        <v/>
      </c>
      <c r="K45" s="40" t="str">
        <f aca="false">IF($I45="","",LEN($I45))</f>
        <v/>
      </c>
      <c r="L45" s="13"/>
      <c r="M45" s="13"/>
      <c r="N45" s="13"/>
      <c r="O45" s="13"/>
      <c r="P45" s="152"/>
      <c r="Q45" s="149"/>
      <c r="R45" s="152"/>
      <c r="S45" s="152"/>
      <c r="T45" s="62" t="str">
        <f aca="false">IF(OR($C45="",R45=""),"",IF(R45/IF($R$2="",100,$R$2)&gt;=設定!$I$28,設定!$G$8,IF(R45/IF($R$2="",100,$R$2)&lt;設定!$I$29,設定!$G$10,設定!$G$9)))</f>
        <v/>
      </c>
      <c r="U45" s="62" t="str">
        <f aca="false">IF(OR($C45="",S45=""),"",IF(S45/IF($S$2="",100,$S$2)&gt;=設定!$I$28,設定!$G$8,IF(S45/IF($S$2="",100,$S$2)&lt;設定!$I$29,設定!$G$10,設定!$G$9)))</f>
        <v/>
      </c>
    </row>
    <row r="46" customFormat="false" ht="21" hidden="false" customHeight="true" outlineLevel="0" collapsed="false">
      <c r="A46" s="91" t="str">
        <f aca="false">IF(名簿!$D46="","",名簿!$B46&amp;"")</f>
        <v/>
      </c>
      <c r="B46" s="91" t="str">
        <f aca="false">IF(名簿!$D46="","",名簿!$C46)</f>
        <v/>
      </c>
      <c r="C46" s="59" t="str">
        <f aca="false">IF(名簿!$D46="","",名簿!$D46&amp;IF(名簿!$F46="転出","（転出）",""))</f>
        <v/>
      </c>
      <c r="D46" s="149"/>
      <c r="E46" s="61" t="str">
        <f aca="false">IF(OR($C46="",名簿!$F46="転出"),"",IF($C$2="学級ごと",$A46,IF($C$2="前の単元と同じ",単元15!$E46&amp;"",$D46&amp;"")))</f>
        <v/>
      </c>
      <c r="F46" s="150"/>
      <c r="G46" s="150"/>
      <c r="H46" s="150"/>
      <c r="I46" s="151"/>
      <c r="J46" s="41" t="str">
        <f aca="false">IF($E46="","",$E46&amp;"|"&amp;COUNTIF($E$5:$E46,$E46))</f>
        <v/>
      </c>
      <c r="K46" s="40" t="str">
        <f aca="false">IF($I46="","",LEN($I46))</f>
        <v/>
      </c>
      <c r="L46" s="13"/>
      <c r="M46" s="13"/>
      <c r="N46" s="13"/>
      <c r="O46" s="13"/>
      <c r="P46" s="152"/>
      <c r="Q46" s="149"/>
      <c r="R46" s="152"/>
      <c r="S46" s="152"/>
      <c r="T46" s="62" t="str">
        <f aca="false">IF(OR($C46="",R46=""),"",IF(R46/IF($R$2="",100,$R$2)&gt;=設定!$I$28,設定!$G$8,IF(R46/IF($R$2="",100,$R$2)&lt;設定!$I$29,設定!$G$10,設定!$G$9)))</f>
        <v/>
      </c>
      <c r="U46" s="62" t="str">
        <f aca="false">IF(OR($C46="",S46=""),"",IF(S46/IF($S$2="",100,$S$2)&gt;=設定!$I$28,設定!$G$8,IF(S46/IF($S$2="",100,$S$2)&lt;設定!$I$29,設定!$G$10,設定!$G$9)))</f>
        <v/>
      </c>
    </row>
    <row r="47" customFormat="false" ht="21" hidden="false" customHeight="true" outlineLevel="0" collapsed="false">
      <c r="A47" s="91" t="str">
        <f aca="false">IF(名簿!$D47="","",名簿!$B47&amp;"")</f>
        <v/>
      </c>
      <c r="B47" s="91" t="str">
        <f aca="false">IF(名簿!$D47="","",名簿!$C47)</f>
        <v/>
      </c>
      <c r="C47" s="59" t="str">
        <f aca="false">IF(名簿!$D47="","",名簿!$D47&amp;IF(名簿!$F47="転出","（転出）",""))</f>
        <v/>
      </c>
      <c r="D47" s="149"/>
      <c r="E47" s="61" t="str">
        <f aca="false">IF(OR($C47="",名簿!$F47="転出"),"",IF($C$2="学級ごと",$A47,IF($C$2="前の単元と同じ",単元15!$E47&amp;"",$D47&amp;"")))</f>
        <v/>
      </c>
      <c r="F47" s="150"/>
      <c r="G47" s="150"/>
      <c r="H47" s="150"/>
      <c r="I47" s="151"/>
      <c r="J47" s="41" t="str">
        <f aca="false">IF($E47="","",$E47&amp;"|"&amp;COUNTIF($E$5:$E47,$E47))</f>
        <v/>
      </c>
      <c r="K47" s="40" t="str">
        <f aca="false">IF($I47="","",LEN($I47))</f>
        <v/>
      </c>
      <c r="L47" s="13"/>
      <c r="M47" s="13"/>
      <c r="N47" s="13"/>
      <c r="O47" s="13"/>
      <c r="P47" s="152"/>
      <c r="Q47" s="149"/>
      <c r="R47" s="152"/>
      <c r="S47" s="152"/>
      <c r="T47" s="62" t="str">
        <f aca="false">IF(OR($C47="",R47=""),"",IF(R47/IF($R$2="",100,$R$2)&gt;=設定!$I$28,設定!$G$8,IF(R47/IF($R$2="",100,$R$2)&lt;設定!$I$29,設定!$G$10,設定!$G$9)))</f>
        <v/>
      </c>
      <c r="U47" s="62" t="str">
        <f aca="false">IF(OR($C47="",S47=""),"",IF(S47/IF($S$2="",100,$S$2)&gt;=設定!$I$28,設定!$G$8,IF(S47/IF($S$2="",100,$S$2)&lt;設定!$I$29,設定!$G$10,設定!$G$9)))</f>
        <v/>
      </c>
    </row>
    <row r="48" customFormat="false" ht="21" hidden="false" customHeight="true" outlineLevel="0" collapsed="false">
      <c r="A48" s="91" t="str">
        <f aca="false">IF(名簿!$D48="","",名簿!$B48&amp;"")</f>
        <v/>
      </c>
      <c r="B48" s="91" t="str">
        <f aca="false">IF(名簿!$D48="","",名簿!$C48)</f>
        <v/>
      </c>
      <c r="C48" s="59" t="str">
        <f aca="false">IF(名簿!$D48="","",名簿!$D48&amp;IF(名簿!$F48="転出","（転出）",""))</f>
        <v/>
      </c>
      <c r="D48" s="149"/>
      <c r="E48" s="61" t="str">
        <f aca="false">IF(OR($C48="",名簿!$F48="転出"),"",IF($C$2="学級ごと",$A48,IF($C$2="前の単元と同じ",単元15!$E48&amp;"",$D48&amp;"")))</f>
        <v/>
      </c>
      <c r="F48" s="150"/>
      <c r="G48" s="150"/>
      <c r="H48" s="150"/>
      <c r="I48" s="151"/>
      <c r="J48" s="41" t="str">
        <f aca="false">IF($E48="","",$E48&amp;"|"&amp;COUNTIF($E$5:$E48,$E48))</f>
        <v/>
      </c>
      <c r="K48" s="40" t="str">
        <f aca="false">IF($I48="","",LEN($I48))</f>
        <v/>
      </c>
      <c r="L48" s="13"/>
      <c r="M48" s="13"/>
      <c r="N48" s="13"/>
      <c r="O48" s="13"/>
      <c r="P48" s="152"/>
      <c r="Q48" s="149"/>
      <c r="R48" s="152"/>
      <c r="S48" s="152"/>
      <c r="T48" s="62" t="str">
        <f aca="false">IF(OR($C48="",R48=""),"",IF(R48/IF($R$2="",100,$R$2)&gt;=設定!$I$28,設定!$G$8,IF(R48/IF($R$2="",100,$R$2)&lt;設定!$I$29,設定!$G$10,設定!$G$9)))</f>
        <v/>
      </c>
      <c r="U48" s="62" t="str">
        <f aca="false">IF(OR($C48="",S48=""),"",IF(S48/IF($S$2="",100,$S$2)&gt;=設定!$I$28,設定!$G$8,IF(S48/IF($S$2="",100,$S$2)&lt;設定!$I$29,設定!$G$10,設定!$G$9)))</f>
        <v/>
      </c>
    </row>
    <row r="49" customFormat="false" ht="21" hidden="false" customHeight="true" outlineLevel="0" collapsed="false">
      <c r="A49" s="91" t="str">
        <f aca="false">IF(名簿!$D49="","",名簿!$B49&amp;"")</f>
        <v/>
      </c>
      <c r="B49" s="91" t="str">
        <f aca="false">IF(名簿!$D49="","",名簿!$C49)</f>
        <v/>
      </c>
      <c r="C49" s="59" t="str">
        <f aca="false">IF(名簿!$D49="","",名簿!$D49&amp;IF(名簿!$F49="転出","（転出）",""))</f>
        <v/>
      </c>
      <c r="D49" s="149"/>
      <c r="E49" s="61" t="str">
        <f aca="false">IF(OR($C49="",名簿!$F49="転出"),"",IF($C$2="学級ごと",$A49,IF($C$2="前の単元と同じ",単元15!$E49&amp;"",$D49&amp;"")))</f>
        <v/>
      </c>
      <c r="F49" s="150"/>
      <c r="G49" s="150"/>
      <c r="H49" s="150"/>
      <c r="I49" s="151"/>
      <c r="J49" s="41" t="str">
        <f aca="false">IF($E49="","",$E49&amp;"|"&amp;COUNTIF($E$5:$E49,$E49))</f>
        <v/>
      </c>
      <c r="K49" s="40" t="str">
        <f aca="false">IF($I49="","",LEN($I49))</f>
        <v/>
      </c>
      <c r="L49" s="13"/>
      <c r="M49" s="13"/>
      <c r="N49" s="13"/>
      <c r="O49" s="13"/>
      <c r="P49" s="152"/>
      <c r="Q49" s="149"/>
      <c r="R49" s="152"/>
      <c r="S49" s="152"/>
      <c r="T49" s="62" t="str">
        <f aca="false">IF(OR($C49="",R49=""),"",IF(R49/IF($R$2="",100,$R$2)&gt;=設定!$I$28,設定!$G$8,IF(R49/IF($R$2="",100,$R$2)&lt;設定!$I$29,設定!$G$10,設定!$G$9)))</f>
        <v/>
      </c>
      <c r="U49" s="62" t="str">
        <f aca="false">IF(OR($C49="",S49=""),"",IF(S49/IF($S$2="",100,$S$2)&gt;=設定!$I$28,設定!$G$8,IF(S49/IF($S$2="",100,$S$2)&lt;設定!$I$29,設定!$G$10,設定!$G$9)))</f>
        <v/>
      </c>
    </row>
    <row r="50" customFormat="false" ht="21" hidden="false" customHeight="true" outlineLevel="0" collapsed="false">
      <c r="A50" s="91" t="str">
        <f aca="false">IF(名簿!$D50="","",名簿!$B50&amp;"")</f>
        <v/>
      </c>
      <c r="B50" s="91" t="str">
        <f aca="false">IF(名簿!$D50="","",名簿!$C50)</f>
        <v/>
      </c>
      <c r="C50" s="59" t="str">
        <f aca="false">IF(名簿!$D50="","",名簿!$D50&amp;IF(名簿!$F50="転出","（転出）",""))</f>
        <v/>
      </c>
      <c r="D50" s="149"/>
      <c r="E50" s="61" t="str">
        <f aca="false">IF(OR($C50="",名簿!$F50="転出"),"",IF($C$2="学級ごと",$A50,IF($C$2="前の単元と同じ",単元15!$E50&amp;"",$D50&amp;"")))</f>
        <v/>
      </c>
      <c r="F50" s="150"/>
      <c r="G50" s="150"/>
      <c r="H50" s="150"/>
      <c r="I50" s="151"/>
      <c r="J50" s="41" t="str">
        <f aca="false">IF($E50="","",$E50&amp;"|"&amp;COUNTIF($E$5:$E50,$E50))</f>
        <v/>
      </c>
      <c r="K50" s="40" t="str">
        <f aca="false">IF($I50="","",LEN($I50))</f>
        <v/>
      </c>
      <c r="L50" s="13"/>
      <c r="M50" s="13"/>
      <c r="N50" s="13"/>
      <c r="O50" s="13"/>
      <c r="P50" s="152"/>
      <c r="Q50" s="149"/>
      <c r="R50" s="152"/>
      <c r="S50" s="152"/>
      <c r="T50" s="62" t="str">
        <f aca="false">IF(OR($C50="",R50=""),"",IF(R50/IF($R$2="",100,$R$2)&gt;=設定!$I$28,設定!$G$8,IF(R50/IF($R$2="",100,$R$2)&lt;設定!$I$29,設定!$G$10,設定!$G$9)))</f>
        <v/>
      </c>
      <c r="U50" s="62" t="str">
        <f aca="false">IF(OR($C50="",S50=""),"",IF(S50/IF($S$2="",100,$S$2)&gt;=設定!$I$28,設定!$G$8,IF(S50/IF($S$2="",100,$S$2)&lt;設定!$I$29,設定!$G$10,設定!$G$9)))</f>
        <v/>
      </c>
    </row>
    <row r="51" customFormat="false" ht="21" hidden="false" customHeight="true" outlineLevel="0" collapsed="false">
      <c r="A51" s="91" t="str">
        <f aca="false">IF(名簿!$D51="","",名簿!$B51&amp;"")</f>
        <v/>
      </c>
      <c r="B51" s="91" t="str">
        <f aca="false">IF(名簿!$D51="","",名簿!$C51)</f>
        <v/>
      </c>
      <c r="C51" s="59" t="str">
        <f aca="false">IF(名簿!$D51="","",名簿!$D51&amp;IF(名簿!$F51="転出","（転出）",""))</f>
        <v/>
      </c>
      <c r="D51" s="149"/>
      <c r="E51" s="61" t="str">
        <f aca="false">IF(OR($C51="",名簿!$F51="転出"),"",IF($C$2="学級ごと",$A51,IF($C$2="前の単元と同じ",単元15!$E51&amp;"",$D51&amp;"")))</f>
        <v/>
      </c>
      <c r="F51" s="150"/>
      <c r="G51" s="150"/>
      <c r="H51" s="150"/>
      <c r="I51" s="151"/>
      <c r="J51" s="41" t="str">
        <f aca="false">IF($E51="","",$E51&amp;"|"&amp;COUNTIF($E$5:$E51,$E51))</f>
        <v/>
      </c>
      <c r="K51" s="40" t="str">
        <f aca="false">IF($I51="","",LEN($I51))</f>
        <v/>
      </c>
      <c r="L51" s="13"/>
      <c r="M51" s="13"/>
      <c r="N51" s="13"/>
      <c r="O51" s="13"/>
      <c r="P51" s="152"/>
      <c r="Q51" s="149"/>
      <c r="R51" s="152"/>
      <c r="S51" s="152"/>
      <c r="T51" s="62" t="str">
        <f aca="false">IF(OR($C51="",R51=""),"",IF(R51/IF($R$2="",100,$R$2)&gt;=設定!$I$28,設定!$G$8,IF(R51/IF($R$2="",100,$R$2)&lt;設定!$I$29,設定!$G$10,設定!$G$9)))</f>
        <v/>
      </c>
      <c r="U51" s="62" t="str">
        <f aca="false">IF(OR($C51="",S51=""),"",IF(S51/IF($S$2="",100,$S$2)&gt;=設定!$I$28,設定!$G$8,IF(S51/IF($S$2="",100,$S$2)&lt;設定!$I$29,設定!$G$10,設定!$G$9)))</f>
        <v/>
      </c>
    </row>
    <row r="52" customFormat="false" ht="21" hidden="false" customHeight="true" outlineLevel="0" collapsed="false">
      <c r="A52" s="91" t="str">
        <f aca="false">IF(名簿!$D52="","",名簿!$B52&amp;"")</f>
        <v/>
      </c>
      <c r="B52" s="91" t="str">
        <f aca="false">IF(名簿!$D52="","",名簿!$C52)</f>
        <v/>
      </c>
      <c r="C52" s="59" t="str">
        <f aca="false">IF(名簿!$D52="","",名簿!$D52&amp;IF(名簿!$F52="転出","（転出）",""))</f>
        <v/>
      </c>
      <c r="D52" s="149"/>
      <c r="E52" s="61" t="str">
        <f aca="false">IF(OR($C52="",名簿!$F52="転出"),"",IF($C$2="学級ごと",$A52,IF($C$2="前の単元と同じ",単元15!$E52&amp;"",$D52&amp;"")))</f>
        <v/>
      </c>
      <c r="F52" s="150"/>
      <c r="G52" s="150"/>
      <c r="H52" s="150"/>
      <c r="I52" s="151"/>
      <c r="J52" s="41" t="str">
        <f aca="false">IF($E52="","",$E52&amp;"|"&amp;COUNTIF($E$5:$E52,$E52))</f>
        <v/>
      </c>
      <c r="K52" s="40" t="str">
        <f aca="false">IF($I52="","",LEN($I52))</f>
        <v/>
      </c>
      <c r="L52" s="13"/>
      <c r="M52" s="13"/>
      <c r="N52" s="13"/>
      <c r="O52" s="13"/>
      <c r="P52" s="152"/>
      <c r="Q52" s="149"/>
      <c r="R52" s="152"/>
      <c r="S52" s="152"/>
      <c r="T52" s="62" t="str">
        <f aca="false">IF(OR($C52="",R52=""),"",IF(R52/IF($R$2="",100,$R$2)&gt;=設定!$I$28,設定!$G$8,IF(R52/IF($R$2="",100,$R$2)&lt;設定!$I$29,設定!$G$10,設定!$G$9)))</f>
        <v/>
      </c>
      <c r="U52" s="62" t="str">
        <f aca="false">IF(OR($C52="",S52=""),"",IF(S52/IF($S$2="",100,$S$2)&gt;=設定!$I$28,設定!$G$8,IF(S52/IF($S$2="",100,$S$2)&lt;設定!$I$29,設定!$G$10,設定!$G$9)))</f>
        <v/>
      </c>
    </row>
    <row r="53" customFormat="false" ht="21" hidden="false" customHeight="true" outlineLevel="0" collapsed="false">
      <c r="A53" s="91" t="str">
        <f aca="false">IF(名簿!$D53="","",名簿!$B53&amp;"")</f>
        <v/>
      </c>
      <c r="B53" s="91" t="str">
        <f aca="false">IF(名簿!$D53="","",名簿!$C53)</f>
        <v/>
      </c>
      <c r="C53" s="59" t="str">
        <f aca="false">IF(名簿!$D53="","",名簿!$D53&amp;IF(名簿!$F53="転出","（転出）",""))</f>
        <v/>
      </c>
      <c r="D53" s="149"/>
      <c r="E53" s="61" t="str">
        <f aca="false">IF(OR($C53="",名簿!$F53="転出"),"",IF($C$2="学級ごと",$A53,IF($C$2="前の単元と同じ",単元15!$E53&amp;"",$D53&amp;"")))</f>
        <v/>
      </c>
      <c r="F53" s="150"/>
      <c r="G53" s="150"/>
      <c r="H53" s="150"/>
      <c r="I53" s="151"/>
      <c r="J53" s="41" t="str">
        <f aca="false">IF($E53="","",$E53&amp;"|"&amp;COUNTIF($E$5:$E53,$E53))</f>
        <v/>
      </c>
      <c r="K53" s="40" t="str">
        <f aca="false">IF($I53="","",LEN($I53))</f>
        <v/>
      </c>
      <c r="L53" s="13"/>
      <c r="M53" s="13"/>
      <c r="N53" s="13"/>
      <c r="O53" s="13"/>
      <c r="P53" s="152"/>
      <c r="Q53" s="149"/>
      <c r="R53" s="152"/>
      <c r="S53" s="152"/>
      <c r="T53" s="62" t="str">
        <f aca="false">IF(OR($C53="",R53=""),"",IF(R53/IF($R$2="",100,$R$2)&gt;=設定!$I$28,設定!$G$8,IF(R53/IF($R$2="",100,$R$2)&lt;設定!$I$29,設定!$G$10,設定!$G$9)))</f>
        <v/>
      </c>
      <c r="U53" s="62" t="str">
        <f aca="false">IF(OR($C53="",S53=""),"",IF(S53/IF($S$2="",100,$S$2)&gt;=設定!$I$28,設定!$G$8,IF(S53/IF($S$2="",100,$S$2)&lt;設定!$I$29,設定!$G$10,設定!$G$9)))</f>
        <v/>
      </c>
    </row>
    <row r="54" customFormat="false" ht="21" hidden="false" customHeight="true" outlineLevel="0" collapsed="false">
      <c r="A54" s="91" t="str">
        <f aca="false">IF(名簿!$D54="","",名簿!$B54&amp;"")</f>
        <v/>
      </c>
      <c r="B54" s="91" t="str">
        <f aca="false">IF(名簿!$D54="","",名簿!$C54)</f>
        <v/>
      </c>
      <c r="C54" s="59" t="str">
        <f aca="false">IF(名簿!$D54="","",名簿!$D54&amp;IF(名簿!$F54="転出","（転出）",""))</f>
        <v/>
      </c>
      <c r="D54" s="149"/>
      <c r="E54" s="61" t="str">
        <f aca="false">IF(OR($C54="",名簿!$F54="転出"),"",IF($C$2="学級ごと",$A54,IF($C$2="前の単元と同じ",単元15!$E54&amp;"",$D54&amp;"")))</f>
        <v/>
      </c>
      <c r="F54" s="150"/>
      <c r="G54" s="150"/>
      <c r="H54" s="150"/>
      <c r="I54" s="151"/>
      <c r="J54" s="41" t="str">
        <f aca="false">IF($E54="","",$E54&amp;"|"&amp;COUNTIF($E$5:$E54,$E54))</f>
        <v/>
      </c>
      <c r="K54" s="40" t="str">
        <f aca="false">IF($I54="","",LEN($I54))</f>
        <v/>
      </c>
      <c r="L54" s="13"/>
      <c r="M54" s="13"/>
      <c r="N54" s="13"/>
      <c r="O54" s="13"/>
      <c r="P54" s="152"/>
      <c r="Q54" s="149"/>
      <c r="R54" s="152"/>
      <c r="S54" s="152"/>
      <c r="T54" s="62" t="str">
        <f aca="false">IF(OR($C54="",R54=""),"",IF(R54/IF($R$2="",100,$R$2)&gt;=設定!$I$28,設定!$G$8,IF(R54/IF($R$2="",100,$R$2)&lt;設定!$I$29,設定!$G$10,設定!$G$9)))</f>
        <v/>
      </c>
      <c r="U54" s="62" t="str">
        <f aca="false">IF(OR($C54="",S54=""),"",IF(S54/IF($S$2="",100,$S$2)&gt;=設定!$I$28,設定!$G$8,IF(S54/IF($S$2="",100,$S$2)&lt;設定!$I$29,設定!$G$10,設定!$G$9)))</f>
        <v/>
      </c>
    </row>
    <row r="55" customFormat="false" ht="21" hidden="false" customHeight="true" outlineLevel="0" collapsed="false">
      <c r="A55" s="91" t="str">
        <f aca="false">IF(名簿!$D55="","",名簿!$B55&amp;"")</f>
        <v/>
      </c>
      <c r="B55" s="91" t="str">
        <f aca="false">IF(名簿!$D55="","",名簿!$C55)</f>
        <v/>
      </c>
      <c r="C55" s="59" t="str">
        <f aca="false">IF(名簿!$D55="","",名簿!$D55&amp;IF(名簿!$F55="転出","（転出）",""))</f>
        <v/>
      </c>
      <c r="D55" s="149"/>
      <c r="E55" s="61" t="str">
        <f aca="false">IF(OR($C55="",名簿!$F55="転出"),"",IF($C$2="学級ごと",$A55,IF($C$2="前の単元と同じ",単元15!$E55&amp;"",$D55&amp;"")))</f>
        <v/>
      </c>
      <c r="F55" s="150"/>
      <c r="G55" s="150"/>
      <c r="H55" s="150"/>
      <c r="I55" s="151"/>
      <c r="J55" s="41" t="str">
        <f aca="false">IF($E55="","",$E55&amp;"|"&amp;COUNTIF($E$5:$E55,$E55))</f>
        <v/>
      </c>
      <c r="K55" s="40" t="str">
        <f aca="false">IF($I55="","",LEN($I55))</f>
        <v/>
      </c>
      <c r="L55" s="13"/>
      <c r="M55" s="13"/>
      <c r="N55" s="13"/>
      <c r="O55" s="13"/>
      <c r="P55" s="152"/>
      <c r="Q55" s="149"/>
      <c r="R55" s="152"/>
      <c r="S55" s="152"/>
      <c r="T55" s="62" t="str">
        <f aca="false">IF(OR($C55="",R55=""),"",IF(R55/IF($R$2="",100,$R$2)&gt;=設定!$I$28,設定!$G$8,IF(R55/IF($R$2="",100,$R$2)&lt;設定!$I$29,設定!$G$10,設定!$G$9)))</f>
        <v/>
      </c>
      <c r="U55" s="62" t="str">
        <f aca="false">IF(OR($C55="",S55=""),"",IF(S55/IF($S$2="",100,$S$2)&gt;=設定!$I$28,設定!$G$8,IF(S55/IF($S$2="",100,$S$2)&lt;設定!$I$29,設定!$G$10,設定!$G$9)))</f>
        <v/>
      </c>
    </row>
    <row r="56" customFormat="false" ht="21" hidden="false" customHeight="true" outlineLevel="0" collapsed="false">
      <c r="A56" s="91" t="str">
        <f aca="false">IF(名簿!$D56="","",名簿!$B56&amp;"")</f>
        <v/>
      </c>
      <c r="B56" s="91" t="str">
        <f aca="false">IF(名簿!$D56="","",名簿!$C56)</f>
        <v/>
      </c>
      <c r="C56" s="59" t="str">
        <f aca="false">IF(名簿!$D56="","",名簿!$D56&amp;IF(名簿!$F56="転出","（転出）",""))</f>
        <v/>
      </c>
      <c r="D56" s="149"/>
      <c r="E56" s="61" t="str">
        <f aca="false">IF(OR($C56="",名簿!$F56="転出"),"",IF($C$2="学級ごと",$A56,IF($C$2="前の単元と同じ",単元15!$E56&amp;"",$D56&amp;"")))</f>
        <v/>
      </c>
      <c r="F56" s="150"/>
      <c r="G56" s="150"/>
      <c r="H56" s="150"/>
      <c r="I56" s="151"/>
      <c r="J56" s="41" t="str">
        <f aca="false">IF($E56="","",$E56&amp;"|"&amp;COUNTIF($E$5:$E56,$E56))</f>
        <v/>
      </c>
      <c r="K56" s="40" t="str">
        <f aca="false">IF($I56="","",LEN($I56))</f>
        <v/>
      </c>
      <c r="L56" s="13"/>
      <c r="M56" s="13"/>
      <c r="N56" s="13"/>
      <c r="O56" s="13"/>
      <c r="P56" s="152"/>
      <c r="Q56" s="149"/>
      <c r="R56" s="152"/>
      <c r="S56" s="152"/>
      <c r="T56" s="62" t="str">
        <f aca="false">IF(OR($C56="",R56=""),"",IF(R56/IF($R$2="",100,$R$2)&gt;=設定!$I$28,設定!$G$8,IF(R56/IF($R$2="",100,$R$2)&lt;設定!$I$29,設定!$G$10,設定!$G$9)))</f>
        <v/>
      </c>
      <c r="U56" s="62" t="str">
        <f aca="false">IF(OR($C56="",S56=""),"",IF(S56/IF($S$2="",100,$S$2)&gt;=設定!$I$28,設定!$G$8,IF(S56/IF($S$2="",100,$S$2)&lt;設定!$I$29,設定!$G$10,設定!$G$9)))</f>
        <v/>
      </c>
    </row>
    <row r="57" customFormat="false" ht="21" hidden="false" customHeight="true" outlineLevel="0" collapsed="false">
      <c r="A57" s="91" t="str">
        <f aca="false">IF(名簿!$D57="","",名簿!$B57&amp;"")</f>
        <v/>
      </c>
      <c r="B57" s="91" t="str">
        <f aca="false">IF(名簿!$D57="","",名簿!$C57)</f>
        <v/>
      </c>
      <c r="C57" s="59" t="str">
        <f aca="false">IF(名簿!$D57="","",名簿!$D57&amp;IF(名簿!$F57="転出","（転出）",""))</f>
        <v/>
      </c>
      <c r="D57" s="149"/>
      <c r="E57" s="61" t="str">
        <f aca="false">IF(OR($C57="",名簿!$F57="転出"),"",IF($C$2="学級ごと",$A57,IF($C$2="前の単元と同じ",単元15!$E57&amp;"",$D57&amp;"")))</f>
        <v/>
      </c>
      <c r="F57" s="150"/>
      <c r="G57" s="150"/>
      <c r="H57" s="150"/>
      <c r="I57" s="151"/>
      <c r="J57" s="41" t="str">
        <f aca="false">IF($E57="","",$E57&amp;"|"&amp;COUNTIF($E$5:$E57,$E57))</f>
        <v/>
      </c>
      <c r="K57" s="40" t="str">
        <f aca="false">IF($I57="","",LEN($I57))</f>
        <v/>
      </c>
      <c r="L57" s="13"/>
      <c r="M57" s="13"/>
      <c r="N57" s="13"/>
      <c r="O57" s="13"/>
      <c r="P57" s="152"/>
      <c r="Q57" s="149"/>
      <c r="R57" s="152"/>
      <c r="S57" s="152"/>
      <c r="T57" s="62" t="str">
        <f aca="false">IF(OR($C57="",R57=""),"",IF(R57/IF($R$2="",100,$R$2)&gt;=設定!$I$28,設定!$G$8,IF(R57/IF($R$2="",100,$R$2)&lt;設定!$I$29,設定!$G$10,設定!$G$9)))</f>
        <v/>
      </c>
      <c r="U57" s="62" t="str">
        <f aca="false">IF(OR($C57="",S57=""),"",IF(S57/IF($S$2="",100,$S$2)&gt;=設定!$I$28,設定!$G$8,IF(S57/IF($S$2="",100,$S$2)&lt;設定!$I$29,設定!$G$10,設定!$G$9)))</f>
        <v/>
      </c>
    </row>
    <row r="58" customFormat="false" ht="21" hidden="false" customHeight="true" outlineLevel="0" collapsed="false">
      <c r="A58" s="91" t="str">
        <f aca="false">IF(名簿!$D58="","",名簿!$B58&amp;"")</f>
        <v/>
      </c>
      <c r="B58" s="91" t="str">
        <f aca="false">IF(名簿!$D58="","",名簿!$C58)</f>
        <v/>
      </c>
      <c r="C58" s="59" t="str">
        <f aca="false">IF(名簿!$D58="","",名簿!$D58&amp;IF(名簿!$F58="転出","（転出）",""))</f>
        <v/>
      </c>
      <c r="D58" s="149"/>
      <c r="E58" s="61" t="str">
        <f aca="false">IF(OR($C58="",名簿!$F58="転出"),"",IF($C$2="学級ごと",$A58,IF($C$2="前の単元と同じ",単元15!$E58&amp;"",$D58&amp;"")))</f>
        <v/>
      </c>
      <c r="F58" s="150"/>
      <c r="G58" s="150"/>
      <c r="H58" s="150"/>
      <c r="I58" s="151"/>
      <c r="J58" s="41" t="str">
        <f aca="false">IF($E58="","",$E58&amp;"|"&amp;COUNTIF($E$5:$E58,$E58))</f>
        <v/>
      </c>
      <c r="K58" s="40" t="str">
        <f aca="false">IF($I58="","",LEN($I58))</f>
        <v/>
      </c>
      <c r="L58" s="13"/>
      <c r="M58" s="13"/>
      <c r="N58" s="13"/>
      <c r="O58" s="13"/>
      <c r="P58" s="152"/>
      <c r="Q58" s="149"/>
      <c r="R58" s="152"/>
      <c r="S58" s="152"/>
      <c r="T58" s="62" t="str">
        <f aca="false">IF(OR($C58="",R58=""),"",IF(R58/IF($R$2="",100,$R$2)&gt;=設定!$I$28,設定!$G$8,IF(R58/IF($R$2="",100,$R$2)&lt;設定!$I$29,設定!$G$10,設定!$G$9)))</f>
        <v/>
      </c>
      <c r="U58" s="62" t="str">
        <f aca="false">IF(OR($C58="",S58=""),"",IF(S58/IF($S$2="",100,$S$2)&gt;=設定!$I$28,設定!$G$8,IF(S58/IF($S$2="",100,$S$2)&lt;設定!$I$29,設定!$G$10,設定!$G$9)))</f>
        <v/>
      </c>
    </row>
    <row r="59" customFormat="false" ht="21" hidden="false" customHeight="true" outlineLevel="0" collapsed="false">
      <c r="A59" s="91" t="str">
        <f aca="false">IF(名簿!$D59="","",名簿!$B59&amp;"")</f>
        <v/>
      </c>
      <c r="B59" s="91" t="str">
        <f aca="false">IF(名簿!$D59="","",名簿!$C59)</f>
        <v/>
      </c>
      <c r="C59" s="59" t="str">
        <f aca="false">IF(名簿!$D59="","",名簿!$D59&amp;IF(名簿!$F59="転出","（転出）",""))</f>
        <v/>
      </c>
      <c r="D59" s="149"/>
      <c r="E59" s="61" t="str">
        <f aca="false">IF(OR($C59="",名簿!$F59="転出"),"",IF($C$2="学級ごと",$A59,IF($C$2="前の単元と同じ",単元15!$E59&amp;"",$D59&amp;"")))</f>
        <v/>
      </c>
      <c r="F59" s="150"/>
      <c r="G59" s="150"/>
      <c r="H59" s="150"/>
      <c r="I59" s="151"/>
      <c r="J59" s="41" t="str">
        <f aca="false">IF($E59="","",$E59&amp;"|"&amp;COUNTIF($E$5:$E59,$E59))</f>
        <v/>
      </c>
      <c r="K59" s="40" t="str">
        <f aca="false">IF($I59="","",LEN($I59))</f>
        <v/>
      </c>
      <c r="L59" s="13"/>
      <c r="M59" s="13"/>
      <c r="N59" s="13"/>
      <c r="O59" s="13"/>
      <c r="P59" s="152"/>
      <c r="Q59" s="149"/>
      <c r="R59" s="152"/>
      <c r="S59" s="152"/>
      <c r="T59" s="62" t="str">
        <f aca="false">IF(OR($C59="",R59=""),"",IF(R59/IF($R$2="",100,$R$2)&gt;=設定!$I$28,設定!$G$8,IF(R59/IF($R$2="",100,$R$2)&lt;設定!$I$29,設定!$G$10,設定!$G$9)))</f>
        <v/>
      </c>
      <c r="U59" s="62" t="str">
        <f aca="false">IF(OR($C59="",S59=""),"",IF(S59/IF($S$2="",100,$S$2)&gt;=設定!$I$28,設定!$G$8,IF(S59/IF($S$2="",100,$S$2)&lt;設定!$I$29,設定!$G$10,設定!$G$9)))</f>
        <v/>
      </c>
    </row>
    <row r="60" customFormat="false" ht="21" hidden="false" customHeight="true" outlineLevel="0" collapsed="false">
      <c r="A60" s="91" t="str">
        <f aca="false">IF(名簿!$D60="","",名簿!$B60&amp;"")</f>
        <v/>
      </c>
      <c r="B60" s="91" t="str">
        <f aca="false">IF(名簿!$D60="","",名簿!$C60)</f>
        <v/>
      </c>
      <c r="C60" s="59" t="str">
        <f aca="false">IF(名簿!$D60="","",名簿!$D60&amp;IF(名簿!$F60="転出","（転出）",""))</f>
        <v/>
      </c>
      <c r="D60" s="149"/>
      <c r="E60" s="61" t="str">
        <f aca="false">IF(OR($C60="",名簿!$F60="転出"),"",IF($C$2="学級ごと",$A60,IF($C$2="前の単元と同じ",単元15!$E60&amp;"",$D60&amp;"")))</f>
        <v/>
      </c>
      <c r="F60" s="150"/>
      <c r="G60" s="150"/>
      <c r="H60" s="150"/>
      <c r="I60" s="151"/>
      <c r="J60" s="41" t="str">
        <f aca="false">IF($E60="","",$E60&amp;"|"&amp;COUNTIF($E$5:$E60,$E60))</f>
        <v/>
      </c>
      <c r="K60" s="40" t="str">
        <f aca="false">IF($I60="","",LEN($I60))</f>
        <v/>
      </c>
      <c r="L60" s="13"/>
      <c r="M60" s="13"/>
      <c r="N60" s="13"/>
      <c r="O60" s="13"/>
      <c r="P60" s="152"/>
      <c r="Q60" s="149"/>
      <c r="R60" s="152"/>
      <c r="S60" s="152"/>
      <c r="T60" s="62" t="str">
        <f aca="false">IF(OR($C60="",R60=""),"",IF(R60/IF($R$2="",100,$R$2)&gt;=設定!$I$28,設定!$G$8,IF(R60/IF($R$2="",100,$R$2)&lt;設定!$I$29,設定!$G$10,設定!$G$9)))</f>
        <v/>
      </c>
      <c r="U60" s="62" t="str">
        <f aca="false">IF(OR($C60="",S60=""),"",IF(S60/IF($S$2="",100,$S$2)&gt;=設定!$I$28,設定!$G$8,IF(S60/IF($S$2="",100,$S$2)&lt;設定!$I$29,設定!$G$10,設定!$G$9)))</f>
        <v/>
      </c>
    </row>
    <row r="61" customFormat="false" ht="21" hidden="false" customHeight="true" outlineLevel="0" collapsed="false">
      <c r="A61" s="91" t="str">
        <f aca="false">IF(名簿!$D61="","",名簿!$B61&amp;"")</f>
        <v/>
      </c>
      <c r="B61" s="91" t="str">
        <f aca="false">IF(名簿!$D61="","",名簿!$C61)</f>
        <v/>
      </c>
      <c r="C61" s="59" t="str">
        <f aca="false">IF(名簿!$D61="","",名簿!$D61&amp;IF(名簿!$F61="転出","（転出）",""))</f>
        <v/>
      </c>
      <c r="D61" s="149"/>
      <c r="E61" s="61" t="str">
        <f aca="false">IF(OR($C61="",名簿!$F61="転出"),"",IF($C$2="学級ごと",$A61,IF($C$2="前の単元と同じ",単元15!$E61&amp;"",$D61&amp;"")))</f>
        <v/>
      </c>
      <c r="F61" s="150"/>
      <c r="G61" s="150"/>
      <c r="H61" s="150"/>
      <c r="I61" s="151"/>
      <c r="J61" s="41" t="str">
        <f aca="false">IF($E61="","",$E61&amp;"|"&amp;COUNTIF($E$5:$E61,$E61))</f>
        <v/>
      </c>
      <c r="K61" s="40" t="str">
        <f aca="false">IF($I61="","",LEN($I61))</f>
        <v/>
      </c>
      <c r="L61" s="13"/>
      <c r="M61" s="13"/>
      <c r="N61" s="13"/>
      <c r="O61" s="13"/>
      <c r="P61" s="152"/>
      <c r="Q61" s="149"/>
      <c r="R61" s="152"/>
      <c r="S61" s="152"/>
      <c r="T61" s="62" t="str">
        <f aca="false">IF(OR($C61="",R61=""),"",IF(R61/IF($R$2="",100,$R$2)&gt;=設定!$I$28,設定!$G$8,IF(R61/IF($R$2="",100,$R$2)&lt;設定!$I$29,設定!$G$10,設定!$G$9)))</f>
        <v/>
      </c>
      <c r="U61" s="62" t="str">
        <f aca="false">IF(OR($C61="",S61=""),"",IF(S61/IF($S$2="",100,$S$2)&gt;=設定!$I$28,設定!$G$8,IF(S61/IF($S$2="",100,$S$2)&lt;設定!$I$29,設定!$G$10,設定!$G$9)))</f>
        <v/>
      </c>
    </row>
    <row r="62" customFormat="false" ht="21" hidden="false" customHeight="true" outlineLevel="0" collapsed="false">
      <c r="A62" s="91" t="str">
        <f aca="false">IF(名簿!$D62="","",名簿!$B62&amp;"")</f>
        <v/>
      </c>
      <c r="B62" s="91" t="str">
        <f aca="false">IF(名簿!$D62="","",名簿!$C62)</f>
        <v/>
      </c>
      <c r="C62" s="59" t="str">
        <f aca="false">IF(名簿!$D62="","",名簿!$D62&amp;IF(名簿!$F62="転出","（転出）",""))</f>
        <v/>
      </c>
      <c r="D62" s="149"/>
      <c r="E62" s="61" t="str">
        <f aca="false">IF(OR($C62="",名簿!$F62="転出"),"",IF($C$2="学級ごと",$A62,IF($C$2="前の単元と同じ",単元15!$E62&amp;"",$D62&amp;"")))</f>
        <v/>
      </c>
      <c r="F62" s="150"/>
      <c r="G62" s="150"/>
      <c r="H62" s="150"/>
      <c r="I62" s="151"/>
      <c r="J62" s="41" t="str">
        <f aca="false">IF($E62="","",$E62&amp;"|"&amp;COUNTIF($E$5:$E62,$E62))</f>
        <v/>
      </c>
      <c r="K62" s="40" t="str">
        <f aca="false">IF($I62="","",LEN($I62))</f>
        <v/>
      </c>
      <c r="L62" s="13"/>
      <c r="M62" s="13"/>
      <c r="N62" s="13"/>
      <c r="O62" s="13"/>
      <c r="P62" s="152"/>
      <c r="Q62" s="149"/>
      <c r="R62" s="152"/>
      <c r="S62" s="152"/>
      <c r="T62" s="62" t="str">
        <f aca="false">IF(OR($C62="",R62=""),"",IF(R62/IF($R$2="",100,$R$2)&gt;=設定!$I$28,設定!$G$8,IF(R62/IF($R$2="",100,$R$2)&lt;設定!$I$29,設定!$G$10,設定!$G$9)))</f>
        <v/>
      </c>
      <c r="U62" s="62" t="str">
        <f aca="false">IF(OR($C62="",S62=""),"",IF(S62/IF($S$2="",100,$S$2)&gt;=設定!$I$28,設定!$G$8,IF(S62/IF($S$2="",100,$S$2)&lt;設定!$I$29,設定!$G$10,設定!$G$9)))</f>
        <v/>
      </c>
    </row>
    <row r="63" customFormat="false" ht="21" hidden="false" customHeight="true" outlineLevel="0" collapsed="false">
      <c r="A63" s="91" t="str">
        <f aca="false">IF(名簿!$D63="","",名簿!$B63&amp;"")</f>
        <v/>
      </c>
      <c r="B63" s="91" t="str">
        <f aca="false">IF(名簿!$D63="","",名簿!$C63)</f>
        <v/>
      </c>
      <c r="C63" s="59" t="str">
        <f aca="false">IF(名簿!$D63="","",名簿!$D63&amp;IF(名簿!$F63="転出","（転出）",""))</f>
        <v/>
      </c>
      <c r="D63" s="149"/>
      <c r="E63" s="61" t="str">
        <f aca="false">IF(OR($C63="",名簿!$F63="転出"),"",IF($C$2="学級ごと",$A63,IF($C$2="前の単元と同じ",単元15!$E63&amp;"",$D63&amp;"")))</f>
        <v/>
      </c>
      <c r="F63" s="150"/>
      <c r="G63" s="150"/>
      <c r="H63" s="150"/>
      <c r="I63" s="151"/>
      <c r="J63" s="41" t="str">
        <f aca="false">IF($E63="","",$E63&amp;"|"&amp;COUNTIF($E$5:$E63,$E63))</f>
        <v/>
      </c>
      <c r="K63" s="40" t="str">
        <f aca="false">IF($I63="","",LEN($I63))</f>
        <v/>
      </c>
      <c r="L63" s="13"/>
      <c r="M63" s="13"/>
      <c r="N63" s="13"/>
      <c r="O63" s="13"/>
      <c r="P63" s="152"/>
      <c r="Q63" s="149"/>
      <c r="R63" s="152"/>
      <c r="S63" s="152"/>
      <c r="T63" s="62" t="str">
        <f aca="false">IF(OR($C63="",R63=""),"",IF(R63/IF($R$2="",100,$R$2)&gt;=設定!$I$28,設定!$G$8,IF(R63/IF($R$2="",100,$R$2)&lt;設定!$I$29,設定!$G$10,設定!$G$9)))</f>
        <v/>
      </c>
      <c r="U63" s="62" t="str">
        <f aca="false">IF(OR($C63="",S63=""),"",IF(S63/IF($S$2="",100,$S$2)&gt;=設定!$I$28,設定!$G$8,IF(S63/IF($S$2="",100,$S$2)&lt;設定!$I$29,設定!$G$10,設定!$G$9)))</f>
        <v/>
      </c>
    </row>
    <row r="64" customFormat="false" ht="21" hidden="false" customHeight="true" outlineLevel="0" collapsed="false">
      <c r="A64" s="91" t="str">
        <f aca="false">IF(名簿!$D64="","",名簿!$B64&amp;"")</f>
        <v/>
      </c>
      <c r="B64" s="91" t="str">
        <f aca="false">IF(名簿!$D64="","",名簿!$C64)</f>
        <v/>
      </c>
      <c r="C64" s="59" t="str">
        <f aca="false">IF(名簿!$D64="","",名簿!$D64&amp;IF(名簿!$F64="転出","（転出）",""))</f>
        <v/>
      </c>
      <c r="D64" s="149"/>
      <c r="E64" s="61" t="str">
        <f aca="false">IF(OR($C64="",名簿!$F64="転出"),"",IF($C$2="学級ごと",$A64,IF($C$2="前の単元と同じ",単元15!$E64&amp;"",$D64&amp;"")))</f>
        <v/>
      </c>
      <c r="F64" s="150"/>
      <c r="G64" s="150"/>
      <c r="H64" s="150"/>
      <c r="I64" s="151"/>
      <c r="J64" s="41" t="str">
        <f aca="false">IF($E64="","",$E64&amp;"|"&amp;COUNTIF($E$5:$E64,$E64))</f>
        <v/>
      </c>
      <c r="K64" s="40" t="str">
        <f aca="false">IF($I64="","",LEN($I64))</f>
        <v/>
      </c>
      <c r="L64" s="13"/>
      <c r="M64" s="13"/>
      <c r="N64" s="13"/>
      <c r="O64" s="13"/>
      <c r="P64" s="152"/>
      <c r="Q64" s="149"/>
      <c r="R64" s="152"/>
      <c r="S64" s="152"/>
      <c r="T64" s="62" t="str">
        <f aca="false">IF(OR($C64="",R64=""),"",IF(R64/IF($R$2="",100,$R$2)&gt;=設定!$I$28,設定!$G$8,IF(R64/IF($R$2="",100,$R$2)&lt;設定!$I$29,設定!$G$10,設定!$G$9)))</f>
        <v/>
      </c>
      <c r="U64" s="62" t="str">
        <f aca="false">IF(OR($C64="",S64=""),"",IF(S64/IF($S$2="",100,$S$2)&gt;=設定!$I$28,設定!$G$8,IF(S64/IF($S$2="",100,$S$2)&lt;設定!$I$29,設定!$G$10,設定!$G$9)))</f>
        <v/>
      </c>
    </row>
    <row r="65" customFormat="false" ht="21" hidden="false" customHeight="true" outlineLevel="0" collapsed="false">
      <c r="A65" s="91" t="str">
        <f aca="false">IF(名簿!$D65="","",名簿!$B65&amp;"")</f>
        <v/>
      </c>
      <c r="B65" s="91" t="str">
        <f aca="false">IF(名簿!$D65="","",名簿!$C65)</f>
        <v/>
      </c>
      <c r="C65" s="59" t="str">
        <f aca="false">IF(名簿!$D65="","",名簿!$D65&amp;IF(名簿!$F65="転出","（転出）",""))</f>
        <v/>
      </c>
      <c r="D65" s="149"/>
      <c r="E65" s="61" t="str">
        <f aca="false">IF(OR($C65="",名簿!$F65="転出"),"",IF($C$2="学級ごと",$A65,IF($C$2="前の単元と同じ",単元15!$E65&amp;"",$D65&amp;"")))</f>
        <v/>
      </c>
      <c r="F65" s="150"/>
      <c r="G65" s="150"/>
      <c r="H65" s="150"/>
      <c r="I65" s="151"/>
      <c r="J65" s="41" t="str">
        <f aca="false">IF($E65="","",$E65&amp;"|"&amp;COUNTIF($E$5:$E65,$E65))</f>
        <v/>
      </c>
      <c r="K65" s="40" t="str">
        <f aca="false">IF($I65="","",LEN($I65))</f>
        <v/>
      </c>
      <c r="L65" s="13"/>
      <c r="M65" s="13"/>
      <c r="N65" s="13"/>
      <c r="O65" s="13"/>
      <c r="P65" s="152"/>
      <c r="Q65" s="149"/>
      <c r="R65" s="152"/>
      <c r="S65" s="152"/>
      <c r="T65" s="62" t="str">
        <f aca="false">IF(OR($C65="",R65=""),"",IF(R65/IF($R$2="",100,$R$2)&gt;=設定!$I$28,設定!$G$8,IF(R65/IF($R$2="",100,$R$2)&lt;設定!$I$29,設定!$G$10,設定!$G$9)))</f>
        <v/>
      </c>
      <c r="U65" s="62" t="str">
        <f aca="false">IF(OR($C65="",S65=""),"",IF(S65/IF($S$2="",100,$S$2)&gt;=設定!$I$28,設定!$G$8,IF(S65/IF($S$2="",100,$S$2)&lt;設定!$I$29,設定!$G$10,設定!$G$9)))</f>
        <v/>
      </c>
    </row>
    <row r="66" customFormat="false" ht="21" hidden="false" customHeight="true" outlineLevel="0" collapsed="false">
      <c r="A66" s="91" t="str">
        <f aca="false">IF(名簿!$D66="","",名簿!$B66&amp;"")</f>
        <v/>
      </c>
      <c r="B66" s="91" t="str">
        <f aca="false">IF(名簿!$D66="","",名簿!$C66)</f>
        <v/>
      </c>
      <c r="C66" s="59" t="str">
        <f aca="false">IF(名簿!$D66="","",名簿!$D66&amp;IF(名簿!$F66="転出","（転出）",""))</f>
        <v/>
      </c>
      <c r="D66" s="149"/>
      <c r="E66" s="61" t="str">
        <f aca="false">IF(OR($C66="",名簿!$F66="転出"),"",IF($C$2="学級ごと",$A66,IF($C$2="前の単元と同じ",単元15!$E66&amp;"",$D66&amp;"")))</f>
        <v/>
      </c>
      <c r="F66" s="150"/>
      <c r="G66" s="150"/>
      <c r="H66" s="150"/>
      <c r="I66" s="151"/>
      <c r="J66" s="41" t="str">
        <f aca="false">IF($E66="","",$E66&amp;"|"&amp;COUNTIF($E$5:$E66,$E66))</f>
        <v/>
      </c>
      <c r="K66" s="40" t="str">
        <f aca="false">IF($I66="","",LEN($I66))</f>
        <v/>
      </c>
      <c r="L66" s="13"/>
      <c r="M66" s="13"/>
      <c r="N66" s="13"/>
      <c r="O66" s="13"/>
      <c r="P66" s="152"/>
      <c r="Q66" s="149"/>
      <c r="R66" s="152"/>
      <c r="S66" s="152"/>
      <c r="T66" s="62" t="str">
        <f aca="false">IF(OR($C66="",R66=""),"",IF(R66/IF($R$2="",100,$R$2)&gt;=設定!$I$28,設定!$G$8,IF(R66/IF($R$2="",100,$R$2)&lt;設定!$I$29,設定!$G$10,設定!$G$9)))</f>
        <v/>
      </c>
      <c r="U66" s="62" t="str">
        <f aca="false">IF(OR($C66="",S66=""),"",IF(S66/IF($S$2="",100,$S$2)&gt;=設定!$I$28,設定!$G$8,IF(S66/IF($S$2="",100,$S$2)&lt;設定!$I$29,設定!$G$10,設定!$G$9)))</f>
        <v/>
      </c>
    </row>
    <row r="67" customFormat="false" ht="21" hidden="false" customHeight="true" outlineLevel="0" collapsed="false">
      <c r="A67" s="91" t="str">
        <f aca="false">IF(名簿!$D67="","",名簿!$B67&amp;"")</f>
        <v/>
      </c>
      <c r="B67" s="91" t="str">
        <f aca="false">IF(名簿!$D67="","",名簿!$C67)</f>
        <v/>
      </c>
      <c r="C67" s="59" t="str">
        <f aca="false">IF(名簿!$D67="","",名簿!$D67&amp;IF(名簿!$F67="転出","（転出）",""))</f>
        <v/>
      </c>
      <c r="D67" s="149"/>
      <c r="E67" s="61" t="str">
        <f aca="false">IF(OR($C67="",名簿!$F67="転出"),"",IF($C$2="学級ごと",$A67,IF($C$2="前の単元と同じ",単元15!$E67&amp;"",$D67&amp;"")))</f>
        <v/>
      </c>
      <c r="F67" s="150"/>
      <c r="G67" s="150"/>
      <c r="H67" s="150"/>
      <c r="I67" s="151"/>
      <c r="J67" s="41" t="str">
        <f aca="false">IF($E67="","",$E67&amp;"|"&amp;COUNTIF($E$5:$E67,$E67))</f>
        <v/>
      </c>
      <c r="K67" s="40" t="str">
        <f aca="false">IF($I67="","",LEN($I67))</f>
        <v/>
      </c>
      <c r="L67" s="13"/>
      <c r="M67" s="13"/>
      <c r="N67" s="13"/>
      <c r="O67" s="13"/>
      <c r="P67" s="152"/>
      <c r="Q67" s="149"/>
      <c r="R67" s="152"/>
      <c r="S67" s="152"/>
      <c r="T67" s="62" t="str">
        <f aca="false">IF(OR($C67="",R67=""),"",IF(R67/IF($R$2="",100,$R$2)&gt;=設定!$I$28,設定!$G$8,IF(R67/IF($R$2="",100,$R$2)&lt;設定!$I$29,設定!$G$10,設定!$G$9)))</f>
        <v/>
      </c>
      <c r="U67" s="62" t="str">
        <f aca="false">IF(OR($C67="",S67=""),"",IF(S67/IF($S$2="",100,$S$2)&gt;=設定!$I$28,設定!$G$8,IF(S67/IF($S$2="",100,$S$2)&lt;設定!$I$29,設定!$G$10,設定!$G$9)))</f>
        <v/>
      </c>
    </row>
    <row r="68" customFormat="false" ht="21" hidden="false" customHeight="true" outlineLevel="0" collapsed="false">
      <c r="A68" s="91" t="str">
        <f aca="false">IF(名簿!$D68="","",名簿!$B68&amp;"")</f>
        <v/>
      </c>
      <c r="B68" s="91" t="str">
        <f aca="false">IF(名簿!$D68="","",名簿!$C68)</f>
        <v/>
      </c>
      <c r="C68" s="59" t="str">
        <f aca="false">IF(名簿!$D68="","",名簿!$D68&amp;IF(名簿!$F68="転出","（転出）",""))</f>
        <v/>
      </c>
      <c r="D68" s="149"/>
      <c r="E68" s="61" t="str">
        <f aca="false">IF(OR($C68="",名簿!$F68="転出"),"",IF($C$2="学級ごと",$A68,IF($C$2="前の単元と同じ",単元15!$E68&amp;"",$D68&amp;"")))</f>
        <v/>
      </c>
      <c r="F68" s="150"/>
      <c r="G68" s="150"/>
      <c r="H68" s="150"/>
      <c r="I68" s="151"/>
      <c r="J68" s="41" t="str">
        <f aca="false">IF($E68="","",$E68&amp;"|"&amp;COUNTIF($E$5:$E68,$E68))</f>
        <v/>
      </c>
      <c r="K68" s="40" t="str">
        <f aca="false">IF($I68="","",LEN($I68))</f>
        <v/>
      </c>
      <c r="L68" s="13"/>
      <c r="M68" s="13"/>
      <c r="N68" s="13"/>
      <c r="O68" s="13"/>
      <c r="P68" s="152"/>
      <c r="Q68" s="149"/>
      <c r="R68" s="152"/>
      <c r="S68" s="152"/>
      <c r="T68" s="62" t="str">
        <f aca="false">IF(OR($C68="",R68=""),"",IF(R68/IF($R$2="",100,$R$2)&gt;=設定!$I$28,設定!$G$8,IF(R68/IF($R$2="",100,$R$2)&lt;設定!$I$29,設定!$G$10,設定!$G$9)))</f>
        <v/>
      </c>
      <c r="U68" s="62" t="str">
        <f aca="false">IF(OR($C68="",S68=""),"",IF(S68/IF($S$2="",100,$S$2)&gt;=設定!$I$28,設定!$G$8,IF(S68/IF($S$2="",100,$S$2)&lt;設定!$I$29,設定!$G$10,設定!$G$9)))</f>
        <v/>
      </c>
    </row>
    <row r="69" customFormat="false" ht="21" hidden="false" customHeight="true" outlineLevel="0" collapsed="false">
      <c r="A69" s="91" t="str">
        <f aca="false">IF(名簿!$D69="","",名簿!$B69&amp;"")</f>
        <v/>
      </c>
      <c r="B69" s="91" t="str">
        <f aca="false">IF(名簿!$D69="","",名簿!$C69)</f>
        <v/>
      </c>
      <c r="C69" s="59" t="str">
        <f aca="false">IF(名簿!$D69="","",名簿!$D69&amp;IF(名簿!$F69="転出","（転出）",""))</f>
        <v/>
      </c>
      <c r="D69" s="149"/>
      <c r="E69" s="61" t="str">
        <f aca="false">IF(OR($C69="",名簿!$F69="転出"),"",IF($C$2="学級ごと",$A69,IF($C$2="前の単元と同じ",単元15!$E69&amp;"",$D69&amp;"")))</f>
        <v/>
      </c>
      <c r="F69" s="150"/>
      <c r="G69" s="150"/>
      <c r="H69" s="150"/>
      <c r="I69" s="151"/>
      <c r="J69" s="41" t="str">
        <f aca="false">IF($E69="","",$E69&amp;"|"&amp;COUNTIF($E$5:$E69,$E69))</f>
        <v/>
      </c>
      <c r="K69" s="40" t="str">
        <f aca="false">IF($I69="","",LEN($I69))</f>
        <v/>
      </c>
      <c r="L69" s="13"/>
      <c r="M69" s="13"/>
      <c r="N69" s="13"/>
      <c r="O69" s="13"/>
      <c r="P69" s="152"/>
      <c r="Q69" s="149"/>
      <c r="R69" s="152"/>
      <c r="S69" s="152"/>
      <c r="T69" s="62" t="str">
        <f aca="false">IF(OR($C69="",R69=""),"",IF(R69/IF($R$2="",100,$R$2)&gt;=設定!$I$28,設定!$G$8,IF(R69/IF($R$2="",100,$R$2)&lt;設定!$I$29,設定!$G$10,設定!$G$9)))</f>
        <v/>
      </c>
      <c r="U69" s="62" t="str">
        <f aca="false">IF(OR($C69="",S69=""),"",IF(S69/IF($S$2="",100,$S$2)&gt;=設定!$I$28,設定!$G$8,IF(S69/IF($S$2="",100,$S$2)&lt;設定!$I$29,設定!$G$10,設定!$G$9)))</f>
        <v/>
      </c>
    </row>
    <row r="70" customFormat="false" ht="21" hidden="false" customHeight="true" outlineLevel="0" collapsed="false">
      <c r="A70" s="91" t="str">
        <f aca="false">IF(名簿!$D70="","",名簿!$B70&amp;"")</f>
        <v/>
      </c>
      <c r="B70" s="91" t="str">
        <f aca="false">IF(名簿!$D70="","",名簿!$C70)</f>
        <v/>
      </c>
      <c r="C70" s="59" t="str">
        <f aca="false">IF(名簿!$D70="","",名簿!$D70&amp;IF(名簿!$F70="転出","（転出）",""))</f>
        <v/>
      </c>
      <c r="D70" s="149"/>
      <c r="E70" s="61" t="str">
        <f aca="false">IF(OR($C70="",名簿!$F70="転出"),"",IF($C$2="学級ごと",$A70,IF($C$2="前の単元と同じ",単元15!$E70&amp;"",$D70&amp;"")))</f>
        <v/>
      </c>
      <c r="F70" s="150"/>
      <c r="G70" s="150"/>
      <c r="H70" s="150"/>
      <c r="I70" s="151"/>
      <c r="J70" s="41" t="str">
        <f aca="false">IF($E70="","",$E70&amp;"|"&amp;COUNTIF($E$5:$E70,$E70))</f>
        <v/>
      </c>
      <c r="K70" s="40" t="str">
        <f aca="false">IF($I70="","",LEN($I70))</f>
        <v/>
      </c>
      <c r="L70" s="13"/>
      <c r="M70" s="13"/>
      <c r="N70" s="13"/>
      <c r="O70" s="13"/>
      <c r="P70" s="152"/>
      <c r="Q70" s="149"/>
      <c r="R70" s="152"/>
      <c r="S70" s="152"/>
      <c r="T70" s="62" t="str">
        <f aca="false">IF(OR($C70="",R70=""),"",IF(R70/IF($R$2="",100,$R$2)&gt;=設定!$I$28,設定!$G$8,IF(R70/IF($R$2="",100,$R$2)&lt;設定!$I$29,設定!$G$10,設定!$G$9)))</f>
        <v/>
      </c>
      <c r="U70" s="62" t="str">
        <f aca="false">IF(OR($C70="",S70=""),"",IF(S70/IF($S$2="",100,$S$2)&gt;=設定!$I$28,設定!$G$8,IF(S70/IF($S$2="",100,$S$2)&lt;設定!$I$29,設定!$G$10,設定!$G$9)))</f>
        <v/>
      </c>
    </row>
    <row r="71" customFormat="false" ht="21" hidden="false" customHeight="true" outlineLevel="0" collapsed="false">
      <c r="A71" s="91" t="str">
        <f aca="false">IF(名簿!$D71="","",名簿!$B71&amp;"")</f>
        <v/>
      </c>
      <c r="B71" s="91" t="str">
        <f aca="false">IF(名簿!$D71="","",名簿!$C71)</f>
        <v/>
      </c>
      <c r="C71" s="59" t="str">
        <f aca="false">IF(名簿!$D71="","",名簿!$D71&amp;IF(名簿!$F71="転出","（転出）",""))</f>
        <v/>
      </c>
      <c r="D71" s="149"/>
      <c r="E71" s="61" t="str">
        <f aca="false">IF(OR($C71="",名簿!$F71="転出"),"",IF($C$2="学級ごと",$A71,IF($C$2="前の単元と同じ",単元15!$E71&amp;"",$D71&amp;"")))</f>
        <v/>
      </c>
      <c r="F71" s="150"/>
      <c r="G71" s="150"/>
      <c r="H71" s="150"/>
      <c r="I71" s="151"/>
      <c r="J71" s="41" t="str">
        <f aca="false">IF($E71="","",$E71&amp;"|"&amp;COUNTIF($E$5:$E71,$E71))</f>
        <v/>
      </c>
      <c r="K71" s="40" t="str">
        <f aca="false">IF($I71="","",LEN($I71))</f>
        <v/>
      </c>
      <c r="L71" s="13"/>
      <c r="M71" s="13"/>
      <c r="N71" s="13"/>
      <c r="O71" s="13"/>
      <c r="P71" s="152"/>
      <c r="Q71" s="149"/>
      <c r="R71" s="152"/>
      <c r="S71" s="152"/>
      <c r="T71" s="62" t="str">
        <f aca="false">IF(OR($C71="",R71=""),"",IF(R71/IF($R$2="",100,$R$2)&gt;=設定!$I$28,設定!$G$8,IF(R71/IF($R$2="",100,$R$2)&lt;設定!$I$29,設定!$G$10,設定!$G$9)))</f>
        <v/>
      </c>
      <c r="U71" s="62" t="str">
        <f aca="false">IF(OR($C71="",S71=""),"",IF(S71/IF($S$2="",100,$S$2)&gt;=設定!$I$28,設定!$G$8,IF(S71/IF($S$2="",100,$S$2)&lt;設定!$I$29,設定!$G$10,設定!$G$9)))</f>
        <v/>
      </c>
    </row>
    <row r="72" customFormat="false" ht="21" hidden="false" customHeight="true" outlineLevel="0" collapsed="false">
      <c r="A72" s="91" t="str">
        <f aca="false">IF(名簿!$D72="","",名簿!$B72&amp;"")</f>
        <v/>
      </c>
      <c r="B72" s="91" t="str">
        <f aca="false">IF(名簿!$D72="","",名簿!$C72)</f>
        <v/>
      </c>
      <c r="C72" s="59" t="str">
        <f aca="false">IF(名簿!$D72="","",名簿!$D72&amp;IF(名簿!$F72="転出","（転出）",""))</f>
        <v/>
      </c>
      <c r="D72" s="149"/>
      <c r="E72" s="61" t="str">
        <f aca="false">IF(OR($C72="",名簿!$F72="転出"),"",IF($C$2="学級ごと",$A72,IF($C$2="前の単元と同じ",単元15!$E72&amp;"",$D72&amp;"")))</f>
        <v/>
      </c>
      <c r="F72" s="150"/>
      <c r="G72" s="150"/>
      <c r="H72" s="150"/>
      <c r="I72" s="151"/>
      <c r="J72" s="41" t="str">
        <f aca="false">IF($E72="","",$E72&amp;"|"&amp;COUNTIF($E$5:$E72,$E72))</f>
        <v/>
      </c>
      <c r="K72" s="40" t="str">
        <f aca="false">IF($I72="","",LEN($I72))</f>
        <v/>
      </c>
      <c r="L72" s="13"/>
      <c r="M72" s="13"/>
      <c r="N72" s="13"/>
      <c r="O72" s="13"/>
      <c r="P72" s="152"/>
      <c r="Q72" s="149"/>
      <c r="R72" s="152"/>
      <c r="S72" s="152"/>
      <c r="T72" s="62" t="str">
        <f aca="false">IF(OR($C72="",R72=""),"",IF(R72/IF($R$2="",100,$R$2)&gt;=設定!$I$28,設定!$G$8,IF(R72/IF($R$2="",100,$R$2)&lt;設定!$I$29,設定!$G$10,設定!$G$9)))</f>
        <v/>
      </c>
      <c r="U72" s="62" t="str">
        <f aca="false">IF(OR($C72="",S72=""),"",IF(S72/IF($S$2="",100,$S$2)&gt;=設定!$I$28,設定!$G$8,IF(S72/IF($S$2="",100,$S$2)&lt;設定!$I$29,設定!$G$10,設定!$G$9)))</f>
        <v/>
      </c>
    </row>
    <row r="73" customFormat="false" ht="21" hidden="false" customHeight="true" outlineLevel="0" collapsed="false">
      <c r="A73" s="91" t="str">
        <f aca="false">IF(名簿!$D73="","",名簿!$B73&amp;"")</f>
        <v/>
      </c>
      <c r="B73" s="91" t="str">
        <f aca="false">IF(名簿!$D73="","",名簿!$C73)</f>
        <v/>
      </c>
      <c r="C73" s="59" t="str">
        <f aca="false">IF(名簿!$D73="","",名簿!$D73&amp;IF(名簿!$F73="転出","（転出）",""))</f>
        <v/>
      </c>
      <c r="D73" s="149"/>
      <c r="E73" s="61" t="str">
        <f aca="false">IF(OR($C73="",名簿!$F73="転出"),"",IF($C$2="学級ごと",$A73,IF($C$2="前の単元と同じ",単元15!$E73&amp;"",$D73&amp;"")))</f>
        <v/>
      </c>
      <c r="F73" s="150"/>
      <c r="G73" s="150"/>
      <c r="H73" s="150"/>
      <c r="I73" s="151"/>
      <c r="J73" s="41" t="str">
        <f aca="false">IF($E73="","",$E73&amp;"|"&amp;COUNTIF($E$5:$E73,$E73))</f>
        <v/>
      </c>
      <c r="K73" s="40" t="str">
        <f aca="false">IF($I73="","",LEN($I73))</f>
        <v/>
      </c>
      <c r="L73" s="13"/>
      <c r="M73" s="13"/>
      <c r="N73" s="13"/>
      <c r="O73" s="13"/>
      <c r="P73" s="152"/>
      <c r="Q73" s="149"/>
      <c r="R73" s="152"/>
      <c r="S73" s="152"/>
      <c r="T73" s="62" t="str">
        <f aca="false">IF(OR($C73="",R73=""),"",IF(R73/IF($R$2="",100,$R$2)&gt;=設定!$I$28,設定!$G$8,IF(R73/IF($R$2="",100,$R$2)&lt;設定!$I$29,設定!$G$10,設定!$G$9)))</f>
        <v/>
      </c>
      <c r="U73" s="62" t="str">
        <f aca="false">IF(OR($C73="",S73=""),"",IF(S73/IF($S$2="",100,$S$2)&gt;=設定!$I$28,設定!$G$8,IF(S73/IF($S$2="",100,$S$2)&lt;設定!$I$29,設定!$G$10,設定!$G$9)))</f>
        <v/>
      </c>
    </row>
    <row r="74" customFormat="false" ht="21" hidden="false" customHeight="true" outlineLevel="0" collapsed="false">
      <c r="A74" s="91" t="str">
        <f aca="false">IF(名簿!$D74="","",名簿!$B74&amp;"")</f>
        <v/>
      </c>
      <c r="B74" s="91" t="str">
        <f aca="false">IF(名簿!$D74="","",名簿!$C74)</f>
        <v/>
      </c>
      <c r="C74" s="59" t="str">
        <f aca="false">IF(名簿!$D74="","",名簿!$D74&amp;IF(名簿!$F74="転出","（転出）",""))</f>
        <v/>
      </c>
      <c r="D74" s="149"/>
      <c r="E74" s="61" t="str">
        <f aca="false">IF(OR($C74="",名簿!$F74="転出"),"",IF($C$2="学級ごと",$A74,IF($C$2="前の単元と同じ",単元15!$E74&amp;"",$D74&amp;"")))</f>
        <v/>
      </c>
      <c r="F74" s="150"/>
      <c r="G74" s="150"/>
      <c r="H74" s="150"/>
      <c r="I74" s="151"/>
      <c r="J74" s="41" t="str">
        <f aca="false">IF($E74="","",$E74&amp;"|"&amp;COUNTIF($E$5:$E74,$E74))</f>
        <v/>
      </c>
      <c r="K74" s="40" t="str">
        <f aca="false">IF($I74="","",LEN($I74))</f>
        <v/>
      </c>
      <c r="L74" s="13"/>
      <c r="M74" s="13"/>
      <c r="N74" s="13"/>
      <c r="O74" s="13"/>
      <c r="P74" s="152"/>
      <c r="Q74" s="149"/>
      <c r="R74" s="152"/>
      <c r="S74" s="152"/>
      <c r="T74" s="62" t="str">
        <f aca="false">IF(OR($C74="",R74=""),"",IF(R74/IF($R$2="",100,$R$2)&gt;=設定!$I$28,設定!$G$8,IF(R74/IF($R$2="",100,$R$2)&lt;設定!$I$29,設定!$G$10,設定!$G$9)))</f>
        <v/>
      </c>
      <c r="U74" s="62" t="str">
        <f aca="false">IF(OR($C74="",S74=""),"",IF(S74/IF($S$2="",100,$S$2)&gt;=設定!$I$28,設定!$G$8,IF(S74/IF($S$2="",100,$S$2)&lt;設定!$I$29,設定!$G$10,設定!$G$9)))</f>
        <v/>
      </c>
    </row>
    <row r="75" customFormat="false" ht="21" hidden="false" customHeight="true" outlineLevel="0" collapsed="false">
      <c r="A75" s="91" t="str">
        <f aca="false">IF(名簿!$D75="","",名簿!$B75&amp;"")</f>
        <v/>
      </c>
      <c r="B75" s="91" t="str">
        <f aca="false">IF(名簿!$D75="","",名簿!$C75)</f>
        <v/>
      </c>
      <c r="C75" s="59" t="str">
        <f aca="false">IF(名簿!$D75="","",名簿!$D75&amp;IF(名簿!$F75="転出","（転出）",""))</f>
        <v/>
      </c>
      <c r="D75" s="149"/>
      <c r="E75" s="61" t="str">
        <f aca="false">IF(OR($C75="",名簿!$F75="転出"),"",IF($C$2="学級ごと",$A75,IF($C$2="前の単元と同じ",単元15!$E75&amp;"",$D75&amp;"")))</f>
        <v/>
      </c>
      <c r="F75" s="150"/>
      <c r="G75" s="150"/>
      <c r="H75" s="150"/>
      <c r="I75" s="151"/>
      <c r="J75" s="41" t="str">
        <f aca="false">IF($E75="","",$E75&amp;"|"&amp;COUNTIF($E$5:$E75,$E75))</f>
        <v/>
      </c>
      <c r="K75" s="40" t="str">
        <f aca="false">IF($I75="","",LEN($I75))</f>
        <v/>
      </c>
      <c r="L75" s="13"/>
      <c r="M75" s="13"/>
      <c r="N75" s="13"/>
      <c r="O75" s="13"/>
      <c r="P75" s="152"/>
      <c r="Q75" s="149"/>
      <c r="R75" s="152"/>
      <c r="S75" s="152"/>
      <c r="T75" s="62" t="str">
        <f aca="false">IF(OR($C75="",R75=""),"",IF(R75/IF($R$2="",100,$R$2)&gt;=設定!$I$28,設定!$G$8,IF(R75/IF($R$2="",100,$R$2)&lt;設定!$I$29,設定!$G$10,設定!$G$9)))</f>
        <v/>
      </c>
      <c r="U75" s="62" t="str">
        <f aca="false">IF(OR($C75="",S75=""),"",IF(S75/IF($S$2="",100,$S$2)&gt;=設定!$I$28,設定!$G$8,IF(S75/IF($S$2="",100,$S$2)&lt;設定!$I$29,設定!$G$10,設定!$G$9)))</f>
        <v/>
      </c>
    </row>
    <row r="76" customFormat="false" ht="21" hidden="false" customHeight="true" outlineLevel="0" collapsed="false">
      <c r="A76" s="91" t="str">
        <f aca="false">IF(名簿!$D76="","",名簿!$B76&amp;"")</f>
        <v/>
      </c>
      <c r="B76" s="91" t="str">
        <f aca="false">IF(名簿!$D76="","",名簿!$C76)</f>
        <v/>
      </c>
      <c r="C76" s="59" t="str">
        <f aca="false">IF(名簿!$D76="","",名簿!$D76&amp;IF(名簿!$F76="転出","（転出）",""))</f>
        <v/>
      </c>
      <c r="D76" s="149"/>
      <c r="E76" s="61" t="str">
        <f aca="false">IF(OR($C76="",名簿!$F76="転出"),"",IF($C$2="学級ごと",$A76,IF($C$2="前の単元と同じ",単元15!$E76&amp;"",$D76&amp;"")))</f>
        <v/>
      </c>
      <c r="F76" s="150"/>
      <c r="G76" s="150"/>
      <c r="H76" s="150"/>
      <c r="I76" s="151"/>
      <c r="J76" s="41" t="str">
        <f aca="false">IF($E76="","",$E76&amp;"|"&amp;COUNTIF($E$5:$E76,$E76))</f>
        <v/>
      </c>
      <c r="K76" s="40" t="str">
        <f aca="false">IF($I76="","",LEN($I76))</f>
        <v/>
      </c>
      <c r="L76" s="13"/>
      <c r="M76" s="13"/>
      <c r="N76" s="13"/>
      <c r="O76" s="13"/>
      <c r="P76" s="152"/>
      <c r="Q76" s="149"/>
      <c r="R76" s="152"/>
      <c r="S76" s="152"/>
      <c r="T76" s="62" t="str">
        <f aca="false">IF(OR($C76="",R76=""),"",IF(R76/IF($R$2="",100,$R$2)&gt;=設定!$I$28,設定!$G$8,IF(R76/IF($R$2="",100,$R$2)&lt;設定!$I$29,設定!$G$10,設定!$G$9)))</f>
        <v/>
      </c>
      <c r="U76" s="62" t="str">
        <f aca="false">IF(OR($C76="",S76=""),"",IF(S76/IF($S$2="",100,$S$2)&gt;=設定!$I$28,設定!$G$8,IF(S76/IF($S$2="",100,$S$2)&lt;設定!$I$29,設定!$G$10,設定!$G$9)))</f>
        <v/>
      </c>
    </row>
    <row r="77" customFormat="false" ht="21" hidden="false" customHeight="true" outlineLevel="0" collapsed="false">
      <c r="A77" s="91" t="str">
        <f aca="false">IF(名簿!$D77="","",名簿!$B77&amp;"")</f>
        <v/>
      </c>
      <c r="B77" s="91" t="str">
        <f aca="false">IF(名簿!$D77="","",名簿!$C77)</f>
        <v/>
      </c>
      <c r="C77" s="59" t="str">
        <f aca="false">IF(名簿!$D77="","",名簿!$D77&amp;IF(名簿!$F77="転出","（転出）",""))</f>
        <v/>
      </c>
      <c r="D77" s="149"/>
      <c r="E77" s="61" t="str">
        <f aca="false">IF(OR($C77="",名簿!$F77="転出"),"",IF($C$2="学級ごと",$A77,IF($C$2="前の単元と同じ",単元15!$E77&amp;"",$D77&amp;"")))</f>
        <v/>
      </c>
      <c r="F77" s="150"/>
      <c r="G77" s="150"/>
      <c r="H77" s="150"/>
      <c r="I77" s="151"/>
      <c r="J77" s="41" t="str">
        <f aca="false">IF($E77="","",$E77&amp;"|"&amp;COUNTIF($E$5:$E77,$E77))</f>
        <v/>
      </c>
      <c r="K77" s="40" t="str">
        <f aca="false">IF($I77="","",LEN($I77))</f>
        <v/>
      </c>
      <c r="L77" s="13"/>
      <c r="M77" s="13"/>
      <c r="N77" s="13"/>
      <c r="O77" s="13"/>
      <c r="P77" s="152"/>
      <c r="Q77" s="149"/>
      <c r="R77" s="152"/>
      <c r="S77" s="152"/>
      <c r="T77" s="62" t="str">
        <f aca="false">IF(OR($C77="",R77=""),"",IF(R77/IF($R$2="",100,$R$2)&gt;=設定!$I$28,設定!$G$8,IF(R77/IF($R$2="",100,$R$2)&lt;設定!$I$29,設定!$G$10,設定!$G$9)))</f>
        <v/>
      </c>
      <c r="U77" s="62" t="str">
        <f aca="false">IF(OR($C77="",S77=""),"",IF(S77/IF($S$2="",100,$S$2)&gt;=設定!$I$28,設定!$G$8,IF(S77/IF($S$2="",100,$S$2)&lt;設定!$I$29,設定!$G$10,設定!$G$9)))</f>
        <v/>
      </c>
    </row>
    <row r="78" customFormat="false" ht="21" hidden="false" customHeight="true" outlineLevel="0" collapsed="false">
      <c r="A78" s="91" t="str">
        <f aca="false">IF(名簿!$D78="","",名簿!$B78&amp;"")</f>
        <v/>
      </c>
      <c r="B78" s="91" t="str">
        <f aca="false">IF(名簿!$D78="","",名簿!$C78)</f>
        <v/>
      </c>
      <c r="C78" s="59" t="str">
        <f aca="false">IF(名簿!$D78="","",名簿!$D78&amp;IF(名簿!$F78="転出","（転出）",""))</f>
        <v/>
      </c>
      <c r="D78" s="149"/>
      <c r="E78" s="61" t="str">
        <f aca="false">IF(OR($C78="",名簿!$F78="転出"),"",IF($C$2="学級ごと",$A78,IF($C$2="前の単元と同じ",単元15!$E78&amp;"",$D78&amp;"")))</f>
        <v/>
      </c>
      <c r="F78" s="150"/>
      <c r="G78" s="150"/>
      <c r="H78" s="150"/>
      <c r="I78" s="151"/>
      <c r="J78" s="41" t="str">
        <f aca="false">IF($E78="","",$E78&amp;"|"&amp;COUNTIF($E$5:$E78,$E78))</f>
        <v/>
      </c>
      <c r="K78" s="40" t="str">
        <f aca="false">IF($I78="","",LEN($I78))</f>
        <v/>
      </c>
      <c r="L78" s="13"/>
      <c r="M78" s="13"/>
      <c r="N78" s="13"/>
      <c r="O78" s="13"/>
      <c r="P78" s="152"/>
      <c r="Q78" s="149"/>
      <c r="R78" s="152"/>
      <c r="S78" s="152"/>
      <c r="T78" s="62" t="str">
        <f aca="false">IF(OR($C78="",R78=""),"",IF(R78/IF($R$2="",100,$R$2)&gt;=設定!$I$28,設定!$G$8,IF(R78/IF($R$2="",100,$R$2)&lt;設定!$I$29,設定!$G$10,設定!$G$9)))</f>
        <v/>
      </c>
      <c r="U78" s="62" t="str">
        <f aca="false">IF(OR($C78="",S78=""),"",IF(S78/IF($S$2="",100,$S$2)&gt;=設定!$I$28,設定!$G$8,IF(S78/IF($S$2="",100,$S$2)&lt;設定!$I$29,設定!$G$10,設定!$G$9)))</f>
        <v/>
      </c>
    </row>
    <row r="79" customFormat="false" ht="21" hidden="false" customHeight="true" outlineLevel="0" collapsed="false">
      <c r="A79" s="91" t="str">
        <f aca="false">IF(名簿!$D79="","",名簿!$B79&amp;"")</f>
        <v/>
      </c>
      <c r="B79" s="91" t="str">
        <f aca="false">IF(名簿!$D79="","",名簿!$C79)</f>
        <v/>
      </c>
      <c r="C79" s="59" t="str">
        <f aca="false">IF(名簿!$D79="","",名簿!$D79&amp;IF(名簿!$F79="転出","（転出）",""))</f>
        <v/>
      </c>
      <c r="D79" s="149"/>
      <c r="E79" s="61" t="str">
        <f aca="false">IF(OR($C79="",名簿!$F79="転出"),"",IF($C$2="学級ごと",$A79,IF($C$2="前の単元と同じ",単元15!$E79&amp;"",$D79&amp;"")))</f>
        <v/>
      </c>
      <c r="F79" s="150"/>
      <c r="G79" s="150"/>
      <c r="H79" s="150"/>
      <c r="I79" s="151"/>
      <c r="J79" s="41" t="str">
        <f aca="false">IF($E79="","",$E79&amp;"|"&amp;COUNTIF($E$5:$E79,$E79))</f>
        <v/>
      </c>
      <c r="K79" s="40" t="str">
        <f aca="false">IF($I79="","",LEN($I79))</f>
        <v/>
      </c>
      <c r="L79" s="13"/>
      <c r="M79" s="13"/>
      <c r="N79" s="13"/>
      <c r="O79" s="13"/>
      <c r="P79" s="152"/>
      <c r="Q79" s="149"/>
      <c r="R79" s="152"/>
      <c r="S79" s="152"/>
      <c r="T79" s="62" t="str">
        <f aca="false">IF(OR($C79="",R79=""),"",IF(R79/IF($R$2="",100,$R$2)&gt;=設定!$I$28,設定!$G$8,IF(R79/IF($R$2="",100,$R$2)&lt;設定!$I$29,設定!$G$10,設定!$G$9)))</f>
        <v/>
      </c>
      <c r="U79" s="62" t="str">
        <f aca="false">IF(OR($C79="",S79=""),"",IF(S79/IF($S$2="",100,$S$2)&gt;=設定!$I$28,設定!$G$8,IF(S79/IF($S$2="",100,$S$2)&lt;設定!$I$29,設定!$G$10,設定!$G$9)))</f>
        <v/>
      </c>
    </row>
    <row r="80" customFormat="false" ht="21" hidden="false" customHeight="true" outlineLevel="0" collapsed="false">
      <c r="A80" s="91" t="str">
        <f aca="false">IF(名簿!$D80="","",名簿!$B80&amp;"")</f>
        <v/>
      </c>
      <c r="B80" s="91" t="str">
        <f aca="false">IF(名簿!$D80="","",名簿!$C80)</f>
        <v/>
      </c>
      <c r="C80" s="59" t="str">
        <f aca="false">IF(名簿!$D80="","",名簿!$D80&amp;IF(名簿!$F80="転出","（転出）",""))</f>
        <v/>
      </c>
      <c r="D80" s="149"/>
      <c r="E80" s="61" t="str">
        <f aca="false">IF(OR($C80="",名簿!$F80="転出"),"",IF($C$2="学級ごと",$A80,IF($C$2="前の単元と同じ",単元15!$E80&amp;"",$D80&amp;"")))</f>
        <v/>
      </c>
      <c r="F80" s="150"/>
      <c r="G80" s="150"/>
      <c r="H80" s="150"/>
      <c r="I80" s="151"/>
      <c r="J80" s="41" t="str">
        <f aca="false">IF($E80="","",$E80&amp;"|"&amp;COUNTIF($E$5:$E80,$E80))</f>
        <v/>
      </c>
      <c r="K80" s="40" t="str">
        <f aca="false">IF($I80="","",LEN($I80))</f>
        <v/>
      </c>
      <c r="L80" s="13"/>
      <c r="M80" s="13"/>
      <c r="N80" s="13"/>
      <c r="O80" s="13"/>
      <c r="P80" s="152"/>
      <c r="Q80" s="149"/>
      <c r="R80" s="152"/>
      <c r="S80" s="152"/>
      <c r="T80" s="62" t="str">
        <f aca="false">IF(OR($C80="",R80=""),"",IF(R80/IF($R$2="",100,$R$2)&gt;=設定!$I$28,設定!$G$8,IF(R80/IF($R$2="",100,$R$2)&lt;設定!$I$29,設定!$G$10,設定!$G$9)))</f>
        <v/>
      </c>
      <c r="U80" s="62" t="str">
        <f aca="false">IF(OR($C80="",S80=""),"",IF(S80/IF($S$2="",100,$S$2)&gt;=設定!$I$28,設定!$G$8,IF(S80/IF($S$2="",100,$S$2)&lt;設定!$I$29,設定!$G$10,設定!$G$9)))</f>
        <v/>
      </c>
    </row>
    <row r="81" customFormat="false" ht="21" hidden="false" customHeight="true" outlineLevel="0" collapsed="false">
      <c r="A81" s="91" t="str">
        <f aca="false">IF(名簿!$D81="","",名簿!$B81&amp;"")</f>
        <v/>
      </c>
      <c r="B81" s="91" t="str">
        <f aca="false">IF(名簿!$D81="","",名簿!$C81)</f>
        <v/>
      </c>
      <c r="C81" s="59" t="str">
        <f aca="false">IF(名簿!$D81="","",名簿!$D81&amp;IF(名簿!$F81="転出","（転出）",""))</f>
        <v/>
      </c>
      <c r="D81" s="149"/>
      <c r="E81" s="61" t="str">
        <f aca="false">IF(OR($C81="",名簿!$F81="転出"),"",IF($C$2="学級ごと",$A81,IF($C$2="前の単元と同じ",単元15!$E81&amp;"",$D81&amp;"")))</f>
        <v/>
      </c>
      <c r="F81" s="150"/>
      <c r="G81" s="150"/>
      <c r="H81" s="150"/>
      <c r="I81" s="151"/>
      <c r="J81" s="41" t="str">
        <f aca="false">IF($E81="","",$E81&amp;"|"&amp;COUNTIF($E$5:$E81,$E81))</f>
        <v/>
      </c>
      <c r="K81" s="40" t="str">
        <f aca="false">IF($I81="","",LEN($I81))</f>
        <v/>
      </c>
      <c r="L81" s="13"/>
      <c r="M81" s="13"/>
      <c r="N81" s="13"/>
      <c r="O81" s="13"/>
      <c r="P81" s="152"/>
      <c r="Q81" s="149"/>
      <c r="R81" s="152"/>
      <c r="S81" s="152"/>
      <c r="T81" s="62" t="str">
        <f aca="false">IF(OR($C81="",R81=""),"",IF(R81/IF($R$2="",100,$R$2)&gt;=設定!$I$28,設定!$G$8,IF(R81/IF($R$2="",100,$R$2)&lt;設定!$I$29,設定!$G$10,設定!$G$9)))</f>
        <v/>
      </c>
      <c r="U81" s="62" t="str">
        <f aca="false">IF(OR($C81="",S81=""),"",IF(S81/IF($S$2="",100,$S$2)&gt;=設定!$I$28,設定!$G$8,IF(S81/IF($S$2="",100,$S$2)&lt;設定!$I$29,設定!$G$10,設定!$G$9)))</f>
        <v/>
      </c>
    </row>
    <row r="82" customFormat="false" ht="21" hidden="false" customHeight="true" outlineLevel="0" collapsed="false">
      <c r="A82" s="91" t="str">
        <f aca="false">IF(名簿!$D82="","",名簿!$B82&amp;"")</f>
        <v/>
      </c>
      <c r="B82" s="91" t="str">
        <f aca="false">IF(名簿!$D82="","",名簿!$C82)</f>
        <v/>
      </c>
      <c r="C82" s="59" t="str">
        <f aca="false">IF(名簿!$D82="","",名簿!$D82&amp;IF(名簿!$F82="転出","（転出）",""))</f>
        <v/>
      </c>
      <c r="D82" s="149"/>
      <c r="E82" s="61" t="str">
        <f aca="false">IF(OR($C82="",名簿!$F82="転出"),"",IF($C$2="学級ごと",$A82,IF($C$2="前の単元と同じ",単元15!$E82&amp;"",$D82&amp;"")))</f>
        <v/>
      </c>
      <c r="F82" s="150"/>
      <c r="G82" s="150"/>
      <c r="H82" s="150"/>
      <c r="I82" s="151"/>
      <c r="J82" s="41" t="str">
        <f aca="false">IF($E82="","",$E82&amp;"|"&amp;COUNTIF($E$5:$E82,$E82))</f>
        <v/>
      </c>
      <c r="K82" s="40" t="str">
        <f aca="false">IF($I82="","",LEN($I82))</f>
        <v/>
      </c>
      <c r="L82" s="13"/>
      <c r="M82" s="13"/>
      <c r="N82" s="13"/>
      <c r="O82" s="13"/>
      <c r="P82" s="152"/>
      <c r="Q82" s="149"/>
      <c r="R82" s="152"/>
      <c r="S82" s="152"/>
      <c r="T82" s="62" t="str">
        <f aca="false">IF(OR($C82="",R82=""),"",IF(R82/IF($R$2="",100,$R$2)&gt;=設定!$I$28,設定!$G$8,IF(R82/IF($R$2="",100,$R$2)&lt;設定!$I$29,設定!$G$10,設定!$G$9)))</f>
        <v/>
      </c>
      <c r="U82" s="62" t="str">
        <f aca="false">IF(OR($C82="",S82=""),"",IF(S82/IF($S$2="",100,$S$2)&gt;=設定!$I$28,設定!$G$8,IF(S82/IF($S$2="",100,$S$2)&lt;設定!$I$29,設定!$G$10,設定!$G$9)))</f>
        <v/>
      </c>
    </row>
    <row r="83" customFormat="false" ht="21" hidden="false" customHeight="true" outlineLevel="0" collapsed="false">
      <c r="A83" s="91" t="str">
        <f aca="false">IF(名簿!$D83="","",名簿!$B83&amp;"")</f>
        <v/>
      </c>
      <c r="B83" s="91" t="str">
        <f aca="false">IF(名簿!$D83="","",名簿!$C83)</f>
        <v/>
      </c>
      <c r="C83" s="59" t="str">
        <f aca="false">IF(名簿!$D83="","",名簿!$D83&amp;IF(名簿!$F83="転出","（転出）",""))</f>
        <v/>
      </c>
      <c r="D83" s="149"/>
      <c r="E83" s="61" t="str">
        <f aca="false">IF(OR($C83="",名簿!$F83="転出"),"",IF($C$2="学級ごと",$A83,IF($C$2="前の単元と同じ",単元15!$E83&amp;"",$D83&amp;"")))</f>
        <v/>
      </c>
      <c r="F83" s="150"/>
      <c r="G83" s="150"/>
      <c r="H83" s="150"/>
      <c r="I83" s="151"/>
      <c r="J83" s="41" t="str">
        <f aca="false">IF($E83="","",$E83&amp;"|"&amp;COUNTIF($E$5:$E83,$E83))</f>
        <v/>
      </c>
      <c r="K83" s="40" t="str">
        <f aca="false">IF($I83="","",LEN($I83))</f>
        <v/>
      </c>
      <c r="L83" s="13"/>
      <c r="M83" s="13"/>
      <c r="N83" s="13"/>
      <c r="O83" s="13"/>
      <c r="P83" s="152"/>
      <c r="Q83" s="149"/>
      <c r="R83" s="152"/>
      <c r="S83" s="152"/>
      <c r="T83" s="62" t="str">
        <f aca="false">IF(OR($C83="",R83=""),"",IF(R83/IF($R$2="",100,$R$2)&gt;=設定!$I$28,設定!$G$8,IF(R83/IF($R$2="",100,$R$2)&lt;設定!$I$29,設定!$G$10,設定!$G$9)))</f>
        <v/>
      </c>
      <c r="U83" s="62" t="str">
        <f aca="false">IF(OR($C83="",S83=""),"",IF(S83/IF($S$2="",100,$S$2)&gt;=設定!$I$28,設定!$G$8,IF(S83/IF($S$2="",100,$S$2)&lt;設定!$I$29,設定!$G$10,設定!$G$9)))</f>
        <v/>
      </c>
    </row>
    <row r="84" customFormat="false" ht="21" hidden="false" customHeight="true" outlineLevel="0" collapsed="false">
      <c r="A84" s="91" t="str">
        <f aca="false">IF(名簿!$D84="","",名簿!$B84&amp;"")</f>
        <v/>
      </c>
      <c r="B84" s="91" t="str">
        <f aca="false">IF(名簿!$D84="","",名簿!$C84)</f>
        <v/>
      </c>
      <c r="C84" s="59" t="str">
        <f aca="false">IF(名簿!$D84="","",名簿!$D84&amp;IF(名簿!$F84="転出","（転出）",""))</f>
        <v/>
      </c>
      <c r="D84" s="149"/>
      <c r="E84" s="61" t="str">
        <f aca="false">IF(OR($C84="",名簿!$F84="転出"),"",IF($C$2="学級ごと",$A84,IF($C$2="前の単元と同じ",単元15!$E84&amp;"",$D84&amp;"")))</f>
        <v/>
      </c>
      <c r="F84" s="150"/>
      <c r="G84" s="150"/>
      <c r="H84" s="150"/>
      <c r="I84" s="151"/>
      <c r="J84" s="41" t="str">
        <f aca="false">IF($E84="","",$E84&amp;"|"&amp;COUNTIF($E$5:$E84,$E84))</f>
        <v/>
      </c>
      <c r="K84" s="40" t="str">
        <f aca="false">IF($I84="","",LEN($I84))</f>
        <v/>
      </c>
      <c r="L84" s="13"/>
      <c r="M84" s="13"/>
      <c r="N84" s="13"/>
      <c r="O84" s="13"/>
      <c r="P84" s="152"/>
      <c r="Q84" s="149"/>
      <c r="R84" s="152"/>
      <c r="S84" s="152"/>
      <c r="T84" s="62" t="str">
        <f aca="false">IF(OR($C84="",R84=""),"",IF(R84/IF($R$2="",100,$R$2)&gt;=設定!$I$28,設定!$G$8,IF(R84/IF($R$2="",100,$R$2)&lt;設定!$I$29,設定!$G$10,設定!$G$9)))</f>
        <v/>
      </c>
      <c r="U84" s="62" t="str">
        <f aca="false">IF(OR($C84="",S84=""),"",IF(S84/IF($S$2="",100,$S$2)&gt;=設定!$I$28,設定!$G$8,IF(S84/IF($S$2="",100,$S$2)&lt;設定!$I$29,設定!$G$10,設定!$G$9)))</f>
        <v/>
      </c>
    </row>
    <row r="85" customFormat="false" ht="21" hidden="false" customHeight="true" outlineLevel="0" collapsed="false">
      <c r="A85" s="91" t="str">
        <f aca="false">IF(名簿!$D85="","",名簿!$B85&amp;"")</f>
        <v/>
      </c>
      <c r="B85" s="91" t="str">
        <f aca="false">IF(名簿!$D85="","",名簿!$C85)</f>
        <v/>
      </c>
      <c r="C85" s="59" t="str">
        <f aca="false">IF(名簿!$D85="","",名簿!$D85&amp;IF(名簿!$F85="転出","（転出）",""))</f>
        <v/>
      </c>
      <c r="D85" s="149"/>
      <c r="E85" s="61" t="str">
        <f aca="false">IF(OR($C85="",名簿!$F85="転出"),"",IF($C$2="学級ごと",$A85,IF($C$2="前の単元と同じ",単元15!$E85&amp;"",$D85&amp;"")))</f>
        <v/>
      </c>
      <c r="F85" s="150"/>
      <c r="G85" s="150"/>
      <c r="H85" s="150"/>
      <c r="I85" s="151"/>
      <c r="J85" s="41" t="str">
        <f aca="false">IF($E85="","",$E85&amp;"|"&amp;COUNTIF($E$5:$E85,$E85))</f>
        <v/>
      </c>
      <c r="K85" s="40" t="str">
        <f aca="false">IF($I85="","",LEN($I85))</f>
        <v/>
      </c>
      <c r="L85" s="13"/>
      <c r="M85" s="13"/>
      <c r="N85" s="13"/>
      <c r="O85" s="13"/>
      <c r="P85" s="152"/>
      <c r="Q85" s="149"/>
      <c r="R85" s="152"/>
      <c r="S85" s="152"/>
      <c r="T85" s="62" t="str">
        <f aca="false">IF(OR($C85="",R85=""),"",IF(R85/IF($R$2="",100,$R$2)&gt;=設定!$I$28,設定!$G$8,IF(R85/IF($R$2="",100,$R$2)&lt;設定!$I$29,設定!$G$10,設定!$G$9)))</f>
        <v/>
      </c>
      <c r="U85" s="62" t="str">
        <f aca="false">IF(OR($C85="",S85=""),"",IF(S85/IF($S$2="",100,$S$2)&gt;=設定!$I$28,設定!$G$8,IF(S85/IF($S$2="",100,$S$2)&lt;設定!$I$29,設定!$G$10,設定!$G$9)))</f>
        <v/>
      </c>
    </row>
    <row r="86" customFormat="false" ht="21" hidden="false" customHeight="true" outlineLevel="0" collapsed="false">
      <c r="A86" s="91" t="str">
        <f aca="false">IF(名簿!$D86="","",名簿!$B86&amp;"")</f>
        <v/>
      </c>
      <c r="B86" s="91" t="str">
        <f aca="false">IF(名簿!$D86="","",名簿!$C86)</f>
        <v/>
      </c>
      <c r="C86" s="59" t="str">
        <f aca="false">IF(名簿!$D86="","",名簿!$D86&amp;IF(名簿!$F86="転出","（転出）",""))</f>
        <v/>
      </c>
      <c r="D86" s="149"/>
      <c r="E86" s="61" t="str">
        <f aca="false">IF(OR($C86="",名簿!$F86="転出"),"",IF($C$2="学級ごと",$A86,IF($C$2="前の単元と同じ",単元15!$E86&amp;"",$D86&amp;"")))</f>
        <v/>
      </c>
      <c r="F86" s="150"/>
      <c r="G86" s="150"/>
      <c r="H86" s="150"/>
      <c r="I86" s="151"/>
      <c r="J86" s="41" t="str">
        <f aca="false">IF($E86="","",$E86&amp;"|"&amp;COUNTIF($E$5:$E86,$E86))</f>
        <v/>
      </c>
      <c r="K86" s="40" t="str">
        <f aca="false">IF($I86="","",LEN($I86))</f>
        <v/>
      </c>
      <c r="L86" s="13"/>
      <c r="M86" s="13"/>
      <c r="N86" s="13"/>
      <c r="O86" s="13"/>
      <c r="P86" s="152"/>
      <c r="Q86" s="149"/>
      <c r="R86" s="152"/>
      <c r="S86" s="152"/>
      <c r="T86" s="62" t="str">
        <f aca="false">IF(OR($C86="",R86=""),"",IF(R86/IF($R$2="",100,$R$2)&gt;=設定!$I$28,設定!$G$8,IF(R86/IF($R$2="",100,$R$2)&lt;設定!$I$29,設定!$G$10,設定!$G$9)))</f>
        <v/>
      </c>
      <c r="U86" s="62" t="str">
        <f aca="false">IF(OR($C86="",S86=""),"",IF(S86/IF($S$2="",100,$S$2)&gt;=設定!$I$28,設定!$G$8,IF(S86/IF($S$2="",100,$S$2)&lt;設定!$I$29,設定!$G$10,設定!$G$9)))</f>
        <v/>
      </c>
    </row>
    <row r="87" customFormat="false" ht="21" hidden="false" customHeight="true" outlineLevel="0" collapsed="false">
      <c r="A87" s="91" t="str">
        <f aca="false">IF(名簿!$D87="","",名簿!$B87&amp;"")</f>
        <v/>
      </c>
      <c r="B87" s="91" t="str">
        <f aca="false">IF(名簿!$D87="","",名簿!$C87)</f>
        <v/>
      </c>
      <c r="C87" s="59" t="str">
        <f aca="false">IF(名簿!$D87="","",名簿!$D87&amp;IF(名簿!$F87="転出","（転出）",""))</f>
        <v/>
      </c>
      <c r="D87" s="149"/>
      <c r="E87" s="61" t="str">
        <f aca="false">IF(OR($C87="",名簿!$F87="転出"),"",IF($C$2="学級ごと",$A87,IF($C$2="前の単元と同じ",単元15!$E87&amp;"",$D87&amp;"")))</f>
        <v/>
      </c>
      <c r="F87" s="150"/>
      <c r="G87" s="150"/>
      <c r="H87" s="150"/>
      <c r="I87" s="151"/>
      <c r="J87" s="41" t="str">
        <f aca="false">IF($E87="","",$E87&amp;"|"&amp;COUNTIF($E$5:$E87,$E87))</f>
        <v/>
      </c>
      <c r="K87" s="40" t="str">
        <f aca="false">IF($I87="","",LEN($I87))</f>
        <v/>
      </c>
      <c r="L87" s="13"/>
      <c r="M87" s="13"/>
      <c r="N87" s="13"/>
      <c r="O87" s="13"/>
      <c r="P87" s="152"/>
      <c r="Q87" s="149"/>
      <c r="R87" s="152"/>
      <c r="S87" s="152"/>
      <c r="T87" s="62" t="str">
        <f aca="false">IF(OR($C87="",R87=""),"",IF(R87/IF($R$2="",100,$R$2)&gt;=設定!$I$28,設定!$G$8,IF(R87/IF($R$2="",100,$R$2)&lt;設定!$I$29,設定!$G$10,設定!$G$9)))</f>
        <v/>
      </c>
      <c r="U87" s="62" t="str">
        <f aca="false">IF(OR($C87="",S87=""),"",IF(S87/IF($S$2="",100,$S$2)&gt;=設定!$I$28,設定!$G$8,IF(S87/IF($S$2="",100,$S$2)&lt;設定!$I$29,設定!$G$10,設定!$G$9)))</f>
        <v/>
      </c>
    </row>
    <row r="88" customFormat="false" ht="21" hidden="false" customHeight="true" outlineLevel="0" collapsed="false">
      <c r="A88" s="91" t="str">
        <f aca="false">IF(名簿!$D88="","",名簿!$B88&amp;"")</f>
        <v/>
      </c>
      <c r="B88" s="91" t="str">
        <f aca="false">IF(名簿!$D88="","",名簿!$C88)</f>
        <v/>
      </c>
      <c r="C88" s="59" t="str">
        <f aca="false">IF(名簿!$D88="","",名簿!$D88&amp;IF(名簿!$F88="転出","（転出）",""))</f>
        <v/>
      </c>
      <c r="D88" s="149"/>
      <c r="E88" s="61" t="str">
        <f aca="false">IF(OR($C88="",名簿!$F88="転出"),"",IF($C$2="学級ごと",$A88,IF($C$2="前の単元と同じ",単元15!$E88&amp;"",$D88&amp;"")))</f>
        <v/>
      </c>
      <c r="F88" s="150"/>
      <c r="G88" s="150"/>
      <c r="H88" s="150"/>
      <c r="I88" s="151"/>
      <c r="J88" s="41" t="str">
        <f aca="false">IF($E88="","",$E88&amp;"|"&amp;COUNTIF($E$5:$E88,$E88))</f>
        <v/>
      </c>
      <c r="K88" s="40" t="str">
        <f aca="false">IF($I88="","",LEN($I88))</f>
        <v/>
      </c>
      <c r="L88" s="13"/>
      <c r="M88" s="13"/>
      <c r="N88" s="13"/>
      <c r="O88" s="13"/>
      <c r="P88" s="152"/>
      <c r="Q88" s="149"/>
      <c r="R88" s="152"/>
      <c r="S88" s="152"/>
      <c r="T88" s="62" t="str">
        <f aca="false">IF(OR($C88="",R88=""),"",IF(R88/IF($R$2="",100,$R$2)&gt;=設定!$I$28,設定!$G$8,IF(R88/IF($R$2="",100,$R$2)&lt;設定!$I$29,設定!$G$10,設定!$G$9)))</f>
        <v/>
      </c>
      <c r="U88" s="62" t="str">
        <f aca="false">IF(OR($C88="",S88=""),"",IF(S88/IF($S$2="",100,$S$2)&gt;=設定!$I$28,設定!$G$8,IF(S88/IF($S$2="",100,$S$2)&lt;設定!$I$29,設定!$G$10,設定!$G$9)))</f>
        <v/>
      </c>
    </row>
    <row r="89" customFormat="false" ht="21" hidden="false" customHeight="true" outlineLevel="0" collapsed="false">
      <c r="A89" s="91" t="str">
        <f aca="false">IF(名簿!$D89="","",名簿!$B89&amp;"")</f>
        <v/>
      </c>
      <c r="B89" s="91" t="str">
        <f aca="false">IF(名簿!$D89="","",名簿!$C89)</f>
        <v/>
      </c>
      <c r="C89" s="59" t="str">
        <f aca="false">IF(名簿!$D89="","",名簿!$D89&amp;IF(名簿!$F89="転出","（転出）",""))</f>
        <v/>
      </c>
      <c r="D89" s="149"/>
      <c r="E89" s="61" t="str">
        <f aca="false">IF(OR($C89="",名簿!$F89="転出"),"",IF($C$2="学級ごと",$A89,IF($C$2="前の単元と同じ",単元15!$E89&amp;"",$D89&amp;"")))</f>
        <v/>
      </c>
      <c r="F89" s="150"/>
      <c r="G89" s="150"/>
      <c r="H89" s="150"/>
      <c r="I89" s="151"/>
      <c r="J89" s="41" t="str">
        <f aca="false">IF($E89="","",$E89&amp;"|"&amp;COUNTIF($E$5:$E89,$E89))</f>
        <v/>
      </c>
      <c r="K89" s="40" t="str">
        <f aca="false">IF($I89="","",LEN($I89))</f>
        <v/>
      </c>
      <c r="L89" s="13"/>
      <c r="M89" s="13"/>
      <c r="N89" s="13"/>
      <c r="O89" s="13"/>
      <c r="P89" s="152"/>
      <c r="Q89" s="149"/>
      <c r="R89" s="152"/>
      <c r="S89" s="152"/>
      <c r="T89" s="62" t="str">
        <f aca="false">IF(OR($C89="",R89=""),"",IF(R89/IF($R$2="",100,$R$2)&gt;=設定!$I$28,設定!$G$8,IF(R89/IF($R$2="",100,$R$2)&lt;設定!$I$29,設定!$G$10,設定!$G$9)))</f>
        <v/>
      </c>
      <c r="U89" s="62" t="str">
        <f aca="false">IF(OR($C89="",S89=""),"",IF(S89/IF($S$2="",100,$S$2)&gt;=設定!$I$28,設定!$G$8,IF(S89/IF($S$2="",100,$S$2)&lt;設定!$I$29,設定!$G$10,設定!$G$9)))</f>
        <v/>
      </c>
    </row>
    <row r="90" customFormat="false" ht="21" hidden="false" customHeight="true" outlineLevel="0" collapsed="false">
      <c r="A90" s="91" t="str">
        <f aca="false">IF(名簿!$D90="","",名簿!$B90&amp;"")</f>
        <v/>
      </c>
      <c r="B90" s="91" t="str">
        <f aca="false">IF(名簿!$D90="","",名簿!$C90)</f>
        <v/>
      </c>
      <c r="C90" s="59" t="str">
        <f aca="false">IF(名簿!$D90="","",名簿!$D90&amp;IF(名簿!$F90="転出","（転出）",""))</f>
        <v/>
      </c>
      <c r="D90" s="149"/>
      <c r="E90" s="61" t="str">
        <f aca="false">IF(OR($C90="",名簿!$F90="転出"),"",IF($C$2="学級ごと",$A90,IF($C$2="前の単元と同じ",単元15!$E90&amp;"",$D90&amp;"")))</f>
        <v/>
      </c>
      <c r="F90" s="150"/>
      <c r="G90" s="150"/>
      <c r="H90" s="150"/>
      <c r="I90" s="151"/>
      <c r="J90" s="41" t="str">
        <f aca="false">IF($E90="","",$E90&amp;"|"&amp;COUNTIF($E$5:$E90,$E90))</f>
        <v/>
      </c>
      <c r="K90" s="40" t="str">
        <f aca="false">IF($I90="","",LEN($I90))</f>
        <v/>
      </c>
      <c r="L90" s="13"/>
      <c r="M90" s="13"/>
      <c r="N90" s="13"/>
      <c r="O90" s="13"/>
      <c r="P90" s="152"/>
      <c r="Q90" s="149"/>
      <c r="R90" s="152"/>
      <c r="S90" s="152"/>
      <c r="T90" s="62" t="str">
        <f aca="false">IF(OR($C90="",R90=""),"",IF(R90/IF($R$2="",100,$R$2)&gt;=設定!$I$28,設定!$G$8,IF(R90/IF($R$2="",100,$R$2)&lt;設定!$I$29,設定!$G$10,設定!$G$9)))</f>
        <v/>
      </c>
      <c r="U90" s="62" t="str">
        <f aca="false">IF(OR($C90="",S90=""),"",IF(S90/IF($S$2="",100,$S$2)&gt;=設定!$I$28,設定!$G$8,IF(S90/IF($S$2="",100,$S$2)&lt;設定!$I$29,設定!$G$10,設定!$G$9)))</f>
        <v/>
      </c>
    </row>
    <row r="91" customFormat="false" ht="21" hidden="false" customHeight="true" outlineLevel="0" collapsed="false">
      <c r="A91" s="91" t="str">
        <f aca="false">IF(名簿!$D91="","",名簿!$B91&amp;"")</f>
        <v/>
      </c>
      <c r="B91" s="91" t="str">
        <f aca="false">IF(名簿!$D91="","",名簿!$C91)</f>
        <v/>
      </c>
      <c r="C91" s="59" t="str">
        <f aca="false">IF(名簿!$D91="","",名簿!$D91&amp;IF(名簿!$F91="転出","（転出）",""))</f>
        <v/>
      </c>
      <c r="D91" s="149"/>
      <c r="E91" s="61" t="str">
        <f aca="false">IF(OR($C91="",名簿!$F91="転出"),"",IF($C$2="学級ごと",$A91,IF($C$2="前の単元と同じ",単元15!$E91&amp;"",$D91&amp;"")))</f>
        <v/>
      </c>
      <c r="F91" s="150"/>
      <c r="G91" s="150"/>
      <c r="H91" s="150"/>
      <c r="I91" s="151"/>
      <c r="J91" s="41" t="str">
        <f aca="false">IF($E91="","",$E91&amp;"|"&amp;COUNTIF($E$5:$E91,$E91))</f>
        <v/>
      </c>
      <c r="K91" s="40" t="str">
        <f aca="false">IF($I91="","",LEN($I91))</f>
        <v/>
      </c>
      <c r="L91" s="13"/>
      <c r="M91" s="13"/>
      <c r="N91" s="13"/>
      <c r="O91" s="13"/>
      <c r="P91" s="152"/>
      <c r="Q91" s="149"/>
      <c r="R91" s="152"/>
      <c r="S91" s="152"/>
      <c r="T91" s="62" t="str">
        <f aca="false">IF(OR($C91="",R91=""),"",IF(R91/IF($R$2="",100,$R$2)&gt;=設定!$I$28,設定!$G$8,IF(R91/IF($R$2="",100,$R$2)&lt;設定!$I$29,設定!$G$10,設定!$G$9)))</f>
        <v/>
      </c>
      <c r="U91" s="62" t="str">
        <f aca="false">IF(OR($C91="",S91=""),"",IF(S91/IF($S$2="",100,$S$2)&gt;=設定!$I$28,設定!$G$8,IF(S91/IF($S$2="",100,$S$2)&lt;設定!$I$29,設定!$G$10,設定!$G$9)))</f>
        <v/>
      </c>
    </row>
    <row r="92" customFormat="false" ht="21" hidden="false" customHeight="true" outlineLevel="0" collapsed="false">
      <c r="A92" s="91" t="str">
        <f aca="false">IF(名簿!$D92="","",名簿!$B92&amp;"")</f>
        <v/>
      </c>
      <c r="B92" s="91" t="str">
        <f aca="false">IF(名簿!$D92="","",名簿!$C92)</f>
        <v/>
      </c>
      <c r="C92" s="59" t="str">
        <f aca="false">IF(名簿!$D92="","",名簿!$D92&amp;IF(名簿!$F92="転出","（転出）",""))</f>
        <v/>
      </c>
      <c r="D92" s="149"/>
      <c r="E92" s="61" t="str">
        <f aca="false">IF(OR($C92="",名簿!$F92="転出"),"",IF($C$2="学級ごと",$A92,IF($C$2="前の単元と同じ",単元15!$E92&amp;"",$D92&amp;"")))</f>
        <v/>
      </c>
      <c r="F92" s="150"/>
      <c r="G92" s="150"/>
      <c r="H92" s="150"/>
      <c r="I92" s="151"/>
      <c r="J92" s="41" t="str">
        <f aca="false">IF($E92="","",$E92&amp;"|"&amp;COUNTIF($E$5:$E92,$E92))</f>
        <v/>
      </c>
      <c r="K92" s="40" t="str">
        <f aca="false">IF($I92="","",LEN($I92))</f>
        <v/>
      </c>
      <c r="L92" s="13"/>
      <c r="M92" s="13"/>
      <c r="N92" s="13"/>
      <c r="O92" s="13"/>
      <c r="P92" s="152"/>
      <c r="Q92" s="149"/>
      <c r="R92" s="152"/>
      <c r="S92" s="152"/>
      <c r="T92" s="62" t="str">
        <f aca="false">IF(OR($C92="",R92=""),"",IF(R92/IF($R$2="",100,$R$2)&gt;=設定!$I$28,設定!$G$8,IF(R92/IF($R$2="",100,$R$2)&lt;設定!$I$29,設定!$G$10,設定!$G$9)))</f>
        <v/>
      </c>
      <c r="U92" s="62" t="str">
        <f aca="false">IF(OR($C92="",S92=""),"",IF(S92/IF($S$2="",100,$S$2)&gt;=設定!$I$28,設定!$G$8,IF(S92/IF($S$2="",100,$S$2)&lt;設定!$I$29,設定!$G$10,設定!$G$9)))</f>
        <v/>
      </c>
    </row>
    <row r="93" customFormat="false" ht="21" hidden="false" customHeight="true" outlineLevel="0" collapsed="false">
      <c r="A93" s="91" t="str">
        <f aca="false">IF(名簿!$D93="","",名簿!$B93&amp;"")</f>
        <v/>
      </c>
      <c r="B93" s="91" t="str">
        <f aca="false">IF(名簿!$D93="","",名簿!$C93)</f>
        <v/>
      </c>
      <c r="C93" s="59" t="str">
        <f aca="false">IF(名簿!$D93="","",名簿!$D93&amp;IF(名簿!$F93="転出","（転出）",""))</f>
        <v/>
      </c>
      <c r="D93" s="149"/>
      <c r="E93" s="61" t="str">
        <f aca="false">IF(OR($C93="",名簿!$F93="転出"),"",IF($C$2="学級ごと",$A93,IF($C$2="前の単元と同じ",単元15!$E93&amp;"",$D93&amp;"")))</f>
        <v/>
      </c>
      <c r="F93" s="150"/>
      <c r="G93" s="150"/>
      <c r="H93" s="150"/>
      <c r="I93" s="151"/>
      <c r="J93" s="41" t="str">
        <f aca="false">IF($E93="","",$E93&amp;"|"&amp;COUNTIF($E$5:$E93,$E93))</f>
        <v/>
      </c>
      <c r="K93" s="40" t="str">
        <f aca="false">IF($I93="","",LEN($I93))</f>
        <v/>
      </c>
      <c r="L93" s="13"/>
      <c r="M93" s="13"/>
      <c r="N93" s="13"/>
      <c r="O93" s="13"/>
      <c r="P93" s="152"/>
      <c r="Q93" s="149"/>
      <c r="R93" s="152"/>
      <c r="S93" s="152"/>
      <c r="T93" s="62" t="str">
        <f aca="false">IF(OR($C93="",R93=""),"",IF(R93/IF($R$2="",100,$R$2)&gt;=設定!$I$28,設定!$G$8,IF(R93/IF($R$2="",100,$R$2)&lt;設定!$I$29,設定!$G$10,設定!$G$9)))</f>
        <v/>
      </c>
      <c r="U93" s="62" t="str">
        <f aca="false">IF(OR($C93="",S93=""),"",IF(S93/IF($S$2="",100,$S$2)&gt;=設定!$I$28,設定!$G$8,IF(S93/IF($S$2="",100,$S$2)&lt;設定!$I$29,設定!$G$10,設定!$G$9)))</f>
        <v/>
      </c>
    </row>
    <row r="94" customFormat="false" ht="21" hidden="false" customHeight="true" outlineLevel="0" collapsed="false">
      <c r="A94" s="91" t="str">
        <f aca="false">IF(名簿!$D94="","",名簿!$B94&amp;"")</f>
        <v/>
      </c>
      <c r="B94" s="91" t="str">
        <f aca="false">IF(名簿!$D94="","",名簿!$C94)</f>
        <v/>
      </c>
      <c r="C94" s="59" t="str">
        <f aca="false">IF(名簿!$D94="","",名簿!$D94&amp;IF(名簿!$F94="転出","（転出）",""))</f>
        <v/>
      </c>
      <c r="D94" s="149"/>
      <c r="E94" s="61" t="str">
        <f aca="false">IF(OR($C94="",名簿!$F94="転出"),"",IF($C$2="学級ごと",$A94,IF($C$2="前の単元と同じ",単元15!$E94&amp;"",$D94&amp;"")))</f>
        <v/>
      </c>
      <c r="F94" s="150"/>
      <c r="G94" s="150"/>
      <c r="H94" s="150"/>
      <c r="I94" s="151"/>
      <c r="J94" s="41" t="str">
        <f aca="false">IF($E94="","",$E94&amp;"|"&amp;COUNTIF($E$5:$E94,$E94))</f>
        <v/>
      </c>
      <c r="K94" s="40" t="str">
        <f aca="false">IF($I94="","",LEN($I94))</f>
        <v/>
      </c>
      <c r="L94" s="13"/>
      <c r="M94" s="13"/>
      <c r="N94" s="13"/>
      <c r="O94" s="13"/>
      <c r="P94" s="152"/>
      <c r="Q94" s="149"/>
      <c r="R94" s="152"/>
      <c r="S94" s="152"/>
      <c r="T94" s="62" t="str">
        <f aca="false">IF(OR($C94="",R94=""),"",IF(R94/IF($R$2="",100,$R$2)&gt;=設定!$I$28,設定!$G$8,IF(R94/IF($R$2="",100,$R$2)&lt;設定!$I$29,設定!$G$10,設定!$G$9)))</f>
        <v/>
      </c>
      <c r="U94" s="62" t="str">
        <f aca="false">IF(OR($C94="",S94=""),"",IF(S94/IF($S$2="",100,$S$2)&gt;=設定!$I$28,設定!$G$8,IF(S94/IF($S$2="",100,$S$2)&lt;設定!$I$29,設定!$G$10,設定!$G$9)))</f>
        <v/>
      </c>
    </row>
    <row r="95" customFormat="false" ht="21" hidden="false" customHeight="true" outlineLevel="0" collapsed="false">
      <c r="A95" s="91" t="str">
        <f aca="false">IF(名簿!$D95="","",名簿!$B95&amp;"")</f>
        <v/>
      </c>
      <c r="B95" s="91" t="str">
        <f aca="false">IF(名簿!$D95="","",名簿!$C95)</f>
        <v/>
      </c>
      <c r="C95" s="59" t="str">
        <f aca="false">IF(名簿!$D95="","",名簿!$D95&amp;IF(名簿!$F95="転出","（転出）",""))</f>
        <v/>
      </c>
      <c r="D95" s="149"/>
      <c r="E95" s="61" t="str">
        <f aca="false">IF(OR($C95="",名簿!$F95="転出"),"",IF($C$2="学級ごと",$A95,IF($C$2="前の単元と同じ",単元15!$E95&amp;"",$D95&amp;"")))</f>
        <v/>
      </c>
      <c r="F95" s="150"/>
      <c r="G95" s="150"/>
      <c r="H95" s="150"/>
      <c r="I95" s="151"/>
      <c r="J95" s="41" t="str">
        <f aca="false">IF($E95="","",$E95&amp;"|"&amp;COUNTIF($E$5:$E95,$E95))</f>
        <v/>
      </c>
      <c r="K95" s="40" t="str">
        <f aca="false">IF($I95="","",LEN($I95))</f>
        <v/>
      </c>
      <c r="L95" s="13"/>
      <c r="M95" s="13"/>
      <c r="N95" s="13"/>
      <c r="O95" s="13"/>
      <c r="P95" s="152"/>
      <c r="Q95" s="149"/>
      <c r="R95" s="152"/>
      <c r="S95" s="152"/>
      <c r="T95" s="62" t="str">
        <f aca="false">IF(OR($C95="",R95=""),"",IF(R95/IF($R$2="",100,$R$2)&gt;=設定!$I$28,設定!$G$8,IF(R95/IF($R$2="",100,$R$2)&lt;設定!$I$29,設定!$G$10,設定!$G$9)))</f>
        <v/>
      </c>
      <c r="U95" s="62" t="str">
        <f aca="false">IF(OR($C95="",S95=""),"",IF(S95/IF($S$2="",100,$S$2)&gt;=設定!$I$28,設定!$G$8,IF(S95/IF($S$2="",100,$S$2)&lt;設定!$I$29,設定!$G$10,設定!$G$9)))</f>
        <v/>
      </c>
    </row>
    <row r="96" customFormat="false" ht="21" hidden="false" customHeight="true" outlineLevel="0" collapsed="false">
      <c r="A96" s="91" t="str">
        <f aca="false">IF(名簿!$D96="","",名簿!$B96&amp;"")</f>
        <v/>
      </c>
      <c r="B96" s="91" t="str">
        <f aca="false">IF(名簿!$D96="","",名簿!$C96)</f>
        <v/>
      </c>
      <c r="C96" s="59" t="str">
        <f aca="false">IF(名簿!$D96="","",名簿!$D96&amp;IF(名簿!$F96="転出","（転出）",""))</f>
        <v/>
      </c>
      <c r="D96" s="149"/>
      <c r="E96" s="61" t="str">
        <f aca="false">IF(OR($C96="",名簿!$F96="転出"),"",IF($C$2="学級ごと",$A96,IF($C$2="前の単元と同じ",単元15!$E96&amp;"",$D96&amp;"")))</f>
        <v/>
      </c>
      <c r="F96" s="150"/>
      <c r="G96" s="150"/>
      <c r="H96" s="150"/>
      <c r="I96" s="151"/>
      <c r="J96" s="41" t="str">
        <f aca="false">IF($E96="","",$E96&amp;"|"&amp;COUNTIF($E$5:$E96,$E96))</f>
        <v/>
      </c>
      <c r="K96" s="40" t="str">
        <f aca="false">IF($I96="","",LEN($I96))</f>
        <v/>
      </c>
      <c r="L96" s="13"/>
      <c r="M96" s="13"/>
      <c r="N96" s="13"/>
      <c r="O96" s="13"/>
      <c r="P96" s="152"/>
      <c r="Q96" s="149"/>
      <c r="R96" s="152"/>
      <c r="S96" s="152"/>
      <c r="T96" s="62" t="str">
        <f aca="false">IF(OR($C96="",R96=""),"",IF(R96/IF($R$2="",100,$R$2)&gt;=設定!$I$28,設定!$G$8,IF(R96/IF($R$2="",100,$R$2)&lt;設定!$I$29,設定!$G$10,設定!$G$9)))</f>
        <v/>
      </c>
      <c r="U96" s="62" t="str">
        <f aca="false">IF(OR($C96="",S96=""),"",IF(S96/IF($S$2="",100,$S$2)&gt;=設定!$I$28,設定!$G$8,IF(S96/IF($S$2="",100,$S$2)&lt;設定!$I$29,設定!$G$10,設定!$G$9)))</f>
        <v/>
      </c>
    </row>
    <row r="97" customFormat="false" ht="21" hidden="false" customHeight="true" outlineLevel="0" collapsed="false">
      <c r="A97" s="91" t="str">
        <f aca="false">IF(名簿!$D97="","",名簿!$B97&amp;"")</f>
        <v/>
      </c>
      <c r="B97" s="91" t="str">
        <f aca="false">IF(名簿!$D97="","",名簿!$C97)</f>
        <v/>
      </c>
      <c r="C97" s="59" t="str">
        <f aca="false">IF(名簿!$D97="","",名簿!$D97&amp;IF(名簿!$F97="転出","（転出）",""))</f>
        <v/>
      </c>
      <c r="D97" s="149"/>
      <c r="E97" s="61" t="str">
        <f aca="false">IF(OR($C97="",名簿!$F97="転出"),"",IF($C$2="学級ごと",$A97,IF($C$2="前の単元と同じ",単元15!$E97&amp;"",$D97&amp;"")))</f>
        <v/>
      </c>
      <c r="F97" s="150"/>
      <c r="G97" s="150"/>
      <c r="H97" s="150"/>
      <c r="I97" s="151"/>
      <c r="J97" s="41" t="str">
        <f aca="false">IF($E97="","",$E97&amp;"|"&amp;COUNTIF($E$5:$E97,$E97))</f>
        <v/>
      </c>
      <c r="K97" s="40" t="str">
        <f aca="false">IF($I97="","",LEN($I97))</f>
        <v/>
      </c>
      <c r="L97" s="13"/>
      <c r="M97" s="13"/>
      <c r="N97" s="13"/>
      <c r="O97" s="13"/>
      <c r="P97" s="152"/>
      <c r="Q97" s="149"/>
      <c r="R97" s="152"/>
      <c r="S97" s="152"/>
      <c r="T97" s="62" t="str">
        <f aca="false">IF(OR($C97="",R97=""),"",IF(R97/IF($R$2="",100,$R$2)&gt;=設定!$I$28,設定!$G$8,IF(R97/IF($R$2="",100,$R$2)&lt;設定!$I$29,設定!$G$10,設定!$G$9)))</f>
        <v/>
      </c>
      <c r="U97" s="62" t="str">
        <f aca="false">IF(OR($C97="",S97=""),"",IF(S97/IF($S$2="",100,$S$2)&gt;=設定!$I$28,設定!$G$8,IF(S97/IF($S$2="",100,$S$2)&lt;設定!$I$29,設定!$G$10,設定!$G$9)))</f>
        <v/>
      </c>
    </row>
    <row r="98" customFormat="false" ht="21" hidden="false" customHeight="true" outlineLevel="0" collapsed="false">
      <c r="A98" s="91" t="str">
        <f aca="false">IF(名簿!$D98="","",名簿!$B98&amp;"")</f>
        <v/>
      </c>
      <c r="B98" s="91" t="str">
        <f aca="false">IF(名簿!$D98="","",名簿!$C98)</f>
        <v/>
      </c>
      <c r="C98" s="59" t="str">
        <f aca="false">IF(名簿!$D98="","",名簿!$D98&amp;IF(名簿!$F98="転出","（転出）",""))</f>
        <v/>
      </c>
      <c r="D98" s="149"/>
      <c r="E98" s="61" t="str">
        <f aca="false">IF(OR($C98="",名簿!$F98="転出"),"",IF($C$2="学級ごと",$A98,IF($C$2="前の単元と同じ",単元15!$E98&amp;"",$D98&amp;"")))</f>
        <v/>
      </c>
      <c r="F98" s="150"/>
      <c r="G98" s="150"/>
      <c r="H98" s="150"/>
      <c r="I98" s="151"/>
      <c r="J98" s="41" t="str">
        <f aca="false">IF($E98="","",$E98&amp;"|"&amp;COUNTIF($E$5:$E98,$E98))</f>
        <v/>
      </c>
      <c r="K98" s="40" t="str">
        <f aca="false">IF($I98="","",LEN($I98))</f>
        <v/>
      </c>
      <c r="L98" s="13"/>
      <c r="M98" s="13"/>
      <c r="N98" s="13"/>
      <c r="O98" s="13"/>
      <c r="P98" s="152"/>
      <c r="Q98" s="149"/>
      <c r="R98" s="152"/>
      <c r="S98" s="152"/>
      <c r="T98" s="62" t="str">
        <f aca="false">IF(OR($C98="",R98=""),"",IF(R98/IF($R$2="",100,$R$2)&gt;=設定!$I$28,設定!$G$8,IF(R98/IF($R$2="",100,$R$2)&lt;設定!$I$29,設定!$G$10,設定!$G$9)))</f>
        <v/>
      </c>
      <c r="U98" s="62" t="str">
        <f aca="false">IF(OR($C98="",S98=""),"",IF(S98/IF($S$2="",100,$S$2)&gt;=設定!$I$28,設定!$G$8,IF(S98/IF($S$2="",100,$S$2)&lt;設定!$I$29,設定!$G$10,設定!$G$9)))</f>
        <v/>
      </c>
    </row>
    <row r="99" customFormat="false" ht="21" hidden="false" customHeight="true" outlineLevel="0" collapsed="false">
      <c r="A99" s="91" t="str">
        <f aca="false">IF(名簿!$D99="","",名簿!$B99&amp;"")</f>
        <v/>
      </c>
      <c r="B99" s="91" t="str">
        <f aca="false">IF(名簿!$D99="","",名簿!$C99)</f>
        <v/>
      </c>
      <c r="C99" s="59" t="str">
        <f aca="false">IF(名簿!$D99="","",名簿!$D99&amp;IF(名簿!$F99="転出","（転出）",""))</f>
        <v/>
      </c>
      <c r="D99" s="149"/>
      <c r="E99" s="61" t="str">
        <f aca="false">IF(OR($C99="",名簿!$F99="転出"),"",IF($C$2="学級ごと",$A99,IF($C$2="前の単元と同じ",単元15!$E99&amp;"",$D99&amp;"")))</f>
        <v/>
      </c>
      <c r="F99" s="150"/>
      <c r="G99" s="150"/>
      <c r="H99" s="150"/>
      <c r="I99" s="151"/>
      <c r="J99" s="41" t="str">
        <f aca="false">IF($E99="","",$E99&amp;"|"&amp;COUNTIF($E$5:$E99,$E99))</f>
        <v/>
      </c>
      <c r="K99" s="40" t="str">
        <f aca="false">IF($I99="","",LEN($I99))</f>
        <v/>
      </c>
      <c r="L99" s="13"/>
      <c r="M99" s="13"/>
      <c r="N99" s="13"/>
      <c r="O99" s="13"/>
      <c r="P99" s="152"/>
      <c r="Q99" s="149"/>
      <c r="R99" s="152"/>
      <c r="S99" s="152"/>
      <c r="T99" s="62" t="str">
        <f aca="false">IF(OR($C99="",R99=""),"",IF(R99/IF($R$2="",100,$R$2)&gt;=設定!$I$28,設定!$G$8,IF(R99/IF($R$2="",100,$R$2)&lt;設定!$I$29,設定!$G$10,設定!$G$9)))</f>
        <v/>
      </c>
      <c r="U99" s="62" t="str">
        <f aca="false">IF(OR($C99="",S99=""),"",IF(S99/IF($S$2="",100,$S$2)&gt;=設定!$I$28,設定!$G$8,IF(S99/IF($S$2="",100,$S$2)&lt;設定!$I$29,設定!$G$10,設定!$G$9)))</f>
        <v/>
      </c>
    </row>
    <row r="100" customFormat="false" ht="21" hidden="false" customHeight="true" outlineLevel="0" collapsed="false">
      <c r="A100" s="91" t="str">
        <f aca="false">IF(名簿!$D100="","",名簿!$B100&amp;"")</f>
        <v/>
      </c>
      <c r="B100" s="91" t="str">
        <f aca="false">IF(名簿!$D100="","",名簿!$C100)</f>
        <v/>
      </c>
      <c r="C100" s="59" t="str">
        <f aca="false">IF(名簿!$D100="","",名簿!$D100&amp;IF(名簿!$F100="転出","（転出）",""))</f>
        <v/>
      </c>
      <c r="D100" s="149"/>
      <c r="E100" s="61" t="str">
        <f aca="false">IF(OR($C100="",名簿!$F100="転出"),"",IF($C$2="学級ごと",$A100,IF($C$2="前の単元と同じ",単元15!$E100&amp;"",$D100&amp;"")))</f>
        <v/>
      </c>
      <c r="F100" s="150"/>
      <c r="G100" s="150"/>
      <c r="H100" s="150"/>
      <c r="I100" s="151"/>
      <c r="J100" s="41" t="str">
        <f aca="false">IF($E100="","",$E100&amp;"|"&amp;COUNTIF($E$5:$E100,$E100))</f>
        <v/>
      </c>
      <c r="K100" s="40" t="str">
        <f aca="false">IF($I100="","",LEN($I100))</f>
        <v/>
      </c>
      <c r="L100" s="13"/>
      <c r="M100" s="13"/>
      <c r="N100" s="13"/>
      <c r="O100" s="13"/>
      <c r="P100" s="152"/>
      <c r="Q100" s="149"/>
      <c r="R100" s="152"/>
      <c r="S100" s="152"/>
      <c r="T100" s="62" t="str">
        <f aca="false">IF(OR($C100="",R100=""),"",IF(R100/IF($R$2="",100,$R$2)&gt;=設定!$I$28,設定!$G$8,IF(R100/IF($R$2="",100,$R$2)&lt;設定!$I$29,設定!$G$10,設定!$G$9)))</f>
        <v/>
      </c>
      <c r="U100" s="62" t="str">
        <f aca="false">IF(OR($C100="",S100=""),"",IF(S100/IF($S$2="",100,$S$2)&gt;=設定!$I$28,設定!$G$8,IF(S100/IF($S$2="",100,$S$2)&lt;設定!$I$29,設定!$G$10,設定!$G$9)))</f>
        <v/>
      </c>
    </row>
    <row r="101" customFormat="false" ht="21" hidden="false" customHeight="true" outlineLevel="0" collapsed="false">
      <c r="A101" s="91" t="str">
        <f aca="false">IF(名簿!$D101="","",名簿!$B101&amp;"")</f>
        <v/>
      </c>
      <c r="B101" s="91" t="str">
        <f aca="false">IF(名簿!$D101="","",名簿!$C101)</f>
        <v/>
      </c>
      <c r="C101" s="59" t="str">
        <f aca="false">IF(名簿!$D101="","",名簿!$D101&amp;IF(名簿!$F101="転出","（転出）",""))</f>
        <v/>
      </c>
      <c r="D101" s="149"/>
      <c r="E101" s="61" t="str">
        <f aca="false">IF(OR($C101="",名簿!$F101="転出"),"",IF($C$2="学級ごと",$A101,IF($C$2="前の単元と同じ",単元15!$E101&amp;"",$D101&amp;"")))</f>
        <v/>
      </c>
      <c r="F101" s="150"/>
      <c r="G101" s="150"/>
      <c r="H101" s="150"/>
      <c r="I101" s="151"/>
      <c r="J101" s="41" t="str">
        <f aca="false">IF($E101="","",$E101&amp;"|"&amp;COUNTIF($E$5:$E101,$E101))</f>
        <v/>
      </c>
      <c r="K101" s="40" t="str">
        <f aca="false">IF($I101="","",LEN($I101))</f>
        <v/>
      </c>
      <c r="L101" s="13"/>
      <c r="M101" s="13"/>
      <c r="N101" s="13"/>
      <c r="O101" s="13"/>
      <c r="P101" s="152"/>
      <c r="Q101" s="149"/>
      <c r="R101" s="152"/>
      <c r="S101" s="152"/>
      <c r="T101" s="62" t="str">
        <f aca="false">IF(OR($C101="",R101=""),"",IF(R101/IF($R$2="",100,$R$2)&gt;=設定!$I$28,設定!$G$8,IF(R101/IF($R$2="",100,$R$2)&lt;設定!$I$29,設定!$G$10,設定!$G$9)))</f>
        <v/>
      </c>
      <c r="U101" s="62" t="str">
        <f aca="false">IF(OR($C101="",S101=""),"",IF(S101/IF($S$2="",100,$S$2)&gt;=設定!$I$28,設定!$G$8,IF(S101/IF($S$2="",100,$S$2)&lt;設定!$I$29,設定!$G$10,設定!$G$9)))</f>
        <v/>
      </c>
    </row>
    <row r="102" customFormat="false" ht="21" hidden="false" customHeight="true" outlineLevel="0" collapsed="false">
      <c r="A102" s="91" t="str">
        <f aca="false">IF(名簿!$D102="","",名簿!$B102&amp;"")</f>
        <v/>
      </c>
      <c r="B102" s="91" t="str">
        <f aca="false">IF(名簿!$D102="","",名簿!$C102)</f>
        <v/>
      </c>
      <c r="C102" s="59" t="str">
        <f aca="false">IF(名簿!$D102="","",名簿!$D102&amp;IF(名簿!$F102="転出","（転出）",""))</f>
        <v/>
      </c>
      <c r="D102" s="149"/>
      <c r="E102" s="61" t="str">
        <f aca="false">IF(OR($C102="",名簿!$F102="転出"),"",IF($C$2="学級ごと",$A102,IF($C$2="前の単元と同じ",単元15!$E102&amp;"",$D102&amp;"")))</f>
        <v/>
      </c>
      <c r="F102" s="150"/>
      <c r="G102" s="150"/>
      <c r="H102" s="150"/>
      <c r="I102" s="151"/>
      <c r="J102" s="41" t="str">
        <f aca="false">IF($E102="","",$E102&amp;"|"&amp;COUNTIF($E$5:$E102,$E102))</f>
        <v/>
      </c>
      <c r="K102" s="40" t="str">
        <f aca="false">IF($I102="","",LEN($I102))</f>
        <v/>
      </c>
      <c r="L102" s="13"/>
      <c r="M102" s="13"/>
      <c r="N102" s="13"/>
      <c r="O102" s="13"/>
      <c r="P102" s="152"/>
      <c r="Q102" s="149"/>
      <c r="R102" s="152"/>
      <c r="S102" s="152"/>
      <c r="T102" s="62" t="str">
        <f aca="false">IF(OR($C102="",R102=""),"",IF(R102/IF($R$2="",100,$R$2)&gt;=設定!$I$28,設定!$G$8,IF(R102/IF($R$2="",100,$R$2)&lt;設定!$I$29,設定!$G$10,設定!$G$9)))</f>
        <v/>
      </c>
      <c r="U102" s="62" t="str">
        <f aca="false">IF(OR($C102="",S102=""),"",IF(S102/IF($S$2="",100,$S$2)&gt;=設定!$I$28,設定!$G$8,IF(S102/IF($S$2="",100,$S$2)&lt;設定!$I$29,設定!$G$10,設定!$G$9)))</f>
        <v/>
      </c>
    </row>
    <row r="103" customFormat="false" ht="21" hidden="false" customHeight="true" outlineLevel="0" collapsed="false">
      <c r="A103" s="91" t="str">
        <f aca="false">IF(名簿!$D103="","",名簿!$B103&amp;"")</f>
        <v/>
      </c>
      <c r="B103" s="91" t="str">
        <f aca="false">IF(名簿!$D103="","",名簿!$C103)</f>
        <v/>
      </c>
      <c r="C103" s="59" t="str">
        <f aca="false">IF(名簿!$D103="","",名簿!$D103&amp;IF(名簿!$F103="転出","（転出）",""))</f>
        <v/>
      </c>
      <c r="D103" s="149"/>
      <c r="E103" s="61" t="str">
        <f aca="false">IF(OR($C103="",名簿!$F103="転出"),"",IF($C$2="学級ごと",$A103,IF($C$2="前の単元と同じ",単元15!$E103&amp;"",$D103&amp;"")))</f>
        <v/>
      </c>
      <c r="F103" s="150"/>
      <c r="G103" s="150"/>
      <c r="H103" s="150"/>
      <c r="I103" s="151"/>
      <c r="J103" s="41" t="str">
        <f aca="false">IF($E103="","",$E103&amp;"|"&amp;COUNTIF($E$5:$E103,$E103))</f>
        <v/>
      </c>
      <c r="K103" s="40" t="str">
        <f aca="false">IF($I103="","",LEN($I103))</f>
        <v/>
      </c>
      <c r="L103" s="13"/>
      <c r="M103" s="13"/>
      <c r="N103" s="13"/>
      <c r="O103" s="13"/>
      <c r="P103" s="152"/>
      <c r="Q103" s="149"/>
      <c r="R103" s="152"/>
      <c r="S103" s="152"/>
      <c r="T103" s="62" t="str">
        <f aca="false">IF(OR($C103="",R103=""),"",IF(R103/IF($R$2="",100,$R$2)&gt;=設定!$I$28,設定!$G$8,IF(R103/IF($R$2="",100,$R$2)&lt;設定!$I$29,設定!$G$10,設定!$G$9)))</f>
        <v/>
      </c>
      <c r="U103" s="62" t="str">
        <f aca="false">IF(OR($C103="",S103=""),"",IF(S103/IF($S$2="",100,$S$2)&gt;=設定!$I$28,設定!$G$8,IF(S103/IF($S$2="",100,$S$2)&lt;設定!$I$29,設定!$G$10,設定!$G$9)))</f>
        <v/>
      </c>
    </row>
    <row r="104" customFormat="false" ht="21" hidden="false" customHeight="true" outlineLevel="0" collapsed="false">
      <c r="A104" s="91" t="str">
        <f aca="false">IF(名簿!$D104="","",名簿!$B104&amp;"")</f>
        <v/>
      </c>
      <c r="B104" s="91" t="str">
        <f aca="false">IF(名簿!$D104="","",名簿!$C104)</f>
        <v/>
      </c>
      <c r="C104" s="59" t="str">
        <f aca="false">IF(名簿!$D104="","",名簿!$D104&amp;IF(名簿!$F104="転出","（転出）",""))</f>
        <v/>
      </c>
      <c r="D104" s="149"/>
      <c r="E104" s="61" t="str">
        <f aca="false">IF(OR($C104="",名簿!$F104="転出"),"",IF($C$2="学級ごと",$A104,IF($C$2="前の単元と同じ",単元15!$E104&amp;"",$D104&amp;"")))</f>
        <v/>
      </c>
      <c r="F104" s="150"/>
      <c r="G104" s="150"/>
      <c r="H104" s="150"/>
      <c r="I104" s="151"/>
      <c r="J104" s="41" t="str">
        <f aca="false">IF($E104="","",$E104&amp;"|"&amp;COUNTIF($E$5:$E104,$E104))</f>
        <v/>
      </c>
      <c r="K104" s="40" t="str">
        <f aca="false">IF($I104="","",LEN($I104))</f>
        <v/>
      </c>
      <c r="L104" s="13"/>
      <c r="M104" s="13"/>
      <c r="N104" s="13"/>
      <c r="O104" s="13"/>
      <c r="P104" s="152"/>
      <c r="Q104" s="149"/>
      <c r="R104" s="152"/>
      <c r="S104" s="152"/>
      <c r="T104" s="62" t="str">
        <f aca="false">IF(OR($C104="",R104=""),"",IF(R104/IF($R$2="",100,$R$2)&gt;=設定!$I$28,設定!$G$8,IF(R104/IF($R$2="",100,$R$2)&lt;設定!$I$29,設定!$G$10,設定!$G$9)))</f>
        <v/>
      </c>
      <c r="U104" s="62" t="str">
        <f aca="false">IF(OR($C104="",S104=""),"",IF(S104/IF($S$2="",100,$S$2)&gt;=設定!$I$28,設定!$G$8,IF(S104/IF($S$2="",100,$S$2)&lt;設定!$I$29,設定!$G$10,設定!$G$9)))</f>
        <v/>
      </c>
    </row>
    <row r="105" customFormat="false" ht="21" hidden="false" customHeight="true" outlineLevel="0" collapsed="false">
      <c r="A105" s="91" t="str">
        <f aca="false">IF(名簿!$D105="","",名簿!$B105&amp;"")</f>
        <v/>
      </c>
      <c r="B105" s="91" t="str">
        <f aca="false">IF(名簿!$D105="","",名簿!$C105)</f>
        <v/>
      </c>
      <c r="C105" s="59" t="str">
        <f aca="false">IF(名簿!$D105="","",名簿!$D105&amp;IF(名簿!$F105="転出","（転出）",""))</f>
        <v/>
      </c>
      <c r="D105" s="149"/>
      <c r="E105" s="61" t="str">
        <f aca="false">IF(OR($C105="",名簿!$F105="転出"),"",IF($C$2="学級ごと",$A105,IF($C$2="前の単元と同じ",単元15!$E105&amp;"",$D105&amp;"")))</f>
        <v/>
      </c>
      <c r="F105" s="150"/>
      <c r="G105" s="150"/>
      <c r="H105" s="150"/>
      <c r="I105" s="151"/>
      <c r="J105" s="41" t="str">
        <f aca="false">IF($E105="","",$E105&amp;"|"&amp;COUNTIF($E$5:$E105,$E105))</f>
        <v/>
      </c>
      <c r="K105" s="40" t="str">
        <f aca="false">IF($I105="","",LEN($I105))</f>
        <v/>
      </c>
      <c r="L105" s="13"/>
      <c r="M105" s="13"/>
      <c r="N105" s="13"/>
      <c r="O105" s="13"/>
      <c r="P105" s="152"/>
      <c r="Q105" s="149"/>
      <c r="R105" s="152"/>
      <c r="S105" s="152"/>
      <c r="T105" s="62" t="str">
        <f aca="false">IF(OR($C105="",R105=""),"",IF(R105/IF($R$2="",100,$R$2)&gt;=設定!$I$28,設定!$G$8,IF(R105/IF($R$2="",100,$R$2)&lt;設定!$I$29,設定!$G$10,設定!$G$9)))</f>
        <v/>
      </c>
      <c r="U105" s="62" t="str">
        <f aca="false">IF(OR($C105="",S105=""),"",IF(S105/IF($S$2="",100,$S$2)&gt;=設定!$I$28,設定!$G$8,IF(S105/IF($S$2="",100,$S$2)&lt;設定!$I$29,設定!$G$10,設定!$G$9)))</f>
        <v/>
      </c>
    </row>
    <row r="106" customFormat="false" ht="21" hidden="false" customHeight="true" outlineLevel="0" collapsed="false">
      <c r="A106" s="91" t="str">
        <f aca="false">IF(名簿!$D106="","",名簿!$B106&amp;"")</f>
        <v/>
      </c>
      <c r="B106" s="91" t="str">
        <f aca="false">IF(名簿!$D106="","",名簿!$C106)</f>
        <v/>
      </c>
      <c r="C106" s="59" t="str">
        <f aca="false">IF(名簿!$D106="","",名簿!$D106&amp;IF(名簿!$F106="転出","（転出）",""))</f>
        <v/>
      </c>
      <c r="D106" s="149"/>
      <c r="E106" s="61" t="str">
        <f aca="false">IF(OR($C106="",名簿!$F106="転出"),"",IF($C$2="学級ごと",$A106,IF($C$2="前の単元と同じ",単元15!$E106&amp;"",$D106&amp;"")))</f>
        <v/>
      </c>
      <c r="F106" s="150"/>
      <c r="G106" s="150"/>
      <c r="H106" s="150"/>
      <c r="I106" s="151"/>
      <c r="J106" s="41" t="str">
        <f aca="false">IF($E106="","",$E106&amp;"|"&amp;COUNTIF($E$5:$E106,$E106))</f>
        <v/>
      </c>
      <c r="K106" s="40" t="str">
        <f aca="false">IF($I106="","",LEN($I106))</f>
        <v/>
      </c>
      <c r="L106" s="13"/>
      <c r="M106" s="13"/>
      <c r="N106" s="13"/>
      <c r="O106" s="13"/>
      <c r="P106" s="152"/>
      <c r="Q106" s="149"/>
      <c r="R106" s="152"/>
      <c r="S106" s="152"/>
      <c r="T106" s="62" t="str">
        <f aca="false">IF(OR($C106="",R106=""),"",IF(R106/IF($R$2="",100,$R$2)&gt;=設定!$I$28,設定!$G$8,IF(R106/IF($R$2="",100,$R$2)&lt;設定!$I$29,設定!$G$10,設定!$G$9)))</f>
        <v/>
      </c>
      <c r="U106" s="62" t="str">
        <f aca="false">IF(OR($C106="",S106=""),"",IF(S106/IF($S$2="",100,$S$2)&gt;=設定!$I$28,設定!$G$8,IF(S106/IF($S$2="",100,$S$2)&lt;設定!$I$29,設定!$G$10,設定!$G$9)))</f>
        <v/>
      </c>
    </row>
    <row r="107" customFormat="false" ht="21" hidden="false" customHeight="true" outlineLevel="0" collapsed="false">
      <c r="A107" s="91" t="str">
        <f aca="false">IF(名簿!$D107="","",名簿!$B107&amp;"")</f>
        <v/>
      </c>
      <c r="B107" s="91" t="str">
        <f aca="false">IF(名簿!$D107="","",名簿!$C107)</f>
        <v/>
      </c>
      <c r="C107" s="59" t="str">
        <f aca="false">IF(名簿!$D107="","",名簿!$D107&amp;IF(名簿!$F107="転出","（転出）",""))</f>
        <v/>
      </c>
      <c r="D107" s="149"/>
      <c r="E107" s="61" t="str">
        <f aca="false">IF(OR($C107="",名簿!$F107="転出"),"",IF($C$2="学級ごと",$A107,IF($C$2="前の単元と同じ",単元15!$E107&amp;"",$D107&amp;"")))</f>
        <v/>
      </c>
      <c r="F107" s="150"/>
      <c r="G107" s="150"/>
      <c r="H107" s="150"/>
      <c r="I107" s="151"/>
      <c r="J107" s="41" t="str">
        <f aca="false">IF($E107="","",$E107&amp;"|"&amp;COUNTIF($E$5:$E107,$E107))</f>
        <v/>
      </c>
      <c r="K107" s="40" t="str">
        <f aca="false">IF($I107="","",LEN($I107))</f>
        <v/>
      </c>
      <c r="L107" s="13"/>
      <c r="M107" s="13"/>
      <c r="N107" s="13"/>
      <c r="O107" s="13"/>
      <c r="P107" s="152"/>
      <c r="Q107" s="149"/>
      <c r="R107" s="152"/>
      <c r="S107" s="152"/>
      <c r="T107" s="62" t="str">
        <f aca="false">IF(OR($C107="",R107=""),"",IF(R107/IF($R$2="",100,$R$2)&gt;=設定!$I$28,設定!$G$8,IF(R107/IF($R$2="",100,$R$2)&lt;設定!$I$29,設定!$G$10,設定!$G$9)))</f>
        <v/>
      </c>
      <c r="U107" s="62" t="str">
        <f aca="false">IF(OR($C107="",S107=""),"",IF(S107/IF($S$2="",100,$S$2)&gt;=設定!$I$28,設定!$G$8,IF(S107/IF($S$2="",100,$S$2)&lt;設定!$I$29,設定!$G$10,設定!$G$9)))</f>
        <v/>
      </c>
    </row>
    <row r="108" customFormat="false" ht="21" hidden="false" customHeight="true" outlineLevel="0" collapsed="false">
      <c r="A108" s="91" t="str">
        <f aca="false">IF(名簿!$D108="","",名簿!$B108&amp;"")</f>
        <v/>
      </c>
      <c r="B108" s="91" t="str">
        <f aca="false">IF(名簿!$D108="","",名簿!$C108)</f>
        <v/>
      </c>
      <c r="C108" s="59" t="str">
        <f aca="false">IF(名簿!$D108="","",名簿!$D108&amp;IF(名簿!$F108="転出","（転出）",""))</f>
        <v/>
      </c>
      <c r="D108" s="149"/>
      <c r="E108" s="61" t="str">
        <f aca="false">IF(OR($C108="",名簿!$F108="転出"),"",IF($C$2="学級ごと",$A108,IF($C$2="前の単元と同じ",単元15!$E108&amp;"",$D108&amp;"")))</f>
        <v/>
      </c>
      <c r="F108" s="150"/>
      <c r="G108" s="150"/>
      <c r="H108" s="150"/>
      <c r="I108" s="151"/>
      <c r="J108" s="41" t="str">
        <f aca="false">IF($E108="","",$E108&amp;"|"&amp;COUNTIF($E$5:$E108,$E108))</f>
        <v/>
      </c>
      <c r="K108" s="40" t="str">
        <f aca="false">IF($I108="","",LEN($I108))</f>
        <v/>
      </c>
      <c r="L108" s="13"/>
      <c r="M108" s="13"/>
      <c r="N108" s="13"/>
      <c r="O108" s="13"/>
      <c r="P108" s="152"/>
      <c r="Q108" s="149"/>
      <c r="R108" s="152"/>
      <c r="S108" s="152"/>
      <c r="T108" s="62" t="str">
        <f aca="false">IF(OR($C108="",R108=""),"",IF(R108/IF($R$2="",100,$R$2)&gt;=設定!$I$28,設定!$G$8,IF(R108/IF($R$2="",100,$R$2)&lt;設定!$I$29,設定!$G$10,設定!$G$9)))</f>
        <v/>
      </c>
      <c r="U108" s="62" t="str">
        <f aca="false">IF(OR($C108="",S108=""),"",IF(S108/IF($S$2="",100,$S$2)&gt;=設定!$I$28,設定!$G$8,IF(S108/IF($S$2="",100,$S$2)&lt;設定!$I$29,設定!$G$10,設定!$G$9)))</f>
        <v/>
      </c>
    </row>
    <row r="109" customFormat="false" ht="21" hidden="false" customHeight="true" outlineLevel="0" collapsed="false">
      <c r="A109" s="91" t="str">
        <f aca="false">IF(名簿!$D109="","",名簿!$B109&amp;"")</f>
        <v/>
      </c>
      <c r="B109" s="91" t="str">
        <f aca="false">IF(名簿!$D109="","",名簿!$C109)</f>
        <v/>
      </c>
      <c r="C109" s="59" t="str">
        <f aca="false">IF(名簿!$D109="","",名簿!$D109&amp;IF(名簿!$F109="転出","（転出）",""))</f>
        <v/>
      </c>
      <c r="D109" s="149"/>
      <c r="E109" s="61" t="str">
        <f aca="false">IF(OR($C109="",名簿!$F109="転出"),"",IF($C$2="学級ごと",$A109,IF($C$2="前の単元と同じ",単元15!$E109&amp;"",$D109&amp;"")))</f>
        <v/>
      </c>
      <c r="F109" s="150"/>
      <c r="G109" s="150"/>
      <c r="H109" s="150"/>
      <c r="I109" s="151"/>
      <c r="J109" s="41" t="str">
        <f aca="false">IF($E109="","",$E109&amp;"|"&amp;COUNTIF($E$5:$E109,$E109))</f>
        <v/>
      </c>
      <c r="K109" s="40" t="str">
        <f aca="false">IF($I109="","",LEN($I109))</f>
        <v/>
      </c>
      <c r="L109" s="13"/>
      <c r="M109" s="13"/>
      <c r="N109" s="13"/>
      <c r="O109" s="13"/>
      <c r="P109" s="152"/>
      <c r="Q109" s="149"/>
      <c r="R109" s="152"/>
      <c r="S109" s="152"/>
      <c r="T109" s="62" t="str">
        <f aca="false">IF(OR($C109="",R109=""),"",IF(R109/IF($R$2="",100,$R$2)&gt;=設定!$I$28,設定!$G$8,IF(R109/IF($R$2="",100,$R$2)&lt;設定!$I$29,設定!$G$10,設定!$G$9)))</f>
        <v/>
      </c>
      <c r="U109" s="62" t="str">
        <f aca="false">IF(OR($C109="",S109=""),"",IF(S109/IF($S$2="",100,$S$2)&gt;=設定!$I$28,設定!$G$8,IF(S109/IF($S$2="",100,$S$2)&lt;設定!$I$29,設定!$G$10,設定!$G$9)))</f>
        <v/>
      </c>
    </row>
    <row r="110" customFormat="false" ht="21" hidden="false" customHeight="true" outlineLevel="0" collapsed="false">
      <c r="A110" s="91" t="str">
        <f aca="false">IF(名簿!$D110="","",名簿!$B110&amp;"")</f>
        <v/>
      </c>
      <c r="B110" s="91" t="str">
        <f aca="false">IF(名簿!$D110="","",名簿!$C110)</f>
        <v/>
      </c>
      <c r="C110" s="59" t="str">
        <f aca="false">IF(名簿!$D110="","",名簿!$D110&amp;IF(名簿!$F110="転出","（転出）",""))</f>
        <v/>
      </c>
      <c r="D110" s="149"/>
      <c r="E110" s="61" t="str">
        <f aca="false">IF(OR($C110="",名簿!$F110="転出"),"",IF($C$2="学級ごと",$A110,IF($C$2="前の単元と同じ",単元15!$E110&amp;"",$D110&amp;"")))</f>
        <v/>
      </c>
      <c r="F110" s="150"/>
      <c r="G110" s="150"/>
      <c r="H110" s="150"/>
      <c r="I110" s="151"/>
      <c r="J110" s="41" t="str">
        <f aca="false">IF($E110="","",$E110&amp;"|"&amp;COUNTIF($E$5:$E110,$E110))</f>
        <v/>
      </c>
      <c r="K110" s="40" t="str">
        <f aca="false">IF($I110="","",LEN($I110))</f>
        <v/>
      </c>
      <c r="L110" s="13"/>
      <c r="M110" s="13"/>
      <c r="N110" s="13"/>
      <c r="O110" s="13"/>
      <c r="P110" s="152"/>
      <c r="Q110" s="149"/>
      <c r="R110" s="152"/>
      <c r="S110" s="152"/>
      <c r="T110" s="62" t="str">
        <f aca="false">IF(OR($C110="",R110=""),"",IF(R110/IF($R$2="",100,$R$2)&gt;=設定!$I$28,設定!$G$8,IF(R110/IF($R$2="",100,$R$2)&lt;設定!$I$29,設定!$G$10,設定!$G$9)))</f>
        <v/>
      </c>
      <c r="U110" s="62" t="str">
        <f aca="false">IF(OR($C110="",S110=""),"",IF(S110/IF($S$2="",100,$S$2)&gt;=設定!$I$28,設定!$G$8,IF(S110/IF($S$2="",100,$S$2)&lt;設定!$I$29,設定!$G$10,設定!$G$9)))</f>
        <v/>
      </c>
    </row>
    <row r="111" customFormat="false" ht="21" hidden="false" customHeight="true" outlineLevel="0" collapsed="false">
      <c r="A111" s="91" t="str">
        <f aca="false">IF(名簿!$D111="","",名簿!$B111&amp;"")</f>
        <v/>
      </c>
      <c r="B111" s="91" t="str">
        <f aca="false">IF(名簿!$D111="","",名簿!$C111)</f>
        <v/>
      </c>
      <c r="C111" s="59" t="str">
        <f aca="false">IF(名簿!$D111="","",名簿!$D111&amp;IF(名簿!$F111="転出","（転出）",""))</f>
        <v/>
      </c>
      <c r="D111" s="149"/>
      <c r="E111" s="61" t="str">
        <f aca="false">IF(OR($C111="",名簿!$F111="転出"),"",IF($C$2="学級ごと",$A111,IF($C$2="前の単元と同じ",単元15!$E111&amp;"",$D111&amp;"")))</f>
        <v/>
      </c>
      <c r="F111" s="150"/>
      <c r="G111" s="150"/>
      <c r="H111" s="150"/>
      <c r="I111" s="151"/>
      <c r="J111" s="41" t="str">
        <f aca="false">IF($E111="","",$E111&amp;"|"&amp;COUNTIF($E$5:$E111,$E111))</f>
        <v/>
      </c>
      <c r="K111" s="40" t="str">
        <f aca="false">IF($I111="","",LEN($I111))</f>
        <v/>
      </c>
      <c r="L111" s="13"/>
      <c r="M111" s="13"/>
      <c r="N111" s="13"/>
      <c r="O111" s="13"/>
      <c r="P111" s="152"/>
      <c r="Q111" s="149"/>
      <c r="R111" s="152"/>
      <c r="S111" s="152"/>
      <c r="T111" s="62" t="str">
        <f aca="false">IF(OR($C111="",R111=""),"",IF(R111/IF($R$2="",100,$R$2)&gt;=設定!$I$28,設定!$G$8,IF(R111/IF($R$2="",100,$R$2)&lt;設定!$I$29,設定!$G$10,設定!$G$9)))</f>
        <v/>
      </c>
      <c r="U111" s="62" t="str">
        <f aca="false">IF(OR($C111="",S111=""),"",IF(S111/IF($S$2="",100,$S$2)&gt;=設定!$I$28,設定!$G$8,IF(S111/IF($S$2="",100,$S$2)&lt;設定!$I$29,設定!$G$10,設定!$G$9)))</f>
        <v/>
      </c>
    </row>
    <row r="112" customFormat="false" ht="21" hidden="false" customHeight="true" outlineLevel="0" collapsed="false">
      <c r="A112" s="91" t="str">
        <f aca="false">IF(名簿!$D112="","",名簿!$B112&amp;"")</f>
        <v/>
      </c>
      <c r="B112" s="91" t="str">
        <f aca="false">IF(名簿!$D112="","",名簿!$C112)</f>
        <v/>
      </c>
      <c r="C112" s="59" t="str">
        <f aca="false">IF(名簿!$D112="","",名簿!$D112&amp;IF(名簿!$F112="転出","（転出）",""))</f>
        <v/>
      </c>
      <c r="D112" s="149"/>
      <c r="E112" s="61" t="str">
        <f aca="false">IF(OR($C112="",名簿!$F112="転出"),"",IF($C$2="学級ごと",$A112,IF($C$2="前の単元と同じ",単元15!$E112&amp;"",$D112&amp;"")))</f>
        <v/>
      </c>
      <c r="F112" s="150"/>
      <c r="G112" s="150"/>
      <c r="H112" s="150"/>
      <c r="I112" s="151"/>
      <c r="J112" s="41" t="str">
        <f aca="false">IF($E112="","",$E112&amp;"|"&amp;COUNTIF($E$5:$E112,$E112))</f>
        <v/>
      </c>
      <c r="K112" s="40" t="str">
        <f aca="false">IF($I112="","",LEN($I112))</f>
        <v/>
      </c>
      <c r="L112" s="13"/>
      <c r="M112" s="13"/>
      <c r="N112" s="13"/>
      <c r="O112" s="13"/>
      <c r="P112" s="152"/>
      <c r="Q112" s="149"/>
      <c r="R112" s="152"/>
      <c r="S112" s="152"/>
      <c r="T112" s="62" t="str">
        <f aca="false">IF(OR($C112="",R112=""),"",IF(R112/IF($R$2="",100,$R$2)&gt;=設定!$I$28,設定!$G$8,IF(R112/IF($R$2="",100,$R$2)&lt;設定!$I$29,設定!$G$10,設定!$G$9)))</f>
        <v/>
      </c>
      <c r="U112" s="62" t="str">
        <f aca="false">IF(OR($C112="",S112=""),"",IF(S112/IF($S$2="",100,$S$2)&gt;=設定!$I$28,設定!$G$8,IF(S112/IF($S$2="",100,$S$2)&lt;設定!$I$29,設定!$G$10,設定!$G$9)))</f>
        <v/>
      </c>
    </row>
    <row r="113" customFormat="false" ht="21" hidden="false" customHeight="true" outlineLevel="0" collapsed="false">
      <c r="A113" s="91" t="str">
        <f aca="false">IF(名簿!$D113="","",名簿!$B113&amp;"")</f>
        <v/>
      </c>
      <c r="B113" s="91" t="str">
        <f aca="false">IF(名簿!$D113="","",名簿!$C113)</f>
        <v/>
      </c>
      <c r="C113" s="59" t="str">
        <f aca="false">IF(名簿!$D113="","",名簿!$D113&amp;IF(名簿!$F113="転出","（転出）",""))</f>
        <v/>
      </c>
      <c r="D113" s="149"/>
      <c r="E113" s="61" t="str">
        <f aca="false">IF(OR($C113="",名簿!$F113="転出"),"",IF($C$2="学級ごと",$A113,IF($C$2="前の単元と同じ",単元15!$E113&amp;"",$D113&amp;"")))</f>
        <v/>
      </c>
      <c r="F113" s="150"/>
      <c r="G113" s="150"/>
      <c r="H113" s="150"/>
      <c r="I113" s="151"/>
      <c r="J113" s="41" t="str">
        <f aca="false">IF($E113="","",$E113&amp;"|"&amp;COUNTIF($E$5:$E113,$E113))</f>
        <v/>
      </c>
      <c r="K113" s="40" t="str">
        <f aca="false">IF($I113="","",LEN($I113))</f>
        <v/>
      </c>
      <c r="L113" s="13"/>
      <c r="M113" s="13"/>
      <c r="N113" s="13"/>
      <c r="O113" s="13"/>
      <c r="P113" s="152"/>
      <c r="Q113" s="149"/>
      <c r="R113" s="152"/>
      <c r="S113" s="152"/>
      <c r="T113" s="62" t="str">
        <f aca="false">IF(OR($C113="",R113=""),"",IF(R113/IF($R$2="",100,$R$2)&gt;=設定!$I$28,設定!$G$8,IF(R113/IF($R$2="",100,$R$2)&lt;設定!$I$29,設定!$G$10,設定!$G$9)))</f>
        <v/>
      </c>
      <c r="U113" s="62" t="str">
        <f aca="false">IF(OR($C113="",S113=""),"",IF(S113/IF($S$2="",100,$S$2)&gt;=設定!$I$28,設定!$G$8,IF(S113/IF($S$2="",100,$S$2)&lt;設定!$I$29,設定!$G$10,設定!$G$9)))</f>
        <v/>
      </c>
    </row>
    <row r="114" customFormat="false" ht="21" hidden="false" customHeight="true" outlineLevel="0" collapsed="false">
      <c r="A114" s="91" t="str">
        <f aca="false">IF(名簿!$D114="","",名簿!$B114&amp;"")</f>
        <v/>
      </c>
      <c r="B114" s="91" t="str">
        <f aca="false">IF(名簿!$D114="","",名簿!$C114)</f>
        <v/>
      </c>
      <c r="C114" s="59" t="str">
        <f aca="false">IF(名簿!$D114="","",名簿!$D114&amp;IF(名簿!$F114="転出","（転出）",""))</f>
        <v/>
      </c>
      <c r="D114" s="149"/>
      <c r="E114" s="61" t="str">
        <f aca="false">IF(OR($C114="",名簿!$F114="転出"),"",IF($C$2="学級ごと",$A114,IF($C$2="前の単元と同じ",単元15!$E114&amp;"",$D114&amp;"")))</f>
        <v/>
      </c>
      <c r="F114" s="150"/>
      <c r="G114" s="150"/>
      <c r="H114" s="150"/>
      <c r="I114" s="151"/>
      <c r="J114" s="41" t="str">
        <f aca="false">IF($E114="","",$E114&amp;"|"&amp;COUNTIF($E$5:$E114,$E114))</f>
        <v/>
      </c>
      <c r="K114" s="40" t="str">
        <f aca="false">IF($I114="","",LEN($I114))</f>
        <v/>
      </c>
      <c r="L114" s="13"/>
      <c r="M114" s="13"/>
      <c r="N114" s="13"/>
      <c r="O114" s="13"/>
      <c r="P114" s="152"/>
      <c r="Q114" s="149"/>
      <c r="R114" s="152"/>
      <c r="S114" s="152"/>
      <c r="T114" s="62" t="str">
        <f aca="false">IF(OR($C114="",R114=""),"",IF(R114/IF($R$2="",100,$R$2)&gt;=設定!$I$28,設定!$G$8,IF(R114/IF($R$2="",100,$R$2)&lt;設定!$I$29,設定!$G$10,設定!$G$9)))</f>
        <v/>
      </c>
      <c r="U114" s="62" t="str">
        <f aca="false">IF(OR($C114="",S114=""),"",IF(S114/IF($S$2="",100,$S$2)&gt;=設定!$I$28,設定!$G$8,IF(S114/IF($S$2="",100,$S$2)&lt;設定!$I$29,設定!$G$10,設定!$G$9)))</f>
        <v/>
      </c>
    </row>
    <row r="115" customFormat="false" ht="21" hidden="false" customHeight="true" outlineLevel="0" collapsed="false">
      <c r="A115" s="91" t="str">
        <f aca="false">IF(名簿!$D115="","",名簿!$B115&amp;"")</f>
        <v/>
      </c>
      <c r="B115" s="91" t="str">
        <f aca="false">IF(名簿!$D115="","",名簿!$C115)</f>
        <v/>
      </c>
      <c r="C115" s="59" t="str">
        <f aca="false">IF(名簿!$D115="","",名簿!$D115&amp;IF(名簿!$F115="転出","（転出）",""))</f>
        <v/>
      </c>
      <c r="D115" s="149"/>
      <c r="E115" s="61" t="str">
        <f aca="false">IF(OR($C115="",名簿!$F115="転出"),"",IF($C$2="学級ごと",$A115,IF($C$2="前の単元と同じ",単元15!$E115&amp;"",$D115&amp;"")))</f>
        <v/>
      </c>
      <c r="F115" s="150"/>
      <c r="G115" s="150"/>
      <c r="H115" s="150"/>
      <c r="I115" s="151"/>
      <c r="J115" s="41" t="str">
        <f aca="false">IF($E115="","",$E115&amp;"|"&amp;COUNTIF($E$5:$E115,$E115))</f>
        <v/>
      </c>
      <c r="K115" s="40" t="str">
        <f aca="false">IF($I115="","",LEN($I115))</f>
        <v/>
      </c>
      <c r="L115" s="13"/>
      <c r="M115" s="13"/>
      <c r="N115" s="13"/>
      <c r="O115" s="13"/>
      <c r="P115" s="152"/>
      <c r="Q115" s="149"/>
      <c r="R115" s="152"/>
      <c r="S115" s="152"/>
      <c r="T115" s="62" t="str">
        <f aca="false">IF(OR($C115="",R115=""),"",IF(R115/IF($R$2="",100,$R$2)&gt;=設定!$I$28,設定!$G$8,IF(R115/IF($R$2="",100,$R$2)&lt;設定!$I$29,設定!$G$10,設定!$G$9)))</f>
        <v/>
      </c>
      <c r="U115" s="62" t="str">
        <f aca="false">IF(OR($C115="",S115=""),"",IF(S115/IF($S$2="",100,$S$2)&gt;=設定!$I$28,設定!$G$8,IF(S115/IF($S$2="",100,$S$2)&lt;設定!$I$29,設定!$G$10,設定!$G$9)))</f>
        <v/>
      </c>
    </row>
    <row r="116" customFormat="false" ht="21" hidden="false" customHeight="true" outlineLevel="0" collapsed="false">
      <c r="A116" s="91" t="str">
        <f aca="false">IF(名簿!$D116="","",名簿!$B116&amp;"")</f>
        <v/>
      </c>
      <c r="B116" s="91" t="str">
        <f aca="false">IF(名簿!$D116="","",名簿!$C116)</f>
        <v/>
      </c>
      <c r="C116" s="59" t="str">
        <f aca="false">IF(名簿!$D116="","",名簿!$D116&amp;IF(名簿!$F116="転出","（転出）",""))</f>
        <v/>
      </c>
      <c r="D116" s="149"/>
      <c r="E116" s="61" t="str">
        <f aca="false">IF(OR($C116="",名簿!$F116="転出"),"",IF($C$2="学級ごと",$A116,IF($C$2="前の単元と同じ",単元15!$E116&amp;"",$D116&amp;"")))</f>
        <v/>
      </c>
      <c r="F116" s="150"/>
      <c r="G116" s="150"/>
      <c r="H116" s="150"/>
      <c r="I116" s="151"/>
      <c r="J116" s="41" t="str">
        <f aca="false">IF($E116="","",$E116&amp;"|"&amp;COUNTIF($E$5:$E116,$E116))</f>
        <v/>
      </c>
      <c r="K116" s="40" t="str">
        <f aca="false">IF($I116="","",LEN($I116))</f>
        <v/>
      </c>
      <c r="L116" s="13"/>
      <c r="M116" s="13"/>
      <c r="N116" s="13"/>
      <c r="O116" s="13"/>
      <c r="P116" s="152"/>
      <c r="Q116" s="149"/>
      <c r="R116" s="152"/>
      <c r="S116" s="152"/>
      <c r="T116" s="62" t="str">
        <f aca="false">IF(OR($C116="",R116=""),"",IF(R116/IF($R$2="",100,$R$2)&gt;=設定!$I$28,設定!$G$8,IF(R116/IF($R$2="",100,$R$2)&lt;設定!$I$29,設定!$G$10,設定!$G$9)))</f>
        <v/>
      </c>
      <c r="U116" s="62" t="str">
        <f aca="false">IF(OR($C116="",S116=""),"",IF(S116/IF($S$2="",100,$S$2)&gt;=設定!$I$28,設定!$G$8,IF(S116/IF($S$2="",100,$S$2)&lt;設定!$I$29,設定!$G$10,設定!$G$9)))</f>
        <v/>
      </c>
    </row>
    <row r="117" customFormat="false" ht="21" hidden="false" customHeight="true" outlineLevel="0" collapsed="false">
      <c r="A117" s="91" t="str">
        <f aca="false">IF(名簿!$D117="","",名簿!$B117&amp;"")</f>
        <v/>
      </c>
      <c r="B117" s="91" t="str">
        <f aca="false">IF(名簿!$D117="","",名簿!$C117)</f>
        <v/>
      </c>
      <c r="C117" s="59" t="str">
        <f aca="false">IF(名簿!$D117="","",名簿!$D117&amp;IF(名簿!$F117="転出","（転出）",""))</f>
        <v/>
      </c>
      <c r="D117" s="149"/>
      <c r="E117" s="61" t="str">
        <f aca="false">IF(OR($C117="",名簿!$F117="転出"),"",IF($C$2="学級ごと",$A117,IF($C$2="前の単元と同じ",単元15!$E117&amp;"",$D117&amp;"")))</f>
        <v/>
      </c>
      <c r="F117" s="150"/>
      <c r="G117" s="150"/>
      <c r="H117" s="150"/>
      <c r="I117" s="151"/>
      <c r="J117" s="41" t="str">
        <f aca="false">IF($E117="","",$E117&amp;"|"&amp;COUNTIF($E$5:$E117,$E117))</f>
        <v/>
      </c>
      <c r="K117" s="40" t="str">
        <f aca="false">IF($I117="","",LEN($I117))</f>
        <v/>
      </c>
      <c r="L117" s="13"/>
      <c r="M117" s="13"/>
      <c r="N117" s="13"/>
      <c r="O117" s="13"/>
      <c r="P117" s="152"/>
      <c r="Q117" s="149"/>
      <c r="R117" s="152"/>
      <c r="S117" s="152"/>
      <c r="T117" s="62" t="str">
        <f aca="false">IF(OR($C117="",R117=""),"",IF(R117/IF($R$2="",100,$R$2)&gt;=設定!$I$28,設定!$G$8,IF(R117/IF($R$2="",100,$R$2)&lt;設定!$I$29,設定!$G$10,設定!$G$9)))</f>
        <v/>
      </c>
      <c r="U117" s="62" t="str">
        <f aca="false">IF(OR($C117="",S117=""),"",IF(S117/IF($S$2="",100,$S$2)&gt;=設定!$I$28,設定!$G$8,IF(S117/IF($S$2="",100,$S$2)&lt;設定!$I$29,設定!$G$10,設定!$G$9)))</f>
        <v/>
      </c>
    </row>
    <row r="118" customFormat="false" ht="21" hidden="false" customHeight="true" outlineLevel="0" collapsed="false">
      <c r="A118" s="91" t="str">
        <f aca="false">IF(名簿!$D118="","",名簿!$B118&amp;"")</f>
        <v/>
      </c>
      <c r="B118" s="91" t="str">
        <f aca="false">IF(名簿!$D118="","",名簿!$C118)</f>
        <v/>
      </c>
      <c r="C118" s="59" t="str">
        <f aca="false">IF(名簿!$D118="","",名簿!$D118&amp;IF(名簿!$F118="転出","（転出）",""))</f>
        <v/>
      </c>
      <c r="D118" s="149"/>
      <c r="E118" s="61" t="str">
        <f aca="false">IF(OR($C118="",名簿!$F118="転出"),"",IF($C$2="学級ごと",$A118,IF($C$2="前の単元と同じ",単元15!$E118&amp;"",$D118&amp;"")))</f>
        <v/>
      </c>
      <c r="F118" s="150"/>
      <c r="G118" s="150"/>
      <c r="H118" s="150"/>
      <c r="I118" s="151"/>
      <c r="J118" s="41" t="str">
        <f aca="false">IF($E118="","",$E118&amp;"|"&amp;COUNTIF($E$5:$E118,$E118))</f>
        <v/>
      </c>
      <c r="K118" s="40" t="str">
        <f aca="false">IF($I118="","",LEN($I118))</f>
        <v/>
      </c>
      <c r="L118" s="13"/>
      <c r="M118" s="13"/>
      <c r="N118" s="13"/>
      <c r="O118" s="13"/>
      <c r="P118" s="152"/>
      <c r="Q118" s="149"/>
      <c r="R118" s="152"/>
      <c r="S118" s="152"/>
      <c r="T118" s="62" t="str">
        <f aca="false">IF(OR($C118="",R118=""),"",IF(R118/IF($R$2="",100,$R$2)&gt;=設定!$I$28,設定!$G$8,IF(R118/IF($R$2="",100,$R$2)&lt;設定!$I$29,設定!$G$10,設定!$G$9)))</f>
        <v/>
      </c>
      <c r="U118" s="62" t="str">
        <f aca="false">IF(OR($C118="",S118=""),"",IF(S118/IF($S$2="",100,$S$2)&gt;=設定!$I$28,設定!$G$8,IF(S118/IF($S$2="",100,$S$2)&lt;設定!$I$29,設定!$G$10,設定!$G$9)))</f>
        <v/>
      </c>
    </row>
    <row r="119" customFormat="false" ht="21" hidden="false" customHeight="true" outlineLevel="0" collapsed="false">
      <c r="A119" s="91" t="str">
        <f aca="false">IF(名簿!$D119="","",名簿!$B119&amp;"")</f>
        <v/>
      </c>
      <c r="B119" s="91" t="str">
        <f aca="false">IF(名簿!$D119="","",名簿!$C119)</f>
        <v/>
      </c>
      <c r="C119" s="59" t="str">
        <f aca="false">IF(名簿!$D119="","",名簿!$D119&amp;IF(名簿!$F119="転出","（転出）",""))</f>
        <v/>
      </c>
      <c r="D119" s="149"/>
      <c r="E119" s="61" t="str">
        <f aca="false">IF(OR($C119="",名簿!$F119="転出"),"",IF($C$2="学級ごと",$A119,IF($C$2="前の単元と同じ",単元15!$E119&amp;"",$D119&amp;"")))</f>
        <v/>
      </c>
      <c r="F119" s="150"/>
      <c r="G119" s="150"/>
      <c r="H119" s="150"/>
      <c r="I119" s="151"/>
      <c r="J119" s="41" t="str">
        <f aca="false">IF($E119="","",$E119&amp;"|"&amp;COUNTIF($E$5:$E119,$E119))</f>
        <v/>
      </c>
      <c r="K119" s="40" t="str">
        <f aca="false">IF($I119="","",LEN($I119))</f>
        <v/>
      </c>
      <c r="L119" s="13"/>
      <c r="M119" s="13"/>
      <c r="N119" s="13"/>
      <c r="O119" s="13"/>
      <c r="P119" s="152"/>
      <c r="Q119" s="149"/>
      <c r="R119" s="152"/>
      <c r="S119" s="152"/>
      <c r="T119" s="62" t="str">
        <f aca="false">IF(OR($C119="",R119=""),"",IF(R119/IF($R$2="",100,$R$2)&gt;=設定!$I$28,設定!$G$8,IF(R119/IF($R$2="",100,$R$2)&lt;設定!$I$29,設定!$G$10,設定!$G$9)))</f>
        <v/>
      </c>
      <c r="U119" s="62" t="str">
        <f aca="false">IF(OR($C119="",S119=""),"",IF(S119/IF($S$2="",100,$S$2)&gt;=設定!$I$28,設定!$G$8,IF(S119/IF($S$2="",100,$S$2)&lt;設定!$I$29,設定!$G$10,設定!$G$9)))</f>
        <v/>
      </c>
    </row>
    <row r="120" customFormat="false" ht="21" hidden="false" customHeight="true" outlineLevel="0" collapsed="false">
      <c r="A120" s="91" t="str">
        <f aca="false">IF(名簿!$D120="","",名簿!$B120&amp;"")</f>
        <v/>
      </c>
      <c r="B120" s="91" t="str">
        <f aca="false">IF(名簿!$D120="","",名簿!$C120)</f>
        <v/>
      </c>
      <c r="C120" s="59" t="str">
        <f aca="false">IF(名簿!$D120="","",名簿!$D120&amp;IF(名簿!$F120="転出","（転出）",""))</f>
        <v/>
      </c>
      <c r="D120" s="149"/>
      <c r="E120" s="61" t="str">
        <f aca="false">IF(OR($C120="",名簿!$F120="転出"),"",IF($C$2="学級ごと",$A120,IF($C$2="前の単元と同じ",単元15!$E120&amp;"",$D120&amp;"")))</f>
        <v/>
      </c>
      <c r="F120" s="150"/>
      <c r="G120" s="150"/>
      <c r="H120" s="150"/>
      <c r="I120" s="151"/>
      <c r="J120" s="41" t="str">
        <f aca="false">IF($E120="","",$E120&amp;"|"&amp;COUNTIF($E$5:$E120,$E120))</f>
        <v/>
      </c>
      <c r="K120" s="40" t="str">
        <f aca="false">IF($I120="","",LEN($I120))</f>
        <v/>
      </c>
      <c r="L120" s="13"/>
      <c r="M120" s="13"/>
      <c r="N120" s="13"/>
      <c r="O120" s="13"/>
      <c r="P120" s="152"/>
      <c r="Q120" s="149"/>
      <c r="R120" s="152"/>
      <c r="S120" s="152"/>
      <c r="T120" s="62" t="str">
        <f aca="false">IF(OR($C120="",R120=""),"",IF(R120/IF($R$2="",100,$R$2)&gt;=設定!$I$28,設定!$G$8,IF(R120/IF($R$2="",100,$R$2)&lt;設定!$I$29,設定!$G$10,設定!$G$9)))</f>
        <v/>
      </c>
      <c r="U120" s="62" t="str">
        <f aca="false">IF(OR($C120="",S120=""),"",IF(S120/IF($S$2="",100,$S$2)&gt;=設定!$I$28,設定!$G$8,IF(S120/IF($S$2="",100,$S$2)&lt;設定!$I$29,設定!$G$10,設定!$G$9)))</f>
        <v/>
      </c>
    </row>
    <row r="121" customFormat="false" ht="21" hidden="false" customHeight="true" outlineLevel="0" collapsed="false">
      <c r="A121" s="91" t="str">
        <f aca="false">IF(名簿!$D121="","",名簿!$B121&amp;"")</f>
        <v/>
      </c>
      <c r="B121" s="91" t="str">
        <f aca="false">IF(名簿!$D121="","",名簿!$C121)</f>
        <v/>
      </c>
      <c r="C121" s="59" t="str">
        <f aca="false">IF(名簿!$D121="","",名簿!$D121&amp;IF(名簿!$F121="転出","（転出）",""))</f>
        <v/>
      </c>
      <c r="D121" s="149"/>
      <c r="E121" s="61" t="str">
        <f aca="false">IF(OR($C121="",名簿!$F121="転出"),"",IF($C$2="学級ごと",$A121,IF($C$2="前の単元と同じ",単元15!$E121&amp;"",$D121&amp;"")))</f>
        <v/>
      </c>
      <c r="F121" s="150"/>
      <c r="G121" s="150"/>
      <c r="H121" s="150"/>
      <c r="I121" s="151"/>
      <c r="J121" s="41" t="str">
        <f aca="false">IF($E121="","",$E121&amp;"|"&amp;COUNTIF($E$5:$E121,$E121))</f>
        <v/>
      </c>
      <c r="K121" s="40" t="str">
        <f aca="false">IF($I121="","",LEN($I121))</f>
        <v/>
      </c>
      <c r="L121" s="13"/>
      <c r="M121" s="13"/>
      <c r="N121" s="13"/>
      <c r="O121" s="13"/>
      <c r="P121" s="152"/>
      <c r="Q121" s="149"/>
      <c r="R121" s="152"/>
      <c r="S121" s="152"/>
      <c r="T121" s="62" t="str">
        <f aca="false">IF(OR($C121="",R121=""),"",IF(R121/IF($R$2="",100,$R$2)&gt;=設定!$I$28,設定!$G$8,IF(R121/IF($R$2="",100,$R$2)&lt;設定!$I$29,設定!$G$10,設定!$G$9)))</f>
        <v/>
      </c>
      <c r="U121" s="62" t="str">
        <f aca="false">IF(OR($C121="",S121=""),"",IF(S121/IF($S$2="",100,$S$2)&gt;=設定!$I$28,設定!$G$8,IF(S121/IF($S$2="",100,$S$2)&lt;設定!$I$29,設定!$G$10,設定!$G$9)))</f>
        <v/>
      </c>
    </row>
    <row r="122" customFormat="false" ht="21" hidden="false" customHeight="true" outlineLevel="0" collapsed="false">
      <c r="A122" s="91" t="str">
        <f aca="false">IF(名簿!$D122="","",名簿!$B122&amp;"")</f>
        <v/>
      </c>
      <c r="B122" s="91" t="str">
        <f aca="false">IF(名簿!$D122="","",名簿!$C122)</f>
        <v/>
      </c>
      <c r="C122" s="59" t="str">
        <f aca="false">IF(名簿!$D122="","",名簿!$D122&amp;IF(名簿!$F122="転出","（転出）",""))</f>
        <v/>
      </c>
      <c r="D122" s="149"/>
      <c r="E122" s="61" t="str">
        <f aca="false">IF(OR($C122="",名簿!$F122="転出"),"",IF($C$2="学級ごと",$A122,IF($C$2="前の単元と同じ",単元15!$E122&amp;"",$D122&amp;"")))</f>
        <v/>
      </c>
      <c r="F122" s="150"/>
      <c r="G122" s="150"/>
      <c r="H122" s="150"/>
      <c r="I122" s="151"/>
      <c r="J122" s="41" t="str">
        <f aca="false">IF($E122="","",$E122&amp;"|"&amp;COUNTIF($E$5:$E122,$E122))</f>
        <v/>
      </c>
      <c r="K122" s="40" t="str">
        <f aca="false">IF($I122="","",LEN($I122))</f>
        <v/>
      </c>
      <c r="L122" s="13"/>
      <c r="M122" s="13"/>
      <c r="N122" s="13"/>
      <c r="O122" s="13"/>
      <c r="P122" s="152"/>
      <c r="Q122" s="149"/>
      <c r="R122" s="152"/>
      <c r="S122" s="152"/>
      <c r="T122" s="62" t="str">
        <f aca="false">IF(OR($C122="",R122=""),"",IF(R122/IF($R$2="",100,$R$2)&gt;=設定!$I$28,設定!$G$8,IF(R122/IF($R$2="",100,$R$2)&lt;設定!$I$29,設定!$G$10,設定!$G$9)))</f>
        <v/>
      </c>
      <c r="U122" s="62" t="str">
        <f aca="false">IF(OR($C122="",S122=""),"",IF(S122/IF($S$2="",100,$S$2)&gt;=設定!$I$28,設定!$G$8,IF(S122/IF($S$2="",100,$S$2)&lt;設定!$I$29,設定!$G$10,設定!$G$9)))</f>
        <v/>
      </c>
    </row>
    <row r="123" customFormat="false" ht="21" hidden="false" customHeight="true" outlineLevel="0" collapsed="false">
      <c r="A123" s="91" t="str">
        <f aca="false">IF(名簿!$D123="","",名簿!$B123&amp;"")</f>
        <v/>
      </c>
      <c r="B123" s="91" t="str">
        <f aca="false">IF(名簿!$D123="","",名簿!$C123)</f>
        <v/>
      </c>
      <c r="C123" s="59" t="str">
        <f aca="false">IF(名簿!$D123="","",名簿!$D123&amp;IF(名簿!$F123="転出","（転出）",""))</f>
        <v/>
      </c>
      <c r="D123" s="149"/>
      <c r="E123" s="61" t="str">
        <f aca="false">IF(OR($C123="",名簿!$F123="転出"),"",IF($C$2="学級ごと",$A123,IF($C$2="前の単元と同じ",単元15!$E123&amp;"",$D123&amp;"")))</f>
        <v/>
      </c>
      <c r="F123" s="150"/>
      <c r="G123" s="150"/>
      <c r="H123" s="150"/>
      <c r="I123" s="151"/>
      <c r="J123" s="41" t="str">
        <f aca="false">IF($E123="","",$E123&amp;"|"&amp;COUNTIF($E$5:$E123,$E123))</f>
        <v/>
      </c>
      <c r="K123" s="40" t="str">
        <f aca="false">IF($I123="","",LEN($I123))</f>
        <v/>
      </c>
      <c r="L123" s="13"/>
      <c r="M123" s="13"/>
      <c r="N123" s="13"/>
      <c r="O123" s="13"/>
      <c r="P123" s="152"/>
      <c r="Q123" s="149"/>
      <c r="R123" s="152"/>
      <c r="S123" s="152"/>
      <c r="T123" s="62" t="str">
        <f aca="false">IF(OR($C123="",R123=""),"",IF(R123/IF($R$2="",100,$R$2)&gt;=設定!$I$28,設定!$G$8,IF(R123/IF($R$2="",100,$R$2)&lt;設定!$I$29,設定!$G$10,設定!$G$9)))</f>
        <v/>
      </c>
      <c r="U123" s="62" t="str">
        <f aca="false">IF(OR($C123="",S123=""),"",IF(S123/IF($S$2="",100,$S$2)&gt;=設定!$I$28,設定!$G$8,IF(S123/IF($S$2="",100,$S$2)&lt;設定!$I$29,設定!$G$10,設定!$G$9)))</f>
        <v/>
      </c>
    </row>
    <row r="124" customFormat="false" ht="21" hidden="false" customHeight="true" outlineLevel="0" collapsed="false">
      <c r="A124" s="91" t="str">
        <f aca="false">IF(名簿!$D124="","",名簿!$B124&amp;"")</f>
        <v/>
      </c>
      <c r="B124" s="91" t="str">
        <f aca="false">IF(名簿!$D124="","",名簿!$C124)</f>
        <v/>
      </c>
      <c r="C124" s="59" t="str">
        <f aca="false">IF(名簿!$D124="","",名簿!$D124&amp;IF(名簿!$F124="転出","（転出）",""))</f>
        <v/>
      </c>
      <c r="D124" s="149"/>
      <c r="E124" s="61" t="str">
        <f aca="false">IF(OR($C124="",名簿!$F124="転出"),"",IF($C$2="学級ごと",$A124,IF($C$2="前の単元と同じ",単元15!$E124&amp;"",$D124&amp;"")))</f>
        <v/>
      </c>
      <c r="F124" s="150"/>
      <c r="G124" s="150"/>
      <c r="H124" s="150"/>
      <c r="I124" s="151"/>
      <c r="J124" s="41" t="str">
        <f aca="false">IF($E124="","",$E124&amp;"|"&amp;COUNTIF($E$5:$E124,$E124))</f>
        <v/>
      </c>
      <c r="K124" s="40" t="str">
        <f aca="false">IF($I124="","",LEN($I124))</f>
        <v/>
      </c>
      <c r="L124" s="13"/>
      <c r="M124" s="13"/>
      <c r="N124" s="13"/>
      <c r="O124" s="13"/>
      <c r="P124" s="152"/>
      <c r="Q124" s="149"/>
      <c r="R124" s="152"/>
      <c r="S124" s="152"/>
      <c r="T124" s="62" t="str">
        <f aca="false">IF(OR($C124="",R124=""),"",IF(R124/IF($R$2="",100,$R$2)&gt;=設定!$I$28,設定!$G$8,IF(R124/IF($R$2="",100,$R$2)&lt;設定!$I$29,設定!$G$10,設定!$G$9)))</f>
        <v/>
      </c>
      <c r="U124" s="62" t="str">
        <f aca="false">IF(OR($C124="",S124=""),"",IF(S124/IF($S$2="",100,$S$2)&gt;=設定!$I$28,設定!$G$8,IF(S124/IF($S$2="",100,$S$2)&lt;設定!$I$29,設定!$G$10,設定!$G$9)))</f>
        <v/>
      </c>
    </row>
    <row r="125" customFormat="false" ht="21" hidden="false" customHeight="true" outlineLevel="0" collapsed="false">
      <c r="A125" s="91" t="str">
        <f aca="false">IF(名簿!$D125="","",名簿!$B125&amp;"")</f>
        <v/>
      </c>
      <c r="B125" s="91" t="str">
        <f aca="false">IF(名簿!$D125="","",名簿!$C125)</f>
        <v/>
      </c>
      <c r="C125" s="59" t="str">
        <f aca="false">IF(名簿!$D125="","",名簿!$D125&amp;IF(名簿!$F125="転出","（転出）",""))</f>
        <v/>
      </c>
      <c r="D125" s="149"/>
      <c r="E125" s="61" t="str">
        <f aca="false">IF(OR($C125="",名簿!$F125="転出"),"",IF($C$2="学級ごと",$A125,IF($C$2="前の単元と同じ",単元15!$E125&amp;"",$D125&amp;"")))</f>
        <v/>
      </c>
      <c r="F125" s="150"/>
      <c r="G125" s="150"/>
      <c r="H125" s="150"/>
      <c r="I125" s="151"/>
      <c r="J125" s="41" t="str">
        <f aca="false">IF($E125="","",$E125&amp;"|"&amp;COUNTIF($E$5:$E125,$E125))</f>
        <v/>
      </c>
      <c r="K125" s="40" t="str">
        <f aca="false">IF($I125="","",LEN($I125))</f>
        <v/>
      </c>
      <c r="L125" s="13"/>
      <c r="M125" s="13"/>
      <c r="N125" s="13"/>
      <c r="O125" s="13"/>
      <c r="P125" s="152"/>
      <c r="Q125" s="149"/>
      <c r="R125" s="152"/>
      <c r="S125" s="152"/>
      <c r="T125" s="62" t="str">
        <f aca="false">IF(OR($C125="",R125=""),"",IF(R125/IF($R$2="",100,$R$2)&gt;=設定!$I$28,設定!$G$8,IF(R125/IF($R$2="",100,$R$2)&lt;設定!$I$29,設定!$G$10,設定!$G$9)))</f>
        <v/>
      </c>
      <c r="U125" s="62" t="str">
        <f aca="false">IF(OR($C125="",S125=""),"",IF(S125/IF($S$2="",100,$S$2)&gt;=設定!$I$28,設定!$G$8,IF(S125/IF($S$2="",100,$S$2)&lt;設定!$I$29,設定!$G$10,設定!$G$9)))</f>
        <v/>
      </c>
    </row>
    <row r="126" customFormat="false" ht="21" hidden="false" customHeight="true" outlineLevel="0" collapsed="false">
      <c r="A126" s="91" t="str">
        <f aca="false">IF(名簿!$D126="","",名簿!$B126&amp;"")</f>
        <v/>
      </c>
      <c r="B126" s="91" t="str">
        <f aca="false">IF(名簿!$D126="","",名簿!$C126)</f>
        <v/>
      </c>
      <c r="C126" s="59" t="str">
        <f aca="false">IF(名簿!$D126="","",名簿!$D126&amp;IF(名簿!$F126="転出","（転出）",""))</f>
        <v/>
      </c>
      <c r="D126" s="149"/>
      <c r="E126" s="61" t="str">
        <f aca="false">IF(OR($C126="",名簿!$F126="転出"),"",IF($C$2="学級ごと",$A126,IF($C$2="前の単元と同じ",単元15!$E126&amp;"",$D126&amp;"")))</f>
        <v/>
      </c>
      <c r="F126" s="150"/>
      <c r="G126" s="150"/>
      <c r="H126" s="150"/>
      <c r="I126" s="151"/>
      <c r="J126" s="41" t="str">
        <f aca="false">IF($E126="","",$E126&amp;"|"&amp;COUNTIF($E$5:$E126,$E126))</f>
        <v/>
      </c>
      <c r="K126" s="40" t="str">
        <f aca="false">IF($I126="","",LEN($I126))</f>
        <v/>
      </c>
      <c r="L126" s="13"/>
      <c r="M126" s="13"/>
      <c r="N126" s="13"/>
      <c r="O126" s="13"/>
      <c r="P126" s="152"/>
      <c r="Q126" s="149"/>
      <c r="R126" s="152"/>
      <c r="S126" s="152"/>
      <c r="T126" s="62" t="str">
        <f aca="false">IF(OR($C126="",R126=""),"",IF(R126/IF($R$2="",100,$R$2)&gt;=設定!$I$28,設定!$G$8,IF(R126/IF($R$2="",100,$R$2)&lt;設定!$I$29,設定!$G$10,設定!$G$9)))</f>
        <v/>
      </c>
      <c r="U126" s="62" t="str">
        <f aca="false">IF(OR($C126="",S126=""),"",IF(S126/IF($S$2="",100,$S$2)&gt;=設定!$I$28,設定!$G$8,IF(S126/IF($S$2="",100,$S$2)&lt;設定!$I$29,設定!$G$10,設定!$G$9)))</f>
        <v/>
      </c>
    </row>
    <row r="127" customFormat="false" ht="21" hidden="false" customHeight="true" outlineLevel="0" collapsed="false">
      <c r="A127" s="91" t="str">
        <f aca="false">IF(名簿!$D127="","",名簿!$B127&amp;"")</f>
        <v/>
      </c>
      <c r="B127" s="91" t="str">
        <f aca="false">IF(名簿!$D127="","",名簿!$C127)</f>
        <v/>
      </c>
      <c r="C127" s="59" t="str">
        <f aca="false">IF(名簿!$D127="","",名簿!$D127&amp;IF(名簿!$F127="転出","（転出）",""))</f>
        <v/>
      </c>
      <c r="D127" s="149"/>
      <c r="E127" s="61" t="str">
        <f aca="false">IF(OR($C127="",名簿!$F127="転出"),"",IF($C$2="学級ごと",$A127,IF($C$2="前の単元と同じ",単元15!$E127&amp;"",$D127&amp;"")))</f>
        <v/>
      </c>
      <c r="F127" s="150"/>
      <c r="G127" s="150"/>
      <c r="H127" s="150"/>
      <c r="I127" s="151"/>
      <c r="J127" s="41" t="str">
        <f aca="false">IF($E127="","",$E127&amp;"|"&amp;COUNTIF($E$5:$E127,$E127))</f>
        <v/>
      </c>
      <c r="K127" s="40" t="str">
        <f aca="false">IF($I127="","",LEN($I127))</f>
        <v/>
      </c>
      <c r="L127" s="13"/>
      <c r="M127" s="13"/>
      <c r="N127" s="13"/>
      <c r="O127" s="13"/>
      <c r="P127" s="152"/>
      <c r="Q127" s="149"/>
      <c r="R127" s="152"/>
      <c r="S127" s="152"/>
      <c r="T127" s="62" t="str">
        <f aca="false">IF(OR($C127="",R127=""),"",IF(R127/IF($R$2="",100,$R$2)&gt;=設定!$I$28,設定!$G$8,IF(R127/IF($R$2="",100,$R$2)&lt;設定!$I$29,設定!$G$10,設定!$G$9)))</f>
        <v/>
      </c>
      <c r="U127" s="62" t="str">
        <f aca="false">IF(OR($C127="",S127=""),"",IF(S127/IF($S$2="",100,$S$2)&gt;=設定!$I$28,設定!$G$8,IF(S127/IF($S$2="",100,$S$2)&lt;設定!$I$29,設定!$G$10,設定!$G$9)))</f>
        <v/>
      </c>
    </row>
    <row r="128" customFormat="false" ht="21" hidden="false" customHeight="true" outlineLevel="0" collapsed="false">
      <c r="A128" s="91" t="str">
        <f aca="false">IF(名簿!$D128="","",名簿!$B128&amp;"")</f>
        <v/>
      </c>
      <c r="B128" s="91" t="str">
        <f aca="false">IF(名簿!$D128="","",名簿!$C128)</f>
        <v/>
      </c>
      <c r="C128" s="59" t="str">
        <f aca="false">IF(名簿!$D128="","",名簿!$D128&amp;IF(名簿!$F128="転出","（転出）",""))</f>
        <v/>
      </c>
      <c r="D128" s="149"/>
      <c r="E128" s="61" t="str">
        <f aca="false">IF(OR($C128="",名簿!$F128="転出"),"",IF($C$2="学級ごと",$A128,IF($C$2="前の単元と同じ",単元15!$E128&amp;"",$D128&amp;"")))</f>
        <v/>
      </c>
      <c r="F128" s="150"/>
      <c r="G128" s="150"/>
      <c r="H128" s="150"/>
      <c r="I128" s="151"/>
      <c r="J128" s="41" t="str">
        <f aca="false">IF($E128="","",$E128&amp;"|"&amp;COUNTIF($E$5:$E128,$E128))</f>
        <v/>
      </c>
      <c r="K128" s="40" t="str">
        <f aca="false">IF($I128="","",LEN($I128))</f>
        <v/>
      </c>
      <c r="L128" s="13"/>
      <c r="M128" s="13"/>
      <c r="N128" s="13"/>
      <c r="O128" s="13"/>
      <c r="P128" s="152"/>
      <c r="Q128" s="149"/>
      <c r="R128" s="152"/>
      <c r="S128" s="152"/>
      <c r="T128" s="62" t="str">
        <f aca="false">IF(OR($C128="",R128=""),"",IF(R128/IF($R$2="",100,$R$2)&gt;=設定!$I$28,設定!$G$8,IF(R128/IF($R$2="",100,$R$2)&lt;設定!$I$29,設定!$G$10,設定!$G$9)))</f>
        <v/>
      </c>
      <c r="U128" s="62" t="str">
        <f aca="false">IF(OR($C128="",S128=""),"",IF(S128/IF($S$2="",100,$S$2)&gt;=設定!$I$28,設定!$G$8,IF(S128/IF($S$2="",100,$S$2)&lt;設定!$I$29,設定!$G$10,設定!$G$9)))</f>
        <v/>
      </c>
    </row>
    <row r="129" customFormat="false" ht="21" hidden="false" customHeight="true" outlineLevel="0" collapsed="false">
      <c r="A129" s="91" t="str">
        <f aca="false">IF(名簿!$D129="","",名簿!$B129&amp;"")</f>
        <v/>
      </c>
      <c r="B129" s="91" t="str">
        <f aca="false">IF(名簿!$D129="","",名簿!$C129)</f>
        <v/>
      </c>
      <c r="C129" s="59" t="str">
        <f aca="false">IF(名簿!$D129="","",名簿!$D129&amp;IF(名簿!$F129="転出","（転出）",""))</f>
        <v/>
      </c>
      <c r="D129" s="149"/>
      <c r="E129" s="61" t="str">
        <f aca="false">IF(OR($C129="",名簿!$F129="転出"),"",IF($C$2="学級ごと",$A129,IF($C$2="前の単元と同じ",単元15!$E129&amp;"",$D129&amp;"")))</f>
        <v/>
      </c>
      <c r="F129" s="150"/>
      <c r="G129" s="150"/>
      <c r="H129" s="150"/>
      <c r="I129" s="151"/>
      <c r="J129" s="41" t="str">
        <f aca="false">IF($E129="","",$E129&amp;"|"&amp;COUNTIF($E$5:$E129,$E129))</f>
        <v/>
      </c>
      <c r="K129" s="40" t="str">
        <f aca="false">IF($I129="","",LEN($I129))</f>
        <v/>
      </c>
      <c r="L129" s="13"/>
      <c r="M129" s="13"/>
      <c r="N129" s="13"/>
      <c r="O129" s="13"/>
      <c r="P129" s="152"/>
      <c r="Q129" s="149"/>
      <c r="R129" s="152"/>
      <c r="S129" s="152"/>
      <c r="T129" s="62" t="str">
        <f aca="false">IF(OR($C129="",R129=""),"",IF(R129/IF($R$2="",100,$R$2)&gt;=設定!$I$28,設定!$G$8,IF(R129/IF($R$2="",100,$R$2)&lt;設定!$I$29,設定!$G$10,設定!$G$9)))</f>
        <v/>
      </c>
      <c r="U129" s="62" t="str">
        <f aca="false">IF(OR($C129="",S129=""),"",IF(S129/IF($S$2="",100,$S$2)&gt;=設定!$I$28,設定!$G$8,IF(S129/IF($S$2="",100,$S$2)&lt;設定!$I$29,設定!$G$10,設定!$G$9)))</f>
        <v/>
      </c>
    </row>
    <row r="130" customFormat="false" ht="21" hidden="false" customHeight="true" outlineLevel="0" collapsed="false">
      <c r="A130" s="91" t="str">
        <f aca="false">IF(名簿!$D130="","",名簿!$B130&amp;"")</f>
        <v/>
      </c>
      <c r="B130" s="91" t="str">
        <f aca="false">IF(名簿!$D130="","",名簿!$C130)</f>
        <v/>
      </c>
      <c r="C130" s="59" t="str">
        <f aca="false">IF(名簿!$D130="","",名簿!$D130&amp;IF(名簿!$F130="転出","（転出）",""))</f>
        <v/>
      </c>
      <c r="D130" s="149"/>
      <c r="E130" s="61" t="str">
        <f aca="false">IF(OR($C130="",名簿!$F130="転出"),"",IF($C$2="学級ごと",$A130,IF($C$2="前の単元と同じ",単元15!$E130&amp;"",$D130&amp;"")))</f>
        <v/>
      </c>
      <c r="F130" s="150"/>
      <c r="G130" s="150"/>
      <c r="H130" s="150"/>
      <c r="I130" s="151"/>
      <c r="J130" s="41" t="str">
        <f aca="false">IF($E130="","",$E130&amp;"|"&amp;COUNTIF($E$5:$E130,$E130))</f>
        <v/>
      </c>
      <c r="K130" s="40" t="str">
        <f aca="false">IF($I130="","",LEN($I130))</f>
        <v/>
      </c>
      <c r="L130" s="13"/>
      <c r="M130" s="13"/>
      <c r="N130" s="13"/>
      <c r="O130" s="13"/>
      <c r="P130" s="152"/>
      <c r="Q130" s="149"/>
      <c r="R130" s="152"/>
      <c r="S130" s="152"/>
      <c r="T130" s="62" t="str">
        <f aca="false">IF(OR($C130="",R130=""),"",IF(R130/IF($R$2="",100,$R$2)&gt;=設定!$I$28,設定!$G$8,IF(R130/IF($R$2="",100,$R$2)&lt;設定!$I$29,設定!$G$10,設定!$G$9)))</f>
        <v/>
      </c>
      <c r="U130" s="62" t="str">
        <f aca="false">IF(OR($C130="",S130=""),"",IF(S130/IF($S$2="",100,$S$2)&gt;=設定!$I$28,設定!$G$8,IF(S130/IF($S$2="",100,$S$2)&lt;設定!$I$29,設定!$G$10,設定!$G$9)))</f>
        <v/>
      </c>
    </row>
    <row r="131" customFormat="false" ht="21" hidden="false" customHeight="true" outlineLevel="0" collapsed="false">
      <c r="A131" s="91" t="str">
        <f aca="false">IF(名簿!$D131="","",名簿!$B131&amp;"")</f>
        <v/>
      </c>
      <c r="B131" s="91" t="str">
        <f aca="false">IF(名簿!$D131="","",名簿!$C131)</f>
        <v/>
      </c>
      <c r="C131" s="59" t="str">
        <f aca="false">IF(名簿!$D131="","",名簿!$D131&amp;IF(名簿!$F131="転出","（転出）",""))</f>
        <v/>
      </c>
      <c r="D131" s="149"/>
      <c r="E131" s="61" t="str">
        <f aca="false">IF(OR($C131="",名簿!$F131="転出"),"",IF($C$2="学級ごと",$A131,IF($C$2="前の単元と同じ",単元15!$E131&amp;"",$D131&amp;"")))</f>
        <v/>
      </c>
      <c r="F131" s="150"/>
      <c r="G131" s="150"/>
      <c r="H131" s="150"/>
      <c r="I131" s="151"/>
      <c r="J131" s="41" t="str">
        <f aca="false">IF($E131="","",$E131&amp;"|"&amp;COUNTIF($E$5:$E131,$E131))</f>
        <v/>
      </c>
      <c r="K131" s="40" t="str">
        <f aca="false">IF($I131="","",LEN($I131))</f>
        <v/>
      </c>
      <c r="L131" s="13"/>
      <c r="M131" s="13"/>
      <c r="N131" s="13"/>
      <c r="O131" s="13"/>
      <c r="P131" s="152"/>
      <c r="Q131" s="149"/>
      <c r="R131" s="152"/>
      <c r="S131" s="152"/>
      <c r="T131" s="62" t="str">
        <f aca="false">IF(OR($C131="",R131=""),"",IF(R131/IF($R$2="",100,$R$2)&gt;=設定!$I$28,設定!$G$8,IF(R131/IF($R$2="",100,$R$2)&lt;設定!$I$29,設定!$G$10,設定!$G$9)))</f>
        <v/>
      </c>
      <c r="U131" s="62" t="str">
        <f aca="false">IF(OR($C131="",S131=""),"",IF(S131/IF($S$2="",100,$S$2)&gt;=設定!$I$28,設定!$G$8,IF(S131/IF($S$2="",100,$S$2)&lt;設定!$I$29,設定!$G$10,設定!$G$9)))</f>
        <v/>
      </c>
    </row>
    <row r="132" customFormat="false" ht="21" hidden="false" customHeight="true" outlineLevel="0" collapsed="false">
      <c r="A132" s="91" t="str">
        <f aca="false">IF(名簿!$D132="","",名簿!$B132&amp;"")</f>
        <v/>
      </c>
      <c r="B132" s="91" t="str">
        <f aca="false">IF(名簿!$D132="","",名簿!$C132)</f>
        <v/>
      </c>
      <c r="C132" s="59" t="str">
        <f aca="false">IF(名簿!$D132="","",名簿!$D132&amp;IF(名簿!$F132="転出","（転出）",""))</f>
        <v/>
      </c>
      <c r="D132" s="149"/>
      <c r="E132" s="61" t="str">
        <f aca="false">IF(OR($C132="",名簿!$F132="転出"),"",IF($C$2="学級ごと",$A132,IF($C$2="前の単元と同じ",単元15!$E132&amp;"",$D132&amp;"")))</f>
        <v/>
      </c>
      <c r="F132" s="150"/>
      <c r="G132" s="150"/>
      <c r="H132" s="150"/>
      <c r="I132" s="151"/>
      <c r="J132" s="41" t="str">
        <f aca="false">IF($E132="","",$E132&amp;"|"&amp;COUNTIF($E$5:$E132,$E132))</f>
        <v/>
      </c>
      <c r="K132" s="40" t="str">
        <f aca="false">IF($I132="","",LEN($I132))</f>
        <v/>
      </c>
      <c r="L132" s="13"/>
      <c r="M132" s="13"/>
      <c r="N132" s="13"/>
      <c r="O132" s="13"/>
      <c r="P132" s="152"/>
      <c r="Q132" s="149"/>
      <c r="R132" s="152"/>
      <c r="S132" s="152"/>
      <c r="T132" s="62" t="str">
        <f aca="false">IF(OR($C132="",R132=""),"",IF(R132/IF($R$2="",100,$R$2)&gt;=設定!$I$28,設定!$G$8,IF(R132/IF($R$2="",100,$R$2)&lt;設定!$I$29,設定!$G$10,設定!$G$9)))</f>
        <v/>
      </c>
      <c r="U132" s="62" t="str">
        <f aca="false">IF(OR($C132="",S132=""),"",IF(S132/IF($S$2="",100,$S$2)&gt;=設定!$I$28,設定!$G$8,IF(S132/IF($S$2="",100,$S$2)&lt;設定!$I$29,設定!$G$10,設定!$G$9)))</f>
        <v/>
      </c>
    </row>
    <row r="133" customFormat="false" ht="21" hidden="false" customHeight="true" outlineLevel="0" collapsed="false">
      <c r="A133" s="91" t="str">
        <f aca="false">IF(名簿!$D133="","",名簿!$B133&amp;"")</f>
        <v/>
      </c>
      <c r="B133" s="91" t="str">
        <f aca="false">IF(名簿!$D133="","",名簿!$C133)</f>
        <v/>
      </c>
      <c r="C133" s="59" t="str">
        <f aca="false">IF(名簿!$D133="","",名簿!$D133&amp;IF(名簿!$F133="転出","（転出）",""))</f>
        <v/>
      </c>
      <c r="D133" s="149"/>
      <c r="E133" s="61" t="str">
        <f aca="false">IF(OR($C133="",名簿!$F133="転出"),"",IF($C$2="学級ごと",$A133,IF($C$2="前の単元と同じ",単元15!$E133&amp;"",$D133&amp;"")))</f>
        <v/>
      </c>
      <c r="F133" s="150"/>
      <c r="G133" s="150"/>
      <c r="H133" s="150"/>
      <c r="I133" s="151"/>
      <c r="J133" s="41" t="str">
        <f aca="false">IF($E133="","",$E133&amp;"|"&amp;COUNTIF($E$5:$E133,$E133))</f>
        <v/>
      </c>
      <c r="K133" s="40" t="str">
        <f aca="false">IF($I133="","",LEN($I133))</f>
        <v/>
      </c>
      <c r="L133" s="13"/>
      <c r="M133" s="13"/>
      <c r="N133" s="13"/>
      <c r="O133" s="13"/>
      <c r="P133" s="152"/>
      <c r="Q133" s="149"/>
      <c r="R133" s="152"/>
      <c r="S133" s="152"/>
      <c r="T133" s="62" t="str">
        <f aca="false">IF(OR($C133="",R133=""),"",IF(R133/IF($R$2="",100,$R$2)&gt;=設定!$I$28,設定!$G$8,IF(R133/IF($R$2="",100,$R$2)&lt;設定!$I$29,設定!$G$10,設定!$G$9)))</f>
        <v/>
      </c>
      <c r="U133" s="62" t="str">
        <f aca="false">IF(OR($C133="",S133=""),"",IF(S133/IF($S$2="",100,$S$2)&gt;=設定!$I$28,設定!$G$8,IF(S133/IF($S$2="",100,$S$2)&lt;設定!$I$29,設定!$G$10,設定!$G$9)))</f>
        <v/>
      </c>
    </row>
    <row r="134" customFormat="false" ht="21" hidden="false" customHeight="true" outlineLevel="0" collapsed="false">
      <c r="A134" s="91" t="str">
        <f aca="false">IF(名簿!$D134="","",名簿!$B134&amp;"")</f>
        <v/>
      </c>
      <c r="B134" s="91" t="str">
        <f aca="false">IF(名簿!$D134="","",名簿!$C134)</f>
        <v/>
      </c>
      <c r="C134" s="59" t="str">
        <f aca="false">IF(名簿!$D134="","",名簿!$D134&amp;IF(名簿!$F134="転出","（転出）",""))</f>
        <v/>
      </c>
      <c r="D134" s="149"/>
      <c r="E134" s="61" t="str">
        <f aca="false">IF(OR($C134="",名簿!$F134="転出"),"",IF($C$2="学級ごと",$A134,IF($C$2="前の単元と同じ",単元15!$E134&amp;"",$D134&amp;"")))</f>
        <v/>
      </c>
      <c r="F134" s="150"/>
      <c r="G134" s="150"/>
      <c r="H134" s="150"/>
      <c r="I134" s="151"/>
      <c r="J134" s="41" t="str">
        <f aca="false">IF($E134="","",$E134&amp;"|"&amp;COUNTIF($E$5:$E134,$E134))</f>
        <v/>
      </c>
      <c r="K134" s="40" t="str">
        <f aca="false">IF($I134="","",LEN($I134))</f>
        <v/>
      </c>
      <c r="L134" s="13"/>
      <c r="M134" s="13"/>
      <c r="N134" s="13"/>
      <c r="O134" s="13"/>
      <c r="P134" s="152"/>
      <c r="Q134" s="149"/>
      <c r="R134" s="152"/>
      <c r="S134" s="152"/>
      <c r="T134" s="62" t="str">
        <f aca="false">IF(OR($C134="",R134=""),"",IF(R134/IF($R$2="",100,$R$2)&gt;=設定!$I$28,設定!$G$8,IF(R134/IF($R$2="",100,$R$2)&lt;設定!$I$29,設定!$G$10,設定!$G$9)))</f>
        <v/>
      </c>
      <c r="U134" s="62" t="str">
        <f aca="false">IF(OR($C134="",S134=""),"",IF(S134/IF($S$2="",100,$S$2)&gt;=設定!$I$28,設定!$G$8,IF(S134/IF($S$2="",100,$S$2)&lt;設定!$I$29,設定!$G$10,設定!$G$9)))</f>
        <v/>
      </c>
    </row>
    <row r="135" customFormat="false" ht="21" hidden="false" customHeight="true" outlineLevel="0" collapsed="false">
      <c r="A135" s="91" t="str">
        <f aca="false">IF(名簿!$D135="","",名簿!$B135&amp;"")</f>
        <v/>
      </c>
      <c r="B135" s="91" t="str">
        <f aca="false">IF(名簿!$D135="","",名簿!$C135)</f>
        <v/>
      </c>
      <c r="C135" s="59" t="str">
        <f aca="false">IF(名簿!$D135="","",名簿!$D135&amp;IF(名簿!$F135="転出","（転出）",""))</f>
        <v/>
      </c>
      <c r="D135" s="149"/>
      <c r="E135" s="61" t="str">
        <f aca="false">IF(OR($C135="",名簿!$F135="転出"),"",IF($C$2="学級ごと",$A135,IF($C$2="前の単元と同じ",単元15!$E135&amp;"",$D135&amp;"")))</f>
        <v/>
      </c>
      <c r="F135" s="150"/>
      <c r="G135" s="150"/>
      <c r="H135" s="150"/>
      <c r="I135" s="151"/>
      <c r="J135" s="41" t="str">
        <f aca="false">IF($E135="","",$E135&amp;"|"&amp;COUNTIF($E$5:$E135,$E135))</f>
        <v/>
      </c>
      <c r="K135" s="40" t="str">
        <f aca="false">IF($I135="","",LEN($I135))</f>
        <v/>
      </c>
      <c r="L135" s="13"/>
      <c r="M135" s="13"/>
      <c r="N135" s="13"/>
      <c r="O135" s="13"/>
      <c r="P135" s="152"/>
      <c r="Q135" s="149"/>
      <c r="R135" s="152"/>
      <c r="S135" s="152"/>
      <c r="T135" s="62" t="str">
        <f aca="false">IF(OR($C135="",R135=""),"",IF(R135/IF($R$2="",100,$R$2)&gt;=設定!$I$28,設定!$G$8,IF(R135/IF($R$2="",100,$R$2)&lt;設定!$I$29,設定!$G$10,設定!$G$9)))</f>
        <v/>
      </c>
      <c r="U135" s="62" t="str">
        <f aca="false">IF(OR($C135="",S135=""),"",IF(S135/IF($S$2="",100,$S$2)&gt;=設定!$I$28,設定!$G$8,IF(S135/IF($S$2="",100,$S$2)&lt;設定!$I$29,設定!$G$10,設定!$G$9)))</f>
        <v/>
      </c>
    </row>
    <row r="136" customFormat="false" ht="21" hidden="false" customHeight="true" outlineLevel="0" collapsed="false">
      <c r="A136" s="91" t="str">
        <f aca="false">IF(名簿!$D136="","",名簿!$B136&amp;"")</f>
        <v/>
      </c>
      <c r="B136" s="91" t="str">
        <f aca="false">IF(名簿!$D136="","",名簿!$C136)</f>
        <v/>
      </c>
      <c r="C136" s="59" t="str">
        <f aca="false">IF(名簿!$D136="","",名簿!$D136&amp;IF(名簿!$F136="転出","（転出）",""))</f>
        <v/>
      </c>
      <c r="D136" s="149"/>
      <c r="E136" s="61" t="str">
        <f aca="false">IF(OR($C136="",名簿!$F136="転出"),"",IF($C$2="学級ごと",$A136,IF($C$2="前の単元と同じ",単元15!$E136&amp;"",$D136&amp;"")))</f>
        <v/>
      </c>
      <c r="F136" s="150"/>
      <c r="G136" s="150"/>
      <c r="H136" s="150"/>
      <c r="I136" s="151"/>
      <c r="J136" s="41" t="str">
        <f aca="false">IF($E136="","",$E136&amp;"|"&amp;COUNTIF($E$5:$E136,$E136))</f>
        <v/>
      </c>
      <c r="K136" s="40" t="str">
        <f aca="false">IF($I136="","",LEN($I136))</f>
        <v/>
      </c>
      <c r="L136" s="13"/>
      <c r="M136" s="13"/>
      <c r="N136" s="13"/>
      <c r="O136" s="13"/>
      <c r="P136" s="152"/>
      <c r="Q136" s="149"/>
      <c r="R136" s="152"/>
      <c r="S136" s="152"/>
      <c r="T136" s="62" t="str">
        <f aca="false">IF(OR($C136="",R136=""),"",IF(R136/IF($R$2="",100,$R$2)&gt;=設定!$I$28,設定!$G$8,IF(R136/IF($R$2="",100,$R$2)&lt;設定!$I$29,設定!$G$10,設定!$G$9)))</f>
        <v/>
      </c>
      <c r="U136" s="62" t="str">
        <f aca="false">IF(OR($C136="",S136=""),"",IF(S136/IF($S$2="",100,$S$2)&gt;=設定!$I$28,設定!$G$8,IF(S136/IF($S$2="",100,$S$2)&lt;設定!$I$29,設定!$G$10,設定!$G$9)))</f>
        <v/>
      </c>
    </row>
    <row r="137" customFormat="false" ht="21" hidden="false" customHeight="true" outlineLevel="0" collapsed="false">
      <c r="A137" s="91" t="str">
        <f aca="false">IF(名簿!$D137="","",名簿!$B137&amp;"")</f>
        <v/>
      </c>
      <c r="B137" s="91" t="str">
        <f aca="false">IF(名簿!$D137="","",名簿!$C137)</f>
        <v/>
      </c>
      <c r="C137" s="59" t="str">
        <f aca="false">IF(名簿!$D137="","",名簿!$D137&amp;IF(名簿!$F137="転出","（転出）",""))</f>
        <v/>
      </c>
      <c r="D137" s="149"/>
      <c r="E137" s="61" t="str">
        <f aca="false">IF(OR($C137="",名簿!$F137="転出"),"",IF($C$2="学級ごと",$A137,IF($C$2="前の単元と同じ",単元15!$E137&amp;"",$D137&amp;"")))</f>
        <v/>
      </c>
      <c r="F137" s="150"/>
      <c r="G137" s="150"/>
      <c r="H137" s="150"/>
      <c r="I137" s="151"/>
      <c r="J137" s="41" t="str">
        <f aca="false">IF($E137="","",$E137&amp;"|"&amp;COUNTIF($E$5:$E137,$E137))</f>
        <v/>
      </c>
      <c r="K137" s="40" t="str">
        <f aca="false">IF($I137="","",LEN($I137))</f>
        <v/>
      </c>
      <c r="L137" s="13"/>
      <c r="M137" s="13"/>
      <c r="N137" s="13"/>
      <c r="O137" s="13"/>
      <c r="P137" s="152"/>
      <c r="Q137" s="149"/>
      <c r="R137" s="152"/>
      <c r="S137" s="152"/>
      <c r="T137" s="62" t="str">
        <f aca="false">IF(OR($C137="",R137=""),"",IF(R137/IF($R$2="",100,$R$2)&gt;=設定!$I$28,設定!$G$8,IF(R137/IF($R$2="",100,$R$2)&lt;設定!$I$29,設定!$G$10,設定!$G$9)))</f>
        <v/>
      </c>
      <c r="U137" s="62" t="str">
        <f aca="false">IF(OR($C137="",S137=""),"",IF(S137/IF($S$2="",100,$S$2)&gt;=設定!$I$28,設定!$G$8,IF(S137/IF($S$2="",100,$S$2)&lt;設定!$I$29,設定!$G$10,設定!$G$9)))</f>
        <v/>
      </c>
    </row>
    <row r="138" customFormat="false" ht="21" hidden="false" customHeight="true" outlineLevel="0" collapsed="false">
      <c r="A138" s="91" t="str">
        <f aca="false">IF(名簿!$D138="","",名簿!$B138&amp;"")</f>
        <v/>
      </c>
      <c r="B138" s="91" t="str">
        <f aca="false">IF(名簿!$D138="","",名簿!$C138)</f>
        <v/>
      </c>
      <c r="C138" s="59" t="str">
        <f aca="false">IF(名簿!$D138="","",名簿!$D138&amp;IF(名簿!$F138="転出","（転出）",""))</f>
        <v/>
      </c>
      <c r="D138" s="149"/>
      <c r="E138" s="61" t="str">
        <f aca="false">IF(OR($C138="",名簿!$F138="転出"),"",IF($C$2="学級ごと",$A138,IF($C$2="前の単元と同じ",単元15!$E138&amp;"",$D138&amp;"")))</f>
        <v/>
      </c>
      <c r="F138" s="150"/>
      <c r="G138" s="150"/>
      <c r="H138" s="150"/>
      <c r="I138" s="151"/>
      <c r="J138" s="41" t="str">
        <f aca="false">IF($E138="","",$E138&amp;"|"&amp;COUNTIF($E$5:$E138,$E138))</f>
        <v/>
      </c>
      <c r="K138" s="40" t="str">
        <f aca="false">IF($I138="","",LEN($I138))</f>
        <v/>
      </c>
      <c r="L138" s="13"/>
      <c r="M138" s="13"/>
      <c r="N138" s="13"/>
      <c r="O138" s="13"/>
      <c r="P138" s="152"/>
      <c r="Q138" s="149"/>
      <c r="R138" s="152"/>
      <c r="S138" s="152"/>
      <c r="T138" s="62" t="str">
        <f aca="false">IF(OR($C138="",R138=""),"",IF(R138/IF($R$2="",100,$R$2)&gt;=設定!$I$28,設定!$G$8,IF(R138/IF($R$2="",100,$R$2)&lt;設定!$I$29,設定!$G$10,設定!$G$9)))</f>
        <v/>
      </c>
      <c r="U138" s="62" t="str">
        <f aca="false">IF(OR($C138="",S138=""),"",IF(S138/IF($S$2="",100,$S$2)&gt;=設定!$I$28,設定!$G$8,IF(S138/IF($S$2="",100,$S$2)&lt;設定!$I$29,設定!$G$10,設定!$G$9)))</f>
        <v/>
      </c>
    </row>
    <row r="139" customFormat="false" ht="21" hidden="false" customHeight="true" outlineLevel="0" collapsed="false">
      <c r="A139" s="91" t="str">
        <f aca="false">IF(名簿!$D139="","",名簿!$B139&amp;"")</f>
        <v/>
      </c>
      <c r="B139" s="91" t="str">
        <f aca="false">IF(名簿!$D139="","",名簿!$C139)</f>
        <v/>
      </c>
      <c r="C139" s="59" t="str">
        <f aca="false">IF(名簿!$D139="","",名簿!$D139&amp;IF(名簿!$F139="転出","（転出）",""))</f>
        <v/>
      </c>
      <c r="D139" s="149"/>
      <c r="E139" s="61" t="str">
        <f aca="false">IF(OR($C139="",名簿!$F139="転出"),"",IF($C$2="学級ごと",$A139,IF($C$2="前の単元と同じ",単元15!$E139&amp;"",$D139&amp;"")))</f>
        <v/>
      </c>
      <c r="F139" s="150"/>
      <c r="G139" s="150"/>
      <c r="H139" s="150"/>
      <c r="I139" s="151"/>
      <c r="J139" s="41" t="str">
        <f aca="false">IF($E139="","",$E139&amp;"|"&amp;COUNTIF($E$5:$E139,$E139))</f>
        <v/>
      </c>
      <c r="K139" s="40" t="str">
        <f aca="false">IF($I139="","",LEN($I139))</f>
        <v/>
      </c>
      <c r="L139" s="13"/>
      <c r="M139" s="13"/>
      <c r="N139" s="13"/>
      <c r="O139" s="13"/>
      <c r="P139" s="152"/>
      <c r="Q139" s="149"/>
      <c r="R139" s="152"/>
      <c r="S139" s="152"/>
      <c r="T139" s="62" t="str">
        <f aca="false">IF(OR($C139="",R139=""),"",IF(R139/IF($R$2="",100,$R$2)&gt;=設定!$I$28,設定!$G$8,IF(R139/IF($R$2="",100,$R$2)&lt;設定!$I$29,設定!$G$10,設定!$G$9)))</f>
        <v/>
      </c>
      <c r="U139" s="62" t="str">
        <f aca="false">IF(OR($C139="",S139=""),"",IF(S139/IF($S$2="",100,$S$2)&gt;=設定!$I$28,設定!$G$8,IF(S139/IF($S$2="",100,$S$2)&lt;設定!$I$29,設定!$G$10,設定!$G$9)))</f>
        <v/>
      </c>
    </row>
    <row r="140" customFormat="false" ht="21" hidden="false" customHeight="true" outlineLevel="0" collapsed="false">
      <c r="A140" s="91" t="str">
        <f aca="false">IF(名簿!$D140="","",名簿!$B140&amp;"")</f>
        <v/>
      </c>
      <c r="B140" s="91" t="str">
        <f aca="false">IF(名簿!$D140="","",名簿!$C140)</f>
        <v/>
      </c>
      <c r="C140" s="59" t="str">
        <f aca="false">IF(名簿!$D140="","",名簿!$D140&amp;IF(名簿!$F140="転出","（転出）",""))</f>
        <v/>
      </c>
      <c r="D140" s="149"/>
      <c r="E140" s="61" t="str">
        <f aca="false">IF(OR($C140="",名簿!$F140="転出"),"",IF($C$2="学級ごと",$A140,IF($C$2="前の単元と同じ",単元15!$E140&amp;"",$D140&amp;"")))</f>
        <v/>
      </c>
      <c r="F140" s="150"/>
      <c r="G140" s="150"/>
      <c r="H140" s="150"/>
      <c r="I140" s="151"/>
      <c r="J140" s="41" t="str">
        <f aca="false">IF($E140="","",$E140&amp;"|"&amp;COUNTIF($E$5:$E140,$E140))</f>
        <v/>
      </c>
      <c r="K140" s="40" t="str">
        <f aca="false">IF($I140="","",LEN($I140))</f>
        <v/>
      </c>
      <c r="L140" s="13"/>
      <c r="M140" s="13"/>
      <c r="N140" s="13"/>
      <c r="O140" s="13"/>
      <c r="P140" s="152"/>
      <c r="Q140" s="149"/>
      <c r="R140" s="152"/>
      <c r="S140" s="152"/>
      <c r="T140" s="62" t="str">
        <f aca="false">IF(OR($C140="",R140=""),"",IF(R140/IF($R$2="",100,$R$2)&gt;=設定!$I$28,設定!$G$8,IF(R140/IF($R$2="",100,$R$2)&lt;設定!$I$29,設定!$G$10,設定!$G$9)))</f>
        <v/>
      </c>
      <c r="U140" s="62" t="str">
        <f aca="false">IF(OR($C140="",S140=""),"",IF(S140/IF($S$2="",100,$S$2)&gt;=設定!$I$28,設定!$G$8,IF(S140/IF($S$2="",100,$S$2)&lt;設定!$I$29,設定!$G$10,設定!$G$9)))</f>
        <v/>
      </c>
    </row>
    <row r="141" customFormat="false" ht="21" hidden="false" customHeight="true" outlineLevel="0" collapsed="false">
      <c r="A141" s="91" t="str">
        <f aca="false">IF(名簿!$D141="","",名簿!$B141&amp;"")</f>
        <v/>
      </c>
      <c r="B141" s="91" t="str">
        <f aca="false">IF(名簿!$D141="","",名簿!$C141)</f>
        <v/>
      </c>
      <c r="C141" s="59" t="str">
        <f aca="false">IF(名簿!$D141="","",名簿!$D141&amp;IF(名簿!$F141="転出","（転出）",""))</f>
        <v/>
      </c>
      <c r="D141" s="149"/>
      <c r="E141" s="61" t="str">
        <f aca="false">IF(OR($C141="",名簿!$F141="転出"),"",IF($C$2="学級ごと",$A141,IF($C$2="前の単元と同じ",単元15!$E141&amp;"",$D141&amp;"")))</f>
        <v/>
      </c>
      <c r="F141" s="150"/>
      <c r="G141" s="150"/>
      <c r="H141" s="150"/>
      <c r="I141" s="151"/>
      <c r="J141" s="41" t="str">
        <f aca="false">IF($E141="","",$E141&amp;"|"&amp;COUNTIF($E$5:$E141,$E141))</f>
        <v/>
      </c>
      <c r="K141" s="40" t="str">
        <f aca="false">IF($I141="","",LEN($I141))</f>
        <v/>
      </c>
      <c r="L141" s="13"/>
      <c r="M141" s="13"/>
      <c r="N141" s="13"/>
      <c r="O141" s="13"/>
      <c r="P141" s="152"/>
      <c r="Q141" s="149"/>
      <c r="R141" s="152"/>
      <c r="S141" s="152"/>
      <c r="T141" s="62" t="str">
        <f aca="false">IF(OR($C141="",R141=""),"",IF(R141/IF($R$2="",100,$R$2)&gt;=設定!$I$28,設定!$G$8,IF(R141/IF($R$2="",100,$R$2)&lt;設定!$I$29,設定!$G$10,設定!$G$9)))</f>
        <v/>
      </c>
      <c r="U141" s="62" t="str">
        <f aca="false">IF(OR($C141="",S141=""),"",IF(S141/IF($S$2="",100,$S$2)&gt;=設定!$I$28,設定!$G$8,IF(S141/IF($S$2="",100,$S$2)&lt;設定!$I$29,設定!$G$10,設定!$G$9)))</f>
        <v/>
      </c>
    </row>
    <row r="142" customFormat="false" ht="21" hidden="false" customHeight="true" outlineLevel="0" collapsed="false">
      <c r="A142" s="91" t="str">
        <f aca="false">IF(名簿!$D142="","",名簿!$B142&amp;"")</f>
        <v/>
      </c>
      <c r="B142" s="91" t="str">
        <f aca="false">IF(名簿!$D142="","",名簿!$C142)</f>
        <v/>
      </c>
      <c r="C142" s="59" t="str">
        <f aca="false">IF(名簿!$D142="","",名簿!$D142&amp;IF(名簿!$F142="転出","（転出）",""))</f>
        <v/>
      </c>
      <c r="D142" s="149"/>
      <c r="E142" s="61" t="str">
        <f aca="false">IF(OR($C142="",名簿!$F142="転出"),"",IF($C$2="学級ごと",$A142,IF($C$2="前の単元と同じ",単元15!$E142&amp;"",$D142&amp;"")))</f>
        <v/>
      </c>
      <c r="F142" s="150"/>
      <c r="G142" s="150"/>
      <c r="H142" s="150"/>
      <c r="I142" s="151"/>
      <c r="J142" s="41" t="str">
        <f aca="false">IF($E142="","",$E142&amp;"|"&amp;COUNTIF($E$5:$E142,$E142))</f>
        <v/>
      </c>
      <c r="K142" s="40" t="str">
        <f aca="false">IF($I142="","",LEN($I142))</f>
        <v/>
      </c>
      <c r="L142" s="13"/>
      <c r="M142" s="13"/>
      <c r="N142" s="13"/>
      <c r="O142" s="13"/>
      <c r="P142" s="152"/>
      <c r="Q142" s="149"/>
      <c r="R142" s="152"/>
      <c r="S142" s="152"/>
      <c r="T142" s="62" t="str">
        <f aca="false">IF(OR($C142="",R142=""),"",IF(R142/IF($R$2="",100,$R$2)&gt;=設定!$I$28,設定!$G$8,IF(R142/IF($R$2="",100,$R$2)&lt;設定!$I$29,設定!$G$10,設定!$G$9)))</f>
        <v/>
      </c>
      <c r="U142" s="62" t="str">
        <f aca="false">IF(OR($C142="",S142=""),"",IF(S142/IF($S$2="",100,$S$2)&gt;=設定!$I$28,設定!$G$8,IF(S142/IF($S$2="",100,$S$2)&lt;設定!$I$29,設定!$G$10,設定!$G$9)))</f>
        <v/>
      </c>
    </row>
    <row r="143" customFormat="false" ht="21" hidden="false" customHeight="true" outlineLevel="0" collapsed="false">
      <c r="A143" s="91" t="str">
        <f aca="false">IF(名簿!$D143="","",名簿!$B143&amp;"")</f>
        <v/>
      </c>
      <c r="B143" s="91" t="str">
        <f aca="false">IF(名簿!$D143="","",名簿!$C143)</f>
        <v/>
      </c>
      <c r="C143" s="59" t="str">
        <f aca="false">IF(名簿!$D143="","",名簿!$D143&amp;IF(名簿!$F143="転出","（転出）",""))</f>
        <v/>
      </c>
      <c r="D143" s="149"/>
      <c r="E143" s="61" t="str">
        <f aca="false">IF(OR($C143="",名簿!$F143="転出"),"",IF($C$2="学級ごと",$A143,IF($C$2="前の単元と同じ",単元15!$E143&amp;"",$D143&amp;"")))</f>
        <v/>
      </c>
      <c r="F143" s="150"/>
      <c r="G143" s="150"/>
      <c r="H143" s="150"/>
      <c r="I143" s="151"/>
      <c r="J143" s="41" t="str">
        <f aca="false">IF($E143="","",$E143&amp;"|"&amp;COUNTIF($E$5:$E143,$E143))</f>
        <v/>
      </c>
      <c r="K143" s="40" t="str">
        <f aca="false">IF($I143="","",LEN($I143))</f>
        <v/>
      </c>
      <c r="L143" s="13"/>
      <c r="M143" s="13"/>
      <c r="N143" s="13"/>
      <c r="O143" s="13"/>
      <c r="P143" s="152"/>
      <c r="Q143" s="149"/>
      <c r="R143" s="152"/>
      <c r="S143" s="152"/>
      <c r="T143" s="62" t="str">
        <f aca="false">IF(OR($C143="",R143=""),"",IF(R143/IF($R$2="",100,$R$2)&gt;=設定!$I$28,設定!$G$8,IF(R143/IF($R$2="",100,$R$2)&lt;設定!$I$29,設定!$G$10,設定!$G$9)))</f>
        <v/>
      </c>
      <c r="U143" s="62" t="str">
        <f aca="false">IF(OR($C143="",S143=""),"",IF(S143/IF($S$2="",100,$S$2)&gt;=設定!$I$28,設定!$G$8,IF(S143/IF($S$2="",100,$S$2)&lt;設定!$I$29,設定!$G$10,設定!$G$9)))</f>
        <v/>
      </c>
    </row>
    <row r="144" customFormat="false" ht="21" hidden="false" customHeight="true" outlineLevel="0" collapsed="false">
      <c r="A144" s="91" t="str">
        <f aca="false">IF(名簿!$D144="","",名簿!$B144&amp;"")</f>
        <v/>
      </c>
      <c r="B144" s="91" t="str">
        <f aca="false">IF(名簿!$D144="","",名簿!$C144)</f>
        <v/>
      </c>
      <c r="C144" s="59" t="str">
        <f aca="false">IF(名簿!$D144="","",名簿!$D144&amp;IF(名簿!$F144="転出","（転出）",""))</f>
        <v/>
      </c>
      <c r="D144" s="149"/>
      <c r="E144" s="61" t="str">
        <f aca="false">IF(OR($C144="",名簿!$F144="転出"),"",IF($C$2="学級ごと",$A144,IF($C$2="前の単元と同じ",単元15!$E144&amp;"",$D144&amp;"")))</f>
        <v/>
      </c>
      <c r="F144" s="150"/>
      <c r="G144" s="150"/>
      <c r="H144" s="150"/>
      <c r="I144" s="151"/>
      <c r="J144" s="41" t="str">
        <f aca="false">IF($E144="","",$E144&amp;"|"&amp;COUNTIF($E$5:$E144,$E144))</f>
        <v/>
      </c>
      <c r="K144" s="40" t="str">
        <f aca="false">IF($I144="","",LEN($I144))</f>
        <v/>
      </c>
      <c r="L144" s="13"/>
      <c r="M144" s="13"/>
      <c r="N144" s="13"/>
      <c r="O144" s="13"/>
      <c r="P144" s="152"/>
      <c r="Q144" s="149"/>
      <c r="R144" s="152"/>
      <c r="S144" s="152"/>
      <c r="T144" s="62" t="str">
        <f aca="false">IF(OR($C144="",R144=""),"",IF(R144/IF($R$2="",100,$R$2)&gt;=設定!$I$28,設定!$G$8,IF(R144/IF($R$2="",100,$R$2)&lt;設定!$I$29,設定!$G$10,設定!$G$9)))</f>
        <v/>
      </c>
      <c r="U144" s="62" t="str">
        <f aca="false">IF(OR($C144="",S144=""),"",IF(S144/IF($S$2="",100,$S$2)&gt;=設定!$I$28,設定!$G$8,IF(S144/IF($S$2="",100,$S$2)&lt;設定!$I$29,設定!$G$10,設定!$G$9)))</f>
        <v/>
      </c>
    </row>
    <row r="145" customFormat="false" ht="21" hidden="false" customHeight="true" outlineLevel="0" collapsed="false">
      <c r="A145" s="91" t="str">
        <f aca="false">IF(名簿!$D145="","",名簿!$B145&amp;"")</f>
        <v/>
      </c>
      <c r="B145" s="91" t="str">
        <f aca="false">IF(名簿!$D145="","",名簿!$C145)</f>
        <v/>
      </c>
      <c r="C145" s="59" t="str">
        <f aca="false">IF(名簿!$D145="","",名簿!$D145&amp;IF(名簿!$F145="転出","（転出）",""))</f>
        <v/>
      </c>
      <c r="D145" s="149"/>
      <c r="E145" s="61" t="str">
        <f aca="false">IF(OR($C145="",名簿!$F145="転出"),"",IF($C$2="学級ごと",$A145,IF($C$2="前の単元と同じ",単元15!$E145&amp;"",$D145&amp;"")))</f>
        <v/>
      </c>
      <c r="F145" s="150"/>
      <c r="G145" s="150"/>
      <c r="H145" s="150"/>
      <c r="I145" s="151"/>
      <c r="J145" s="41" t="str">
        <f aca="false">IF($E145="","",$E145&amp;"|"&amp;COUNTIF($E$5:$E145,$E145))</f>
        <v/>
      </c>
      <c r="K145" s="40" t="str">
        <f aca="false">IF($I145="","",LEN($I145))</f>
        <v/>
      </c>
      <c r="L145" s="13"/>
      <c r="M145" s="13"/>
      <c r="N145" s="13"/>
      <c r="O145" s="13"/>
      <c r="P145" s="152"/>
      <c r="Q145" s="149"/>
      <c r="R145" s="152"/>
      <c r="S145" s="152"/>
      <c r="T145" s="62" t="str">
        <f aca="false">IF(OR($C145="",R145=""),"",IF(R145/IF($R$2="",100,$R$2)&gt;=設定!$I$28,設定!$G$8,IF(R145/IF($R$2="",100,$R$2)&lt;設定!$I$29,設定!$G$10,設定!$G$9)))</f>
        <v/>
      </c>
      <c r="U145" s="62" t="str">
        <f aca="false">IF(OR($C145="",S145=""),"",IF(S145/IF($S$2="",100,$S$2)&gt;=設定!$I$28,設定!$G$8,IF(S145/IF($S$2="",100,$S$2)&lt;設定!$I$29,設定!$G$10,設定!$G$9)))</f>
        <v/>
      </c>
    </row>
    <row r="146" customFormat="false" ht="21" hidden="false" customHeight="true" outlineLevel="0" collapsed="false">
      <c r="A146" s="91" t="str">
        <f aca="false">IF(名簿!$D146="","",名簿!$B146&amp;"")</f>
        <v/>
      </c>
      <c r="B146" s="91" t="str">
        <f aca="false">IF(名簿!$D146="","",名簿!$C146)</f>
        <v/>
      </c>
      <c r="C146" s="59" t="str">
        <f aca="false">IF(名簿!$D146="","",名簿!$D146&amp;IF(名簿!$F146="転出","（転出）",""))</f>
        <v/>
      </c>
      <c r="D146" s="149"/>
      <c r="E146" s="61" t="str">
        <f aca="false">IF(OR($C146="",名簿!$F146="転出"),"",IF($C$2="学級ごと",$A146,IF($C$2="前の単元と同じ",単元15!$E146&amp;"",$D146&amp;"")))</f>
        <v/>
      </c>
      <c r="F146" s="150"/>
      <c r="G146" s="150"/>
      <c r="H146" s="150"/>
      <c r="I146" s="151"/>
      <c r="J146" s="41" t="str">
        <f aca="false">IF($E146="","",$E146&amp;"|"&amp;COUNTIF($E$5:$E146,$E146))</f>
        <v/>
      </c>
      <c r="K146" s="40" t="str">
        <f aca="false">IF($I146="","",LEN($I146))</f>
        <v/>
      </c>
      <c r="L146" s="13"/>
      <c r="M146" s="13"/>
      <c r="N146" s="13"/>
      <c r="O146" s="13"/>
      <c r="P146" s="152"/>
      <c r="Q146" s="149"/>
      <c r="R146" s="152"/>
      <c r="S146" s="152"/>
      <c r="T146" s="62" t="str">
        <f aca="false">IF(OR($C146="",R146=""),"",IF(R146/IF($R$2="",100,$R$2)&gt;=設定!$I$28,設定!$G$8,IF(R146/IF($R$2="",100,$R$2)&lt;設定!$I$29,設定!$G$10,設定!$G$9)))</f>
        <v/>
      </c>
      <c r="U146" s="62" t="str">
        <f aca="false">IF(OR($C146="",S146=""),"",IF(S146/IF($S$2="",100,$S$2)&gt;=設定!$I$28,設定!$G$8,IF(S146/IF($S$2="",100,$S$2)&lt;設定!$I$29,設定!$G$10,設定!$G$9)))</f>
        <v/>
      </c>
    </row>
    <row r="147" customFormat="false" ht="21" hidden="false" customHeight="true" outlineLevel="0" collapsed="false">
      <c r="A147" s="91" t="str">
        <f aca="false">IF(名簿!$D147="","",名簿!$B147&amp;"")</f>
        <v/>
      </c>
      <c r="B147" s="91" t="str">
        <f aca="false">IF(名簿!$D147="","",名簿!$C147)</f>
        <v/>
      </c>
      <c r="C147" s="59" t="str">
        <f aca="false">IF(名簿!$D147="","",名簿!$D147&amp;IF(名簿!$F147="転出","（転出）",""))</f>
        <v/>
      </c>
      <c r="D147" s="149"/>
      <c r="E147" s="61" t="str">
        <f aca="false">IF(OR($C147="",名簿!$F147="転出"),"",IF($C$2="学級ごと",$A147,IF($C$2="前の単元と同じ",単元15!$E147&amp;"",$D147&amp;"")))</f>
        <v/>
      </c>
      <c r="F147" s="150"/>
      <c r="G147" s="150"/>
      <c r="H147" s="150"/>
      <c r="I147" s="151"/>
      <c r="J147" s="41" t="str">
        <f aca="false">IF($E147="","",$E147&amp;"|"&amp;COUNTIF($E$5:$E147,$E147))</f>
        <v/>
      </c>
      <c r="K147" s="40" t="str">
        <f aca="false">IF($I147="","",LEN($I147))</f>
        <v/>
      </c>
      <c r="L147" s="13"/>
      <c r="M147" s="13"/>
      <c r="N147" s="13"/>
      <c r="O147" s="13"/>
      <c r="P147" s="152"/>
      <c r="Q147" s="149"/>
      <c r="R147" s="152"/>
      <c r="S147" s="152"/>
      <c r="T147" s="62" t="str">
        <f aca="false">IF(OR($C147="",R147=""),"",IF(R147/IF($R$2="",100,$R$2)&gt;=設定!$I$28,設定!$G$8,IF(R147/IF($R$2="",100,$R$2)&lt;設定!$I$29,設定!$G$10,設定!$G$9)))</f>
        <v/>
      </c>
      <c r="U147" s="62" t="str">
        <f aca="false">IF(OR($C147="",S147=""),"",IF(S147/IF($S$2="",100,$S$2)&gt;=設定!$I$28,設定!$G$8,IF(S147/IF($S$2="",100,$S$2)&lt;設定!$I$29,設定!$G$10,設定!$G$9)))</f>
        <v/>
      </c>
    </row>
    <row r="148" customFormat="false" ht="21" hidden="false" customHeight="true" outlineLevel="0" collapsed="false">
      <c r="A148" s="91" t="str">
        <f aca="false">IF(名簿!$D148="","",名簿!$B148&amp;"")</f>
        <v/>
      </c>
      <c r="B148" s="91" t="str">
        <f aca="false">IF(名簿!$D148="","",名簿!$C148)</f>
        <v/>
      </c>
      <c r="C148" s="59" t="str">
        <f aca="false">IF(名簿!$D148="","",名簿!$D148&amp;IF(名簿!$F148="転出","（転出）",""))</f>
        <v/>
      </c>
      <c r="D148" s="149"/>
      <c r="E148" s="61" t="str">
        <f aca="false">IF(OR($C148="",名簿!$F148="転出"),"",IF($C$2="学級ごと",$A148,IF($C$2="前の単元と同じ",単元15!$E148&amp;"",$D148&amp;"")))</f>
        <v/>
      </c>
      <c r="F148" s="150"/>
      <c r="G148" s="150"/>
      <c r="H148" s="150"/>
      <c r="I148" s="151"/>
      <c r="J148" s="41" t="str">
        <f aca="false">IF($E148="","",$E148&amp;"|"&amp;COUNTIF($E$5:$E148,$E148))</f>
        <v/>
      </c>
      <c r="K148" s="40" t="str">
        <f aca="false">IF($I148="","",LEN($I148))</f>
        <v/>
      </c>
      <c r="L148" s="13"/>
      <c r="M148" s="13"/>
      <c r="N148" s="13"/>
      <c r="O148" s="13"/>
      <c r="P148" s="152"/>
      <c r="Q148" s="149"/>
      <c r="R148" s="152"/>
      <c r="S148" s="152"/>
      <c r="T148" s="62" t="str">
        <f aca="false">IF(OR($C148="",R148=""),"",IF(R148/IF($R$2="",100,$R$2)&gt;=設定!$I$28,設定!$G$8,IF(R148/IF($R$2="",100,$R$2)&lt;設定!$I$29,設定!$G$10,設定!$G$9)))</f>
        <v/>
      </c>
      <c r="U148" s="62" t="str">
        <f aca="false">IF(OR($C148="",S148=""),"",IF(S148/IF($S$2="",100,$S$2)&gt;=設定!$I$28,設定!$G$8,IF(S148/IF($S$2="",100,$S$2)&lt;設定!$I$29,設定!$G$10,設定!$G$9)))</f>
        <v/>
      </c>
    </row>
    <row r="149" customFormat="false" ht="21" hidden="false" customHeight="true" outlineLevel="0" collapsed="false">
      <c r="A149" s="91" t="str">
        <f aca="false">IF(名簿!$D149="","",名簿!$B149&amp;"")</f>
        <v/>
      </c>
      <c r="B149" s="91" t="str">
        <f aca="false">IF(名簿!$D149="","",名簿!$C149)</f>
        <v/>
      </c>
      <c r="C149" s="59" t="str">
        <f aca="false">IF(名簿!$D149="","",名簿!$D149&amp;IF(名簿!$F149="転出","（転出）",""))</f>
        <v/>
      </c>
      <c r="D149" s="149"/>
      <c r="E149" s="61" t="str">
        <f aca="false">IF(OR($C149="",名簿!$F149="転出"),"",IF($C$2="学級ごと",$A149,IF($C$2="前の単元と同じ",単元15!$E149&amp;"",$D149&amp;"")))</f>
        <v/>
      </c>
      <c r="F149" s="150"/>
      <c r="G149" s="150"/>
      <c r="H149" s="150"/>
      <c r="I149" s="151"/>
      <c r="J149" s="41" t="str">
        <f aca="false">IF($E149="","",$E149&amp;"|"&amp;COUNTIF($E$5:$E149,$E149))</f>
        <v/>
      </c>
      <c r="K149" s="40" t="str">
        <f aca="false">IF($I149="","",LEN($I149))</f>
        <v/>
      </c>
      <c r="L149" s="13"/>
      <c r="M149" s="13"/>
      <c r="N149" s="13"/>
      <c r="O149" s="13"/>
      <c r="P149" s="152"/>
      <c r="Q149" s="149"/>
      <c r="R149" s="152"/>
      <c r="S149" s="152"/>
      <c r="T149" s="62" t="str">
        <f aca="false">IF(OR($C149="",R149=""),"",IF(R149/IF($R$2="",100,$R$2)&gt;=設定!$I$28,設定!$G$8,IF(R149/IF($R$2="",100,$R$2)&lt;設定!$I$29,設定!$G$10,設定!$G$9)))</f>
        <v/>
      </c>
      <c r="U149" s="62" t="str">
        <f aca="false">IF(OR($C149="",S149=""),"",IF(S149/IF($S$2="",100,$S$2)&gt;=設定!$I$28,設定!$G$8,IF(S149/IF($S$2="",100,$S$2)&lt;設定!$I$29,設定!$G$10,設定!$G$9)))</f>
        <v/>
      </c>
    </row>
    <row r="150" customFormat="false" ht="21" hidden="false" customHeight="true" outlineLevel="0" collapsed="false">
      <c r="A150" s="91" t="str">
        <f aca="false">IF(名簿!$D150="","",名簿!$B150&amp;"")</f>
        <v/>
      </c>
      <c r="B150" s="91" t="str">
        <f aca="false">IF(名簿!$D150="","",名簿!$C150)</f>
        <v/>
      </c>
      <c r="C150" s="59" t="str">
        <f aca="false">IF(名簿!$D150="","",名簿!$D150&amp;IF(名簿!$F150="転出","（転出）",""))</f>
        <v/>
      </c>
      <c r="D150" s="149"/>
      <c r="E150" s="61" t="str">
        <f aca="false">IF(OR($C150="",名簿!$F150="転出"),"",IF($C$2="学級ごと",$A150,IF($C$2="前の単元と同じ",単元15!$E150&amp;"",$D150&amp;"")))</f>
        <v/>
      </c>
      <c r="F150" s="150"/>
      <c r="G150" s="150"/>
      <c r="H150" s="150"/>
      <c r="I150" s="151"/>
      <c r="J150" s="41" t="str">
        <f aca="false">IF($E150="","",$E150&amp;"|"&amp;COUNTIF($E$5:$E150,$E150))</f>
        <v/>
      </c>
      <c r="K150" s="40" t="str">
        <f aca="false">IF($I150="","",LEN($I150))</f>
        <v/>
      </c>
      <c r="L150" s="13"/>
      <c r="M150" s="13"/>
      <c r="N150" s="13"/>
      <c r="O150" s="13"/>
      <c r="P150" s="152"/>
      <c r="Q150" s="149"/>
      <c r="R150" s="152"/>
      <c r="S150" s="152"/>
      <c r="T150" s="62" t="str">
        <f aca="false">IF(OR($C150="",R150=""),"",IF(R150/IF($R$2="",100,$R$2)&gt;=設定!$I$28,設定!$G$8,IF(R150/IF($R$2="",100,$R$2)&lt;設定!$I$29,設定!$G$10,設定!$G$9)))</f>
        <v/>
      </c>
      <c r="U150" s="62" t="str">
        <f aca="false">IF(OR($C150="",S150=""),"",IF(S150/IF($S$2="",100,$S$2)&gt;=設定!$I$28,設定!$G$8,IF(S150/IF($S$2="",100,$S$2)&lt;設定!$I$29,設定!$G$10,設定!$G$9)))</f>
        <v/>
      </c>
    </row>
    <row r="151" customFormat="false" ht="21" hidden="false" customHeight="true" outlineLevel="0" collapsed="false">
      <c r="A151" s="91" t="str">
        <f aca="false">IF(名簿!$D151="","",名簿!$B151&amp;"")</f>
        <v/>
      </c>
      <c r="B151" s="91" t="str">
        <f aca="false">IF(名簿!$D151="","",名簿!$C151)</f>
        <v/>
      </c>
      <c r="C151" s="59" t="str">
        <f aca="false">IF(名簿!$D151="","",名簿!$D151&amp;IF(名簿!$F151="転出","（転出）",""))</f>
        <v/>
      </c>
      <c r="D151" s="149"/>
      <c r="E151" s="61" t="str">
        <f aca="false">IF(OR($C151="",名簿!$F151="転出"),"",IF($C$2="学級ごと",$A151,IF($C$2="前の単元と同じ",単元15!$E151&amp;"",$D151&amp;"")))</f>
        <v/>
      </c>
      <c r="F151" s="150"/>
      <c r="G151" s="150"/>
      <c r="H151" s="150"/>
      <c r="I151" s="151"/>
      <c r="J151" s="41" t="str">
        <f aca="false">IF($E151="","",$E151&amp;"|"&amp;COUNTIF($E$5:$E151,$E151))</f>
        <v/>
      </c>
      <c r="K151" s="40" t="str">
        <f aca="false">IF($I151="","",LEN($I151))</f>
        <v/>
      </c>
      <c r="L151" s="13"/>
      <c r="M151" s="13"/>
      <c r="N151" s="13"/>
      <c r="O151" s="13"/>
      <c r="P151" s="152"/>
      <c r="Q151" s="149"/>
      <c r="R151" s="152"/>
      <c r="S151" s="152"/>
      <c r="T151" s="62" t="str">
        <f aca="false">IF(OR($C151="",R151=""),"",IF(R151/IF($R$2="",100,$R$2)&gt;=設定!$I$28,設定!$G$8,IF(R151/IF($R$2="",100,$R$2)&lt;設定!$I$29,設定!$G$10,設定!$G$9)))</f>
        <v/>
      </c>
      <c r="U151" s="62" t="str">
        <f aca="false">IF(OR($C151="",S151=""),"",IF(S151/IF($S$2="",100,$S$2)&gt;=設定!$I$28,設定!$G$8,IF(S151/IF($S$2="",100,$S$2)&lt;設定!$I$29,設定!$G$10,設定!$G$9)))</f>
        <v/>
      </c>
    </row>
    <row r="152" customFormat="false" ht="21" hidden="false" customHeight="true" outlineLevel="0" collapsed="false">
      <c r="A152" s="91" t="str">
        <f aca="false">IF(名簿!$D152="","",名簿!$B152&amp;"")</f>
        <v/>
      </c>
      <c r="B152" s="91" t="str">
        <f aca="false">IF(名簿!$D152="","",名簿!$C152)</f>
        <v/>
      </c>
      <c r="C152" s="59" t="str">
        <f aca="false">IF(名簿!$D152="","",名簿!$D152&amp;IF(名簿!$F152="転出","（転出）",""))</f>
        <v/>
      </c>
      <c r="D152" s="149"/>
      <c r="E152" s="61" t="str">
        <f aca="false">IF(OR($C152="",名簿!$F152="転出"),"",IF($C$2="学級ごと",$A152,IF($C$2="前の単元と同じ",単元15!$E152&amp;"",$D152&amp;"")))</f>
        <v/>
      </c>
      <c r="F152" s="150"/>
      <c r="G152" s="150"/>
      <c r="H152" s="150"/>
      <c r="I152" s="151"/>
      <c r="J152" s="41" t="str">
        <f aca="false">IF($E152="","",$E152&amp;"|"&amp;COUNTIF($E$5:$E152,$E152))</f>
        <v/>
      </c>
      <c r="K152" s="40" t="str">
        <f aca="false">IF($I152="","",LEN($I152))</f>
        <v/>
      </c>
      <c r="L152" s="13"/>
      <c r="M152" s="13"/>
      <c r="N152" s="13"/>
      <c r="O152" s="13"/>
      <c r="P152" s="152"/>
      <c r="Q152" s="149"/>
      <c r="R152" s="152"/>
      <c r="S152" s="152"/>
      <c r="T152" s="62" t="str">
        <f aca="false">IF(OR($C152="",R152=""),"",IF(R152/IF($R$2="",100,$R$2)&gt;=設定!$I$28,設定!$G$8,IF(R152/IF($R$2="",100,$R$2)&lt;設定!$I$29,設定!$G$10,設定!$G$9)))</f>
        <v/>
      </c>
      <c r="U152" s="62" t="str">
        <f aca="false">IF(OR($C152="",S152=""),"",IF(S152/IF($S$2="",100,$S$2)&gt;=設定!$I$28,設定!$G$8,IF(S152/IF($S$2="",100,$S$2)&lt;設定!$I$29,設定!$G$10,設定!$G$9)))</f>
        <v/>
      </c>
    </row>
    <row r="153" customFormat="false" ht="21" hidden="false" customHeight="true" outlineLevel="0" collapsed="false">
      <c r="A153" s="91" t="str">
        <f aca="false">IF(名簿!$D153="","",名簿!$B153&amp;"")</f>
        <v/>
      </c>
      <c r="B153" s="91" t="str">
        <f aca="false">IF(名簿!$D153="","",名簿!$C153)</f>
        <v/>
      </c>
      <c r="C153" s="59" t="str">
        <f aca="false">IF(名簿!$D153="","",名簿!$D153&amp;IF(名簿!$F153="転出","（転出）",""))</f>
        <v/>
      </c>
      <c r="D153" s="149"/>
      <c r="E153" s="61" t="str">
        <f aca="false">IF(OR($C153="",名簿!$F153="転出"),"",IF($C$2="学級ごと",$A153,IF($C$2="前の単元と同じ",単元15!$E153&amp;"",$D153&amp;"")))</f>
        <v/>
      </c>
      <c r="F153" s="150"/>
      <c r="G153" s="150"/>
      <c r="H153" s="150"/>
      <c r="I153" s="151"/>
      <c r="J153" s="41" t="str">
        <f aca="false">IF($E153="","",$E153&amp;"|"&amp;COUNTIF($E$5:$E153,$E153))</f>
        <v/>
      </c>
      <c r="K153" s="40" t="str">
        <f aca="false">IF($I153="","",LEN($I153))</f>
        <v/>
      </c>
      <c r="L153" s="13"/>
      <c r="M153" s="13"/>
      <c r="N153" s="13"/>
      <c r="O153" s="13"/>
      <c r="P153" s="152"/>
      <c r="Q153" s="149"/>
      <c r="R153" s="152"/>
      <c r="S153" s="152"/>
      <c r="T153" s="62" t="str">
        <f aca="false">IF(OR($C153="",R153=""),"",IF(R153/IF($R$2="",100,$R$2)&gt;=設定!$I$28,設定!$G$8,IF(R153/IF($R$2="",100,$R$2)&lt;設定!$I$29,設定!$G$10,設定!$G$9)))</f>
        <v/>
      </c>
      <c r="U153" s="62" t="str">
        <f aca="false">IF(OR($C153="",S153=""),"",IF(S153/IF($S$2="",100,$S$2)&gt;=設定!$I$28,設定!$G$8,IF(S153/IF($S$2="",100,$S$2)&lt;設定!$I$29,設定!$G$10,設定!$G$9)))</f>
        <v/>
      </c>
    </row>
    <row r="154" customFormat="false" ht="21" hidden="false" customHeight="true" outlineLevel="0" collapsed="false">
      <c r="A154" s="91" t="str">
        <f aca="false">IF(名簿!$D154="","",名簿!$B154&amp;"")</f>
        <v/>
      </c>
      <c r="B154" s="91" t="str">
        <f aca="false">IF(名簿!$D154="","",名簿!$C154)</f>
        <v/>
      </c>
      <c r="C154" s="59" t="str">
        <f aca="false">IF(名簿!$D154="","",名簿!$D154&amp;IF(名簿!$F154="転出","（転出）",""))</f>
        <v/>
      </c>
      <c r="D154" s="149"/>
      <c r="E154" s="61" t="str">
        <f aca="false">IF(OR($C154="",名簿!$F154="転出"),"",IF($C$2="学級ごと",$A154,IF($C$2="前の単元と同じ",単元15!$E154&amp;"",$D154&amp;"")))</f>
        <v/>
      </c>
      <c r="F154" s="150"/>
      <c r="G154" s="150"/>
      <c r="H154" s="150"/>
      <c r="I154" s="151"/>
      <c r="J154" s="41" t="str">
        <f aca="false">IF($E154="","",$E154&amp;"|"&amp;COUNTIF($E$5:$E154,$E154))</f>
        <v/>
      </c>
      <c r="K154" s="40" t="str">
        <f aca="false">IF($I154="","",LEN($I154))</f>
        <v/>
      </c>
      <c r="L154" s="13"/>
      <c r="M154" s="13"/>
      <c r="N154" s="13"/>
      <c r="O154" s="13"/>
      <c r="P154" s="152"/>
      <c r="Q154" s="149"/>
      <c r="R154" s="152"/>
      <c r="S154" s="152"/>
      <c r="T154" s="62" t="str">
        <f aca="false">IF(OR($C154="",R154=""),"",IF(R154/IF($R$2="",100,$R$2)&gt;=設定!$I$28,設定!$G$8,IF(R154/IF($R$2="",100,$R$2)&lt;設定!$I$29,設定!$G$10,設定!$G$9)))</f>
        <v/>
      </c>
      <c r="U154" s="62" t="str">
        <f aca="false">IF(OR($C154="",S154=""),"",IF(S154/IF($S$2="",100,$S$2)&gt;=設定!$I$28,設定!$G$8,IF(S154/IF($S$2="",100,$S$2)&lt;設定!$I$29,設定!$G$10,設定!$G$9)))</f>
        <v/>
      </c>
    </row>
    <row r="155" customFormat="false" ht="21" hidden="false" customHeight="true" outlineLevel="0" collapsed="false">
      <c r="A155" s="91" t="str">
        <f aca="false">IF(名簿!$D155="","",名簿!$B155&amp;"")</f>
        <v/>
      </c>
      <c r="B155" s="91" t="str">
        <f aca="false">IF(名簿!$D155="","",名簿!$C155)</f>
        <v/>
      </c>
      <c r="C155" s="59" t="str">
        <f aca="false">IF(名簿!$D155="","",名簿!$D155&amp;IF(名簿!$F155="転出","（転出）",""))</f>
        <v/>
      </c>
      <c r="D155" s="149"/>
      <c r="E155" s="61" t="str">
        <f aca="false">IF(OR($C155="",名簿!$F155="転出"),"",IF($C$2="学級ごと",$A155,IF($C$2="前の単元と同じ",単元15!$E155&amp;"",$D155&amp;"")))</f>
        <v/>
      </c>
      <c r="F155" s="150"/>
      <c r="G155" s="150"/>
      <c r="H155" s="150"/>
      <c r="I155" s="151"/>
      <c r="J155" s="41" t="str">
        <f aca="false">IF($E155="","",$E155&amp;"|"&amp;COUNTIF($E$5:$E155,$E155))</f>
        <v/>
      </c>
      <c r="K155" s="40" t="str">
        <f aca="false">IF($I155="","",LEN($I155))</f>
        <v/>
      </c>
      <c r="L155" s="13"/>
      <c r="M155" s="13"/>
      <c r="N155" s="13"/>
      <c r="O155" s="13"/>
      <c r="P155" s="152"/>
      <c r="Q155" s="149"/>
      <c r="R155" s="152"/>
      <c r="S155" s="152"/>
      <c r="T155" s="62" t="str">
        <f aca="false">IF(OR($C155="",R155=""),"",IF(R155/IF($R$2="",100,$R$2)&gt;=設定!$I$28,設定!$G$8,IF(R155/IF($R$2="",100,$R$2)&lt;設定!$I$29,設定!$G$10,設定!$G$9)))</f>
        <v/>
      </c>
      <c r="U155" s="62" t="str">
        <f aca="false">IF(OR($C155="",S155=""),"",IF(S155/IF($S$2="",100,$S$2)&gt;=設定!$I$28,設定!$G$8,IF(S155/IF($S$2="",100,$S$2)&lt;設定!$I$29,設定!$G$10,設定!$G$9)))</f>
        <v/>
      </c>
    </row>
    <row r="156" customFormat="false" ht="21" hidden="false" customHeight="true" outlineLevel="0" collapsed="false">
      <c r="A156" s="91" t="str">
        <f aca="false">IF(名簿!$D156="","",名簿!$B156&amp;"")</f>
        <v/>
      </c>
      <c r="B156" s="91" t="str">
        <f aca="false">IF(名簿!$D156="","",名簿!$C156)</f>
        <v/>
      </c>
      <c r="C156" s="59" t="str">
        <f aca="false">IF(名簿!$D156="","",名簿!$D156&amp;IF(名簿!$F156="転出","（転出）",""))</f>
        <v/>
      </c>
      <c r="D156" s="149"/>
      <c r="E156" s="61" t="str">
        <f aca="false">IF(OR($C156="",名簿!$F156="転出"),"",IF($C$2="学級ごと",$A156,IF($C$2="前の単元と同じ",単元15!$E156&amp;"",$D156&amp;"")))</f>
        <v/>
      </c>
      <c r="F156" s="150"/>
      <c r="G156" s="150"/>
      <c r="H156" s="150"/>
      <c r="I156" s="151"/>
      <c r="J156" s="41" t="str">
        <f aca="false">IF($E156="","",$E156&amp;"|"&amp;COUNTIF($E$5:$E156,$E156))</f>
        <v/>
      </c>
      <c r="K156" s="40" t="str">
        <f aca="false">IF($I156="","",LEN($I156))</f>
        <v/>
      </c>
      <c r="L156" s="13"/>
      <c r="M156" s="13"/>
      <c r="N156" s="13"/>
      <c r="O156" s="13"/>
      <c r="P156" s="152"/>
      <c r="Q156" s="149"/>
      <c r="R156" s="152"/>
      <c r="S156" s="152"/>
      <c r="T156" s="62" t="str">
        <f aca="false">IF(OR($C156="",R156=""),"",IF(R156/IF($R$2="",100,$R$2)&gt;=設定!$I$28,設定!$G$8,IF(R156/IF($R$2="",100,$R$2)&lt;設定!$I$29,設定!$G$10,設定!$G$9)))</f>
        <v/>
      </c>
      <c r="U156" s="62" t="str">
        <f aca="false">IF(OR($C156="",S156=""),"",IF(S156/IF($S$2="",100,$S$2)&gt;=設定!$I$28,設定!$G$8,IF(S156/IF($S$2="",100,$S$2)&lt;設定!$I$29,設定!$G$10,設定!$G$9)))</f>
        <v/>
      </c>
    </row>
    <row r="157" customFormat="false" ht="21" hidden="false" customHeight="true" outlineLevel="0" collapsed="false">
      <c r="A157" s="91" t="str">
        <f aca="false">IF(名簿!$D157="","",名簿!$B157&amp;"")</f>
        <v/>
      </c>
      <c r="B157" s="91" t="str">
        <f aca="false">IF(名簿!$D157="","",名簿!$C157)</f>
        <v/>
      </c>
      <c r="C157" s="59" t="str">
        <f aca="false">IF(名簿!$D157="","",名簿!$D157&amp;IF(名簿!$F157="転出","（転出）",""))</f>
        <v/>
      </c>
      <c r="D157" s="149"/>
      <c r="E157" s="61" t="str">
        <f aca="false">IF(OR($C157="",名簿!$F157="転出"),"",IF($C$2="学級ごと",$A157,IF($C$2="前の単元と同じ",単元15!$E157&amp;"",$D157&amp;"")))</f>
        <v/>
      </c>
      <c r="F157" s="150"/>
      <c r="G157" s="150"/>
      <c r="H157" s="150"/>
      <c r="I157" s="151"/>
      <c r="J157" s="41" t="str">
        <f aca="false">IF($E157="","",$E157&amp;"|"&amp;COUNTIF($E$5:$E157,$E157))</f>
        <v/>
      </c>
      <c r="K157" s="40" t="str">
        <f aca="false">IF($I157="","",LEN($I157))</f>
        <v/>
      </c>
      <c r="L157" s="13"/>
      <c r="M157" s="13"/>
      <c r="N157" s="13"/>
      <c r="O157" s="13"/>
      <c r="P157" s="152"/>
      <c r="Q157" s="149"/>
      <c r="R157" s="152"/>
      <c r="S157" s="152"/>
      <c r="T157" s="62" t="str">
        <f aca="false">IF(OR($C157="",R157=""),"",IF(R157/IF($R$2="",100,$R$2)&gt;=設定!$I$28,設定!$G$8,IF(R157/IF($R$2="",100,$R$2)&lt;設定!$I$29,設定!$G$10,設定!$G$9)))</f>
        <v/>
      </c>
      <c r="U157" s="62" t="str">
        <f aca="false">IF(OR($C157="",S157=""),"",IF(S157/IF($S$2="",100,$S$2)&gt;=設定!$I$28,設定!$G$8,IF(S157/IF($S$2="",100,$S$2)&lt;設定!$I$29,設定!$G$10,設定!$G$9)))</f>
        <v/>
      </c>
    </row>
    <row r="158" customFormat="false" ht="21" hidden="false" customHeight="true" outlineLevel="0" collapsed="false">
      <c r="A158" s="91" t="str">
        <f aca="false">IF(名簿!$D158="","",名簿!$B158&amp;"")</f>
        <v/>
      </c>
      <c r="B158" s="91" t="str">
        <f aca="false">IF(名簿!$D158="","",名簿!$C158)</f>
        <v/>
      </c>
      <c r="C158" s="59" t="str">
        <f aca="false">IF(名簿!$D158="","",名簿!$D158&amp;IF(名簿!$F158="転出","（転出）",""))</f>
        <v/>
      </c>
      <c r="D158" s="149"/>
      <c r="E158" s="61" t="str">
        <f aca="false">IF(OR($C158="",名簿!$F158="転出"),"",IF($C$2="学級ごと",$A158,IF($C$2="前の単元と同じ",単元15!$E158&amp;"",$D158&amp;"")))</f>
        <v/>
      </c>
      <c r="F158" s="150"/>
      <c r="G158" s="150"/>
      <c r="H158" s="150"/>
      <c r="I158" s="151"/>
      <c r="J158" s="41" t="str">
        <f aca="false">IF($E158="","",$E158&amp;"|"&amp;COUNTIF($E$5:$E158,$E158))</f>
        <v/>
      </c>
      <c r="K158" s="40" t="str">
        <f aca="false">IF($I158="","",LEN($I158))</f>
        <v/>
      </c>
      <c r="L158" s="13"/>
      <c r="M158" s="13"/>
      <c r="N158" s="13"/>
      <c r="O158" s="13"/>
      <c r="P158" s="152"/>
      <c r="Q158" s="149"/>
      <c r="R158" s="152"/>
      <c r="S158" s="152"/>
      <c r="T158" s="62" t="str">
        <f aca="false">IF(OR($C158="",R158=""),"",IF(R158/IF($R$2="",100,$R$2)&gt;=設定!$I$28,設定!$G$8,IF(R158/IF($R$2="",100,$R$2)&lt;設定!$I$29,設定!$G$10,設定!$G$9)))</f>
        <v/>
      </c>
      <c r="U158" s="62" t="str">
        <f aca="false">IF(OR($C158="",S158=""),"",IF(S158/IF($S$2="",100,$S$2)&gt;=設定!$I$28,設定!$G$8,IF(S158/IF($S$2="",100,$S$2)&lt;設定!$I$29,設定!$G$10,設定!$G$9)))</f>
        <v/>
      </c>
    </row>
    <row r="159" customFormat="false" ht="21" hidden="false" customHeight="true" outlineLevel="0" collapsed="false">
      <c r="A159" s="91" t="str">
        <f aca="false">IF(名簿!$D159="","",名簿!$B159&amp;"")</f>
        <v/>
      </c>
      <c r="B159" s="91" t="str">
        <f aca="false">IF(名簿!$D159="","",名簿!$C159)</f>
        <v/>
      </c>
      <c r="C159" s="59" t="str">
        <f aca="false">IF(名簿!$D159="","",名簿!$D159&amp;IF(名簿!$F159="転出","（転出）",""))</f>
        <v/>
      </c>
      <c r="D159" s="149"/>
      <c r="E159" s="61" t="str">
        <f aca="false">IF(OR($C159="",名簿!$F159="転出"),"",IF($C$2="学級ごと",$A159,IF($C$2="前の単元と同じ",単元15!$E159&amp;"",$D159&amp;"")))</f>
        <v/>
      </c>
      <c r="F159" s="150"/>
      <c r="G159" s="150"/>
      <c r="H159" s="150"/>
      <c r="I159" s="151"/>
      <c r="J159" s="41" t="str">
        <f aca="false">IF($E159="","",$E159&amp;"|"&amp;COUNTIF($E$5:$E159,$E159))</f>
        <v/>
      </c>
      <c r="K159" s="40" t="str">
        <f aca="false">IF($I159="","",LEN($I159))</f>
        <v/>
      </c>
      <c r="L159" s="13"/>
      <c r="M159" s="13"/>
      <c r="N159" s="13"/>
      <c r="O159" s="13"/>
      <c r="P159" s="152"/>
      <c r="Q159" s="149"/>
      <c r="R159" s="152"/>
      <c r="S159" s="152"/>
      <c r="T159" s="62" t="str">
        <f aca="false">IF(OR($C159="",R159=""),"",IF(R159/IF($R$2="",100,$R$2)&gt;=設定!$I$28,設定!$G$8,IF(R159/IF($R$2="",100,$R$2)&lt;設定!$I$29,設定!$G$10,設定!$G$9)))</f>
        <v/>
      </c>
      <c r="U159" s="62" t="str">
        <f aca="false">IF(OR($C159="",S159=""),"",IF(S159/IF($S$2="",100,$S$2)&gt;=設定!$I$28,設定!$G$8,IF(S159/IF($S$2="",100,$S$2)&lt;設定!$I$29,設定!$G$10,設定!$G$9)))</f>
        <v/>
      </c>
    </row>
    <row r="160" customFormat="false" ht="21" hidden="false" customHeight="true" outlineLevel="0" collapsed="false">
      <c r="A160" s="91" t="str">
        <f aca="false">IF(名簿!$D160="","",名簿!$B160&amp;"")</f>
        <v/>
      </c>
      <c r="B160" s="91" t="str">
        <f aca="false">IF(名簿!$D160="","",名簿!$C160)</f>
        <v/>
      </c>
      <c r="C160" s="59" t="str">
        <f aca="false">IF(名簿!$D160="","",名簿!$D160&amp;IF(名簿!$F160="転出","（転出）",""))</f>
        <v/>
      </c>
      <c r="D160" s="149"/>
      <c r="E160" s="61" t="str">
        <f aca="false">IF(OR($C160="",名簿!$F160="転出"),"",IF($C$2="学級ごと",$A160,IF($C$2="前の単元と同じ",単元15!$E160&amp;"",$D160&amp;"")))</f>
        <v/>
      </c>
      <c r="F160" s="150"/>
      <c r="G160" s="150"/>
      <c r="H160" s="150"/>
      <c r="I160" s="151"/>
      <c r="J160" s="41" t="str">
        <f aca="false">IF($E160="","",$E160&amp;"|"&amp;COUNTIF($E$5:$E160,$E160))</f>
        <v/>
      </c>
      <c r="K160" s="40" t="str">
        <f aca="false">IF($I160="","",LEN($I160))</f>
        <v/>
      </c>
      <c r="L160" s="13"/>
      <c r="M160" s="13"/>
      <c r="N160" s="13"/>
      <c r="O160" s="13"/>
      <c r="P160" s="152"/>
      <c r="Q160" s="149"/>
      <c r="R160" s="152"/>
      <c r="S160" s="152"/>
      <c r="T160" s="62" t="str">
        <f aca="false">IF(OR($C160="",R160=""),"",IF(R160/IF($R$2="",100,$R$2)&gt;=設定!$I$28,設定!$G$8,IF(R160/IF($R$2="",100,$R$2)&lt;設定!$I$29,設定!$G$10,設定!$G$9)))</f>
        <v/>
      </c>
      <c r="U160" s="62" t="str">
        <f aca="false">IF(OR($C160="",S160=""),"",IF(S160/IF($S$2="",100,$S$2)&gt;=設定!$I$28,設定!$G$8,IF(S160/IF($S$2="",100,$S$2)&lt;設定!$I$29,設定!$G$10,設定!$G$9)))</f>
        <v/>
      </c>
    </row>
    <row r="161" customFormat="false" ht="21" hidden="false" customHeight="true" outlineLevel="0" collapsed="false">
      <c r="A161" s="91" t="str">
        <f aca="false">IF(名簿!$D161="","",名簿!$B161&amp;"")</f>
        <v/>
      </c>
      <c r="B161" s="91" t="str">
        <f aca="false">IF(名簿!$D161="","",名簿!$C161)</f>
        <v/>
      </c>
      <c r="C161" s="59" t="str">
        <f aca="false">IF(名簿!$D161="","",名簿!$D161&amp;IF(名簿!$F161="転出","（転出）",""))</f>
        <v/>
      </c>
      <c r="D161" s="149"/>
      <c r="E161" s="61" t="str">
        <f aca="false">IF(OR($C161="",名簿!$F161="転出"),"",IF($C$2="学級ごと",$A161,IF($C$2="前の単元と同じ",単元15!$E161&amp;"",$D161&amp;"")))</f>
        <v/>
      </c>
      <c r="F161" s="150"/>
      <c r="G161" s="150"/>
      <c r="H161" s="150"/>
      <c r="I161" s="151"/>
      <c r="J161" s="41" t="str">
        <f aca="false">IF($E161="","",$E161&amp;"|"&amp;COUNTIF($E$5:$E161,$E161))</f>
        <v/>
      </c>
      <c r="K161" s="40" t="str">
        <f aca="false">IF($I161="","",LEN($I161))</f>
        <v/>
      </c>
      <c r="L161" s="13"/>
      <c r="M161" s="13"/>
      <c r="N161" s="13"/>
      <c r="O161" s="13"/>
      <c r="P161" s="152"/>
      <c r="Q161" s="149"/>
      <c r="R161" s="152"/>
      <c r="S161" s="152"/>
      <c r="T161" s="62" t="str">
        <f aca="false">IF(OR($C161="",R161=""),"",IF(R161/IF($R$2="",100,$R$2)&gt;=設定!$I$28,設定!$G$8,IF(R161/IF($R$2="",100,$R$2)&lt;設定!$I$29,設定!$G$10,設定!$G$9)))</f>
        <v/>
      </c>
      <c r="U161" s="62" t="str">
        <f aca="false">IF(OR($C161="",S161=""),"",IF(S161/IF($S$2="",100,$S$2)&gt;=設定!$I$28,設定!$G$8,IF(S161/IF($S$2="",100,$S$2)&lt;設定!$I$29,設定!$G$10,設定!$G$9)))</f>
        <v/>
      </c>
    </row>
    <row r="162" customFormat="false" ht="21" hidden="false" customHeight="true" outlineLevel="0" collapsed="false">
      <c r="A162" s="91" t="str">
        <f aca="false">IF(名簿!$D162="","",名簿!$B162&amp;"")</f>
        <v/>
      </c>
      <c r="B162" s="91" t="str">
        <f aca="false">IF(名簿!$D162="","",名簿!$C162)</f>
        <v/>
      </c>
      <c r="C162" s="59" t="str">
        <f aca="false">IF(名簿!$D162="","",名簿!$D162&amp;IF(名簿!$F162="転出","（転出）",""))</f>
        <v/>
      </c>
      <c r="D162" s="149"/>
      <c r="E162" s="61" t="str">
        <f aca="false">IF(OR($C162="",名簿!$F162="転出"),"",IF($C$2="学級ごと",$A162,IF($C$2="前の単元と同じ",単元15!$E162&amp;"",$D162&amp;"")))</f>
        <v/>
      </c>
      <c r="F162" s="150"/>
      <c r="G162" s="150"/>
      <c r="H162" s="150"/>
      <c r="I162" s="151"/>
      <c r="J162" s="41" t="str">
        <f aca="false">IF($E162="","",$E162&amp;"|"&amp;COUNTIF($E$5:$E162,$E162))</f>
        <v/>
      </c>
      <c r="K162" s="40" t="str">
        <f aca="false">IF($I162="","",LEN($I162))</f>
        <v/>
      </c>
      <c r="L162" s="13"/>
      <c r="M162" s="13"/>
      <c r="N162" s="13"/>
      <c r="O162" s="13"/>
      <c r="P162" s="152"/>
      <c r="Q162" s="149"/>
      <c r="R162" s="152"/>
      <c r="S162" s="152"/>
      <c r="T162" s="62" t="str">
        <f aca="false">IF(OR($C162="",R162=""),"",IF(R162/IF($R$2="",100,$R$2)&gt;=設定!$I$28,設定!$G$8,IF(R162/IF($R$2="",100,$R$2)&lt;設定!$I$29,設定!$G$10,設定!$G$9)))</f>
        <v/>
      </c>
      <c r="U162" s="62" t="str">
        <f aca="false">IF(OR($C162="",S162=""),"",IF(S162/IF($S$2="",100,$S$2)&gt;=設定!$I$28,設定!$G$8,IF(S162/IF($S$2="",100,$S$2)&lt;設定!$I$29,設定!$G$10,設定!$G$9)))</f>
        <v/>
      </c>
    </row>
    <row r="163" customFormat="false" ht="21" hidden="false" customHeight="true" outlineLevel="0" collapsed="false">
      <c r="A163" s="91" t="str">
        <f aca="false">IF(名簿!$D163="","",名簿!$B163&amp;"")</f>
        <v/>
      </c>
      <c r="B163" s="91" t="str">
        <f aca="false">IF(名簿!$D163="","",名簿!$C163)</f>
        <v/>
      </c>
      <c r="C163" s="59" t="str">
        <f aca="false">IF(名簿!$D163="","",名簿!$D163&amp;IF(名簿!$F163="転出","（転出）",""))</f>
        <v/>
      </c>
      <c r="D163" s="149"/>
      <c r="E163" s="61" t="str">
        <f aca="false">IF(OR($C163="",名簿!$F163="転出"),"",IF($C$2="学級ごと",$A163,IF($C$2="前の単元と同じ",単元15!$E163&amp;"",$D163&amp;"")))</f>
        <v/>
      </c>
      <c r="F163" s="150"/>
      <c r="G163" s="150"/>
      <c r="H163" s="150"/>
      <c r="I163" s="151"/>
      <c r="J163" s="41" t="str">
        <f aca="false">IF($E163="","",$E163&amp;"|"&amp;COUNTIF($E$5:$E163,$E163))</f>
        <v/>
      </c>
      <c r="K163" s="40" t="str">
        <f aca="false">IF($I163="","",LEN($I163))</f>
        <v/>
      </c>
      <c r="L163" s="13"/>
      <c r="M163" s="13"/>
      <c r="N163" s="13"/>
      <c r="O163" s="13"/>
      <c r="P163" s="152"/>
      <c r="Q163" s="149"/>
      <c r="R163" s="152"/>
      <c r="S163" s="152"/>
      <c r="T163" s="62" t="str">
        <f aca="false">IF(OR($C163="",R163=""),"",IF(R163/IF($R$2="",100,$R$2)&gt;=設定!$I$28,設定!$G$8,IF(R163/IF($R$2="",100,$R$2)&lt;設定!$I$29,設定!$G$10,設定!$G$9)))</f>
        <v/>
      </c>
      <c r="U163" s="62" t="str">
        <f aca="false">IF(OR($C163="",S163=""),"",IF(S163/IF($S$2="",100,$S$2)&gt;=設定!$I$28,設定!$G$8,IF(S163/IF($S$2="",100,$S$2)&lt;設定!$I$29,設定!$G$10,設定!$G$9)))</f>
        <v/>
      </c>
    </row>
    <row r="164" customFormat="false" ht="21" hidden="false" customHeight="true" outlineLevel="0" collapsed="false">
      <c r="A164" s="91" t="str">
        <f aca="false">IF(名簿!$D164="","",名簿!$B164&amp;"")</f>
        <v/>
      </c>
      <c r="B164" s="91" t="str">
        <f aca="false">IF(名簿!$D164="","",名簿!$C164)</f>
        <v/>
      </c>
      <c r="C164" s="59" t="str">
        <f aca="false">IF(名簿!$D164="","",名簿!$D164&amp;IF(名簿!$F164="転出","（転出）",""))</f>
        <v/>
      </c>
      <c r="D164" s="149"/>
      <c r="E164" s="61" t="str">
        <f aca="false">IF(OR($C164="",名簿!$F164="転出"),"",IF($C$2="学級ごと",$A164,IF($C$2="前の単元と同じ",単元15!$E164&amp;"",$D164&amp;"")))</f>
        <v/>
      </c>
      <c r="F164" s="150"/>
      <c r="G164" s="150"/>
      <c r="H164" s="150"/>
      <c r="I164" s="151"/>
      <c r="J164" s="41" t="str">
        <f aca="false">IF($E164="","",$E164&amp;"|"&amp;COUNTIF($E$5:$E164,$E164))</f>
        <v/>
      </c>
      <c r="K164" s="40" t="str">
        <f aca="false">IF($I164="","",LEN($I164))</f>
        <v/>
      </c>
      <c r="L164" s="13"/>
      <c r="M164" s="13"/>
      <c r="N164" s="13"/>
      <c r="O164" s="13"/>
      <c r="P164" s="152"/>
      <c r="Q164" s="149"/>
      <c r="R164" s="152"/>
      <c r="S164" s="152"/>
      <c r="T164" s="62" t="str">
        <f aca="false">IF(OR($C164="",R164=""),"",IF(R164/IF($R$2="",100,$R$2)&gt;=設定!$I$28,設定!$G$8,IF(R164/IF($R$2="",100,$R$2)&lt;設定!$I$29,設定!$G$10,設定!$G$9)))</f>
        <v/>
      </c>
      <c r="U164" s="62" t="str">
        <f aca="false">IF(OR($C164="",S164=""),"",IF(S164/IF($S$2="",100,$S$2)&gt;=設定!$I$28,設定!$G$8,IF(S164/IF($S$2="",100,$S$2)&lt;設定!$I$29,設定!$G$10,設定!$G$9)))</f>
        <v/>
      </c>
    </row>
  </sheetData>
  <sheetProtection sheet="true" formatColumns="false" formatRows="false" autoFilter="false"/>
  <autoFilter ref="A4:I164"/>
  <mergeCells count="5">
    <mergeCell ref="A1:I1"/>
    <mergeCell ref="R1:U1"/>
    <mergeCell ref="A2:B2"/>
    <mergeCell ref="D2:I2"/>
    <mergeCell ref="T2:U2"/>
  </mergeCells>
  <conditionalFormatting sqref="A5:C164">
    <cfRule type="expression" priority="2" aboveAverage="0" equalAverage="0" bottom="0" percent="0" rank="0" text="" dxfId="37">
      <formula>RIGHT($C5,4)="（転出）"</formula>
    </cfRule>
    <cfRule type="expression" priority="3" aboveAverage="0" equalAverage="0" bottom="0" percent="0" rank="0" text="" dxfId="8">
      <formula>$C5&lt;&gt;""</formula>
    </cfRule>
  </conditionalFormatting>
  <conditionalFormatting sqref="D5:D164">
    <cfRule type="expression" priority="4" aboveAverage="0" equalAverage="0" bottom="0" percent="0" rank="0" text="" dxfId="37">
      <formula>RIGHT($C5,4)="（転出）"</formula>
    </cfRule>
    <cfRule type="expression" priority="5" aboveAverage="0" equalAverage="0" bottom="0" percent="0" rank="0" text="" dxfId="38">
      <formula>AND($C5&lt;&gt;"",$C$2&lt;&gt;"習熟度別")</formula>
    </cfRule>
    <cfRule type="expression" priority="6" aboveAverage="0" equalAverage="0" bottom="0" percent="0" rank="0" text="" dxfId="39">
      <formula>AND($C5&lt;&gt;"",$E5="")</formula>
    </cfRule>
    <cfRule type="expression" priority="7" aboveAverage="0" equalAverage="0" bottom="0" percent="0" rank="0" text="" dxfId="39">
      <formula>AND($C5&lt;&gt;"",$D5&lt;&gt;"",COUNTIF(コース一覧,$D5)=0)</formula>
    </cfRule>
    <cfRule type="expression" priority="8" aboveAverage="0" equalAverage="0" bottom="0" percent="0" rank="0" text="" dxfId="40">
      <formula>AND($C5&lt;&gt;"",$C$2="習熟度別",$Q5&lt;&gt;"",$E5&lt;&gt;"",$Q5&lt;&gt;$E5)</formula>
    </cfRule>
    <cfRule type="expression" priority="9" aboveAverage="0" equalAverage="0" bottom="0" percent="0" rank="0" text="" dxfId="41">
      <formula>$C5&lt;&gt;""</formula>
    </cfRule>
  </conditionalFormatting>
  <conditionalFormatting sqref="E5:E164">
    <cfRule type="expression" priority="10" aboveAverage="0" equalAverage="0" bottom="0" percent="0" rank="0" text="" dxfId="37">
      <formula>RIGHT($C5,4)="（転出）"</formula>
    </cfRule>
    <cfRule type="expression" priority="11" aboveAverage="0" equalAverage="0" bottom="0" percent="0" rank="0" text="" dxfId="42">
      <formula>AND($E5&lt;&gt;"",$E5=$L$2)</formula>
    </cfRule>
    <cfRule type="expression" priority="12" aboveAverage="0" equalAverage="0" bottom="0" percent="0" rank="0" text="" dxfId="43">
      <formula>AND($E5&lt;&gt;"",$E5=$L$3)</formula>
    </cfRule>
    <cfRule type="expression" priority="13" aboveAverage="0" equalAverage="0" bottom="0" percent="0" rank="0" text="" dxfId="44">
      <formula>AND($E5&lt;&gt;"",$E5=$L$4)</formula>
    </cfRule>
    <cfRule type="expression" priority="14" aboveAverage="0" equalAverage="0" bottom="0" percent="0" rank="0" text="" dxfId="45">
      <formula>AND($E5&lt;&gt;"",$E5=$L$5)</formula>
    </cfRule>
    <cfRule type="expression" priority="15" aboveAverage="0" equalAverage="0" bottom="0" percent="0" rank="0" text="" dxfId="46">
      <formula>AND($E5&lt;&gt;"",$E5=$L$6)</formula>
    </cfRule>
    <cfRule type="expression" priority="16" aboveAverage="0" equalAverage="0" bottom="0" percent="0" rank="0" text="" dxfId="8">
      <formula>$C5&lt;&gt;""</formula>
    </cfRule>
  </conditionalFormatting>
  <conditionalFormatting sqref="F5:H164">
    <cfRule type="expression" priority="17" aboveAverage="0" equalAverage="0" bottom="0" percent="0" rank="0" text="" dxfId="37">
      <formula>RIGHT($C5,4)="（転出）"</formula>
    </cfRule>
    <cfRule type="expression" priority="18" aboveAverage="0" equalAverage="0" bottom="0" percent="0" rank="0" text="" dxfId="12">
      <formula>AND(F5&lt;&gt;"",F5=設定!$G$10)</formula>
    </cfRule>
    <cfRule type="expression" priority="19" aboveAverage="0" equalAverage="0" bottom="0" percent="0" rank="0" text="" dxfId="47">
      <formula>AND(F5&lt;&gt;"",F5=設定!$G$8)</formula>
    </cfRule>
    <cfRule type="expression" priority="20" aboveAverage="0" equalAverage="0" bottom="0" percent="0" rank="0" text="" dxfId="41">
      <formula>AND($C5&lt;&gt;"",$E5&lt;&gt;"")</formula>
    </cfRule>
    <cfRule type="expression" priority="21" aboveAverage="0" equalAverage="0" bottom="0" percent="0" rank="0" text="" dxfId="8">
      <formula>$C5&lt;&gt;""</formula>
    </cfRule>
  </conditionalFormatting>
  <conditionalFormatting sqref="I5:I164">
    <cfRule type="expression" priority="22" aboveAverage="0" equalAverage="0" bottom="0" percent="0" rank="0" text="" dxfId="37">
      <formula>RIGHT($C5,4)="（転出）"</formula>
    </cfRule>
    <cfRule type="expression" priority="23" aboveAverage="0" equalAverage="0" bottom="0" percent="0" rank="0" text="" dxfId="48">
      <formula>AND($C5&lt;&gt;"",$I5&lt;&gt;"",ISNUMBER(設定!$I$22),LEN($I5)&gt;設定!$I$22)</formula>
    </cfRule>
    <cfRule type="expression" priority="24" aboveAverage="0" equalAverage="0" bottom="0" percent="0" rank="0" text="" dxfId="41">
      <formula>AND($C5&lt;&gt;"",$E5&lt;&gt;"")</formula>
    </cfRule>
    <cfRule type="expression" priority="25" aboveAverage="0" equalAverage="0" bottom="0" percent="0" rank="0" text="" dxfId="8">
      <formula>$C5&lt;&gt;""</formula>
    </cfRule>
  </conditionalFormatting>
  <conditionalFormatting sqref="K5:K164">
    <cfRule type="expression" priority="26" aboveAverage="0" equalAverage="0" bottom="0" percent="0" rank="0" text="" dxfId="49">
      <formula>AND($K5&lt;&gt;"",ISNUMBER(設定!$I$22),$K5&gt;設定!$I$22)</formula>
    </cfRule>
    <cfRule type="expression" priority="27" aboveAverage="0" equalAverage="0" bottom="0" percent="0" rank="0" text="" dxfId="50">
      <formula>$C5&lt;&gt;""</formula>
    </cfRule>
  </conditionalFormatting>
  <conditionalFormatting sqref="P5:P164">
    <cfRule type="expression" priority="28" aboveAverage="0" equalAverage="0" bottom="0" percent="0" rank="0" text="" dxfId="41">
      <formula>$C5&lt;&gt;""</formula>
    </cfRule>
  </conditionalFormatting>
  <conditionalFormatting sqref="R5:R164">
    <cfRule type="expression" priority="29" aboveAverage="0" equalAverage="0" bottom="0" percent="0" rank="0" text="" dxfId="49">
      <formula>AND($C5&lt;&gt;"",$R5&lt;&gt;"",$R$2&lt;&gt;"",$R5&gt;$R$2)</formula>
    </cfRule>
    <cfRule type="expression" priority="30" aboveAverage="0" equalAverage="0" bottom="0" percent="0" rank="0" text="" dxfId="41">
      <formula>$C5&lt;&gt;""</formula>
    </cfRule>
  </conditionalFormatting>
  <conditionalFormatting sqref="S5:S164">
    <cfRule type="expression" priority="31" aboveAverage="0" equalAverage="0" bottom="0" percent="0" rank="0" text="" dxfId="49">
      <formula>AND($C5&lt;&gt;"",$S5&lt;&gt;"",$S$2&lt;&gt;"",$S5&gt;$S$2)</formula>
    </cfRule>
    <cfRule type="expression" priority="32" aboveAverage="0" equalAverage="0" bottom="0" percent="0" rank="0" text="" dxfId="41">
      <formula>$C5&lt;&gt;""</formula>
    </cfRule>
  </conditionalFormatting>
  <conditionalFormatting sqref="T5:U164">
    <cfRule type="expression" priority="33" aboveAverage="0" equalAverage="0" bottom="0" percent="0" rank="0" text="" dxfId="12">
      <formula>AND(T5&lt;&gt;"",T5=設定!$G$10)</formula>
    </cfRule>
    <cfRule type="expression" priority="34" aboveAverage="0" equalAverage="0" bottom="0" percent="0" rank="0" text="" dxfId="51">
      <formula>AND(T5&lt;&gt;"",T5=設定!$G$8)</formula>
    </cfRule>
    <cfRule type="expression" priority="35" aboveAverage="0" equalAverage="0" bottom="0" percent="0" rank="0" text="" dxfId="19">
      <formula>$C5&lt;&gt;""</formula>
    </cfRule>
  </conditionalFormatting>
  <conditionalFormatting sqref="Q5:Q164">
    <cfRule type="expression" priority="36" aboveAverage="0" equalAverage="0" bottom="0" percent="0" rank="0" text="" dxfId="40">
      <formula>AND($C5&lt;&gt;"",$Q5&lt;&gt;"",$E5&lt;&gt;"",$Q5&lt;&gt;$E5)</formula>
    </cfRule>
    <cfRule type="expression" priority="37" aboveAverage="0" equalAverage="0" bottom="0" percent="0" rank="0" text="" dxfId="41">
      <formula>$C5&lt;&gt;""</formula>
    </cfRule>
  </conditionalFormatting>
  <conditionalFormatting sqref="L2:N2">
    <cfRule type="expression" priority="38" aboveAverage="0" equalAverage="0" bottom="0" percent="0" rank="0" text="" dxfId="14">
      <formula>$L2=""</formula>
    </cfRule>
  </conditionalFormatting>
  <conditionalFormatting sqref="L3:N3">
    <cfRule type="expression" priority="39" aboveAverage="0" equalAverage="0" bottom="0" percent="0" rank="0" text="" dxfId="14">
      <formula>$L3=""</formula>
    </cfRule>
  </conditionalFormatting>
  <conditionalFormatting sqref="L4:N4">
    <cfRule type="expression" priority="40" aboveAverage="0" equalAverage="0" bottom="0" percent="0" rank="0" text="" dxfId="14">
      <formula>$L4=""</formula>
    </cfRule>
  </conditionalFormatting>
  <conditionalFormatting sqref="L5:N5">
    <cfRule type="expression" priority="41" aboveAverage="0" equalAverage="0" bottom="0" percent="0" rank="0" text="" dxfId="14">
      <formula>$L5=""</formula>
    </cfRule>
  </conditionalFormatting>
  <conditionalFormatting sqref="L6:N6">
    <cfRule type="expression" priority="42" aboveAverage="0" equalAverage="0" bottom="0" percent="0" rank="0" text="" dxfId="14">
      <formula>$L6=""</formula>
    </cfRule>
  </conditionalFormatting>
  <conditionalFormatting sqref="N7">
    <cfRule type="expression" priority="43" aboveAverage="0" equalAverage="0" bottom="0" percent="0" rank="0" text="" dxfId="52">
      <formula>$N$7=0</formula>
    </cfRule>
  </conditionalFormatting>
  <dataValidations count="6">
    <dataValidation allowBlank="true" error="点数（数字）を入力してください。" errorStyle="stop" operator="between" showDropDown="false" showErrorMessage="true" showInputMessage="false" sqref="R2:S2 P5:P164 R5:S164" type="decimal">
      <formula1>0</formula1>
      <formula2>1000</formula2>
    </dataValidation>
    <dataValidation allowBlank="false" error="一覧から選んでください。" errorStyle="stop" errorTitle="入力エラー" operator="between" showDropDown="false" showErrorMessage="true" showInputMessage="false" sqref="C2" type="list">
      <formula1>"習熟度別,前の単元と同じ,学級ごと"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D5:D164" type="list">
      <formula1>コース一覧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Q5:Q164" type="list">
      <formula1>コース一覧</formula1>
      <formula2>0</formula2>
    </dataValidation>
    <dataValidation allowBlank="true" error="設定シートの評価記号（A/B/C）から選んでください。" errorStyle="stop" errorTitle="入力エラー" operator="between" showDropDown="false" showErrorMessage="true" showInputMessage="false" sqref="F5:H164" type="list">
      <formula1>評価記号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M2:M6" type="list">
      <formula1>担当者一覧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U16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5"/>
    <col collapsed="false" customWidth="true" hidden="false" outlineLevel="0" max="3" min="3" style="0" width="17"/>
    <col collapsed="false" customWidth="true" hidden="false" outlineLevel="0" max="4" min="4" style="0" width="11"/>
    <col collapsed="false" customWidth="true" hidden="false" outlineLevel="0" max="5" min="5" style="0" width="12"/>
    <col collapsed="false" customWidth="true" hidden="false" outlineLevel="0" max="8" min="6" style="0" width="6"/>
    <col collapsed="false" customWidth="true" hidden="false" outlineLevel="0" max="9" min="9" style="0" width="55"/>
    <col collapsed="false" customWidth="true" hidden="true" outlineLevel="0" max="10" min="10" style="0" width="3"/>
    <col collapsed="false" customWidth="true" hidden="false" outlineLevel="0" max="11" min="11" style="0" width="5"/>
    <col collapsed="false" customWidth="true" hidden="false" outlineLevel="0" max="12" min="12" style="0" width="14"/>
    <col collapsed="false" customWidth="true" hidden="false" outlineLevel="0" max="13" min="13" style="0" width="13"/>
    <col collapsed="false" customWidth="true" hidden="false" outlineLevel="0" max="14" min="14" style="0" width="7"/>
    <col collapsed="false" customWidth="true" hidden="false" outlineLevel="0" max="15" min="15" style="0" width="2"/>
    <col collapsed="false" customWidth="true" hidden="false" outlineLevel="0" max="16" min="16" style="0" width="9"/>
    <col collapsed="false" customWidth="true" hidden="false" outlineLevel="0" max="17" min="17" style="0" width="12"/>
    <col collapsed="false" customWidth="true" hidden="false" outlineLevel="0" max="19" min="18" style="0" width="7"/>
    <col collapsed="false" customWidth="true" hidden="false" outlineLevel="0" max="21" min="20" style="0" width="6"/>
  </cols>
  <sheetData>
    <row r="1" customFormat="false" ht="33.75" hidden="false" customHeight="true" outlineLevel="0" collapsed="false">
      <c r="A1" s="14" t="str">
        <f aca="false">"単元17　"&amp;IF(設定!$D$33="","（設定シートで単元名を入力）",設定!$D$33)&amp;IF(設定!$C$33="","","　／　"&amp;設定!$C$33&amp;IF(ISNUMBER(設定!$C$33),"学期",""))</f>
        <v>単元17　（設定シートで単元名を入力）</v>
      </c>
      <c r="B1" s="14"/>
      <c r="C1" s="14"/>
      <c r="D1" s="14"/>
      <c r="E1" s="14"/>
      <c r="F1" s="14"/>
      <c r="G1" s="14"/>
      <c r="H1" s="14"/>
      <c r="I1" s="14"/>
      <c r="J1" s="13"/>
      <c r="K1" s="13"/>
      <c r="L1" s="16" t="s">
        <v>153</v>
      </c>
      <c r="M1" s="16" t="s">
        <v>68</v>
      </c>
      <c r="N1" s="16" t="s">
        <v>128</v>
      </c>
      <c r="O1" s="13"/>
      <c r="P1" s="13"/>
      <c r="Q1" s="13"/>
      <c r="R1" s="131" t="s">
        <v>154</v>
      </c>
      <c r="S1" s="131"/>
      <c r="T1" s="131"/>
      <c r="U1" s="131"/>
    </row>
    <row r="2" customFormat="false" ht="25.5" hidden="false" customHeight="true" outlineLevel="0" collapsed="false">
      <c r="A2" s="16" t="s">
        <v>131</v>
      </c>
      <c r="B2" s="16"/>
      <c r="C2" s="138" t="s">
        <v>164</v>
      </c>
      <c r="D2" s="139" t="str">
        <f aca="false">IF($C$2="習熟度別","← D列「コース」で一人ずつ選びます",IF($C$2="前の単元と同じ","← 前の単元のコースをそのまま使います","← 在籍学級のまま分かれます"))</f>
        <v>← D列「コース」で一人ずつ選びます</v>
      </c>
      <c r="E2" s="139"/>
      <c r="F2" s="139"/>
      <c r="G2" s="139"/>
      <c r="H2" s="139"/>
      <c r="I2" s="139"/>
      <c r="J2" s="13"/>
      <c r="K2" s="13"/>
      <c r="L2" s="119" t="str">
        <f aca="false">IF($C$2="前の単元と同じ",単元16!$L2&amp;"",IF($C$2="学級ごと",IF(設定!$B$8="","",設定!$B$8&amp;""),IF(設定!$D$8="","",設定!$D$8&amp;"")))</f>
        <v>深める</v>
      </c>
      <c r="M2" s="39"/>
      <c r="N2" s="140" t="n">
        <f aca="false">IF($L2="","",COUNTIF($E$5:$E$164,$L2))</f>
        <v>0</v>
      </c>
      <c r="O2" s="13"/>
      <c r="P2" s="13"/>
      <c r="Q2" s="13"/>
      <c r="R2" s="141" t="n">
        <v>100</v>
      </c>
      <c r="S2" s="141" t="n">
        <v>100</v>
      </c>
      <c r="T2" s="142" t="s">
        <v>165</v>
      </c>
      <c r="U2" s="142"/>
    </row>
    <row r="3" customFormat="false" ht="17.15" hidden="false" customHeight="false" outlineLevel="0" collapsed="false">
      <c r="A3" s="4" t="s">
        <v>166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23" t="str">
        <f aca="false">IF($C$2="前の単元と同じ",単元16!$L3&amp;"",IF($C$2="学級ごと",IF(設定!$B$9="","",設定!$B$9&amp;""),IF(設定!$D$9="","",設定!$D$9&amp;"")))</f>
        <v>広げるA</v>
      </c>
      <c r="M3" s="39"/>
      <c r="N3" s="140" t="n">
        <f aca="false">IF($L3="","",COUNTIF($E$5:$E$164,$L3))</f>
        <v>0</v>
      </c>
      <c r="O3" s="13"/>
      <c r="P3" s="143" t="s">
        <v>167</v>
      </c>
      <c r="Q3" s="13"/>
      <c r="R3" s="144" t="s">
        <v>168</v>
      </c>
      <c r="S3" s="13"/>
      <c r="T3" s="13"/>
      <c r="U3" s="13"/>
    </row>
    <row r="4" customFormat="false" ht="30" hidden="false" customHeight="true" outlineLevel="0" collapsed="false">
      <c r="A4" s="16" t="s">
        <v>121</v>
      </c>
      <c r="B4" s="16" t="s">
        <v>122</v>
      </c>
      <c r="C4" s="16" t="s">
        <v>123</v>
      </c>
      <c r="D4" s="145" t="s">
        <v>153</v>
      </c>
      <c r="E4" s="16" t="s">
        <v>169</v>
      </c>
      <c r="F4" s="146" t="str">
        <f aca="false">設定!$I$8</f>
        <v>知</v>
      </c>
      <c r="G4" s="146" t="str">
        <f aca="false">設定!$I$9</f>
        <v>思</v>
      </c>
      <c r="H4" s="146" t="str">
        <f aca="false">設定!$I$10</f>
        <v>態</v>
      </c>
      <c r="I4" s="146" t="s">
        <v>107</v>
      </c>
      <c r="J4" s="16"/>
      <c r="K4" s="110" t="s">
        <v>170</v>
      </c>
      <c r="L4" s="124" t="str">
        <f aca="false">IF($C$2="前の単元と同じ",単元16!$L4&amp;"",IF($C$2="学級ごと",IF(設定!$B$10="","",設定!$B$10&amp;""),IF(設定!$D$10="","",設定!$D$10&amp;"")))</f>
        <v>広げるB</v>
      </c>
      <c r="M4" s="39"/>
      <c r="N4" s="140" t="n">
        <f aca="false">IF($L4="","",COUNTIF($E$5:$E$164,$L4))</f>
        <v>0</v>
      </c>
      <c r="O4" s="13"/>
      <c r="P4" s="147" t="s">
        <v>171</v>
      </c>
      <c r="Q4" s="147" t="s">
        <v>172</v>
      </c>
      <c r="R4" s="131" t="str">
        <f aca="false">設定!$I$8&amp;"得点"</f>
        <v>知得点</v>
      </c>
      <c r="S4" s="131" t="str">
        <f aca="false">設定!$I$9&amp;"得点"</f>
        <v>思得点</v>
      </c>
      <c r="T4" s="148" t="str">
        <f aca="false">設定!$I$8&amp;"目安"</f>
        <v>知目安</v>
      </c>
      <c r="U4" s="148" t="str">
        <f aca="false">設定!$I$9&amp;"目安"</f>
        <v>思目安</v>
      </c>
    </row>
    <row r="5" customFormat="false" ht="21" hidden="false" customHeight="true" outlineLevel="0" collapsed="false">
      <c r="A5" s="91" t="str">
        <f aca="false">IF(名簿!$D5="","",名簿!$B5&amp;"")</f>
        <v/>
      </c>
      <c r="B5" s="91" t="str">
        <f aca="false">IF(名簿!$D5="","",名簿!$C5)</f>
        <v/>
      </c>
      <c r="C5" s="59" t="str">
        <f aca="false">IF(名簿!$D5="","",名簿!$D5&amp;IF(名簿!$F5="転出","（転出）",""))</f>
        <v/>
      </c>
      <c r="D5" s="149"/>
      <c r="E5" s="61" t="str">
        <f aca="false">IF(OR($C5="",名簿!$F5="転出"),"",IF($C$2="学級ごと",$A5,IF($C$2="前の単元と同じ",単元16!$E5&amp;"",$D5&amp;"")))</f>
        <v/>
      </c>
      <c r="F5" s="150"/>
      <c r="G5" s="150"/>
      <c r="H5" s="150"/>
      <c r="I5" s="151"/>
      <c r="J5" s="41" t="str">
        <f aca="false">IF($E5="","",$E5&amp;"|"&amp;COUNTIF($E$5:$E5,$E5))</f>
        <v/>
      </c>
      <c r="K5" s="40" t="str">
        <f aca="false">IF($I5="","",LEN($I5))</f>
        <v/>
      </c>
      <c r="L5" s="125" t="str">
        <f aca="false">IF($C$2="前の単元と同じ",単元16!$L5&amp;"",IF($C$2="学級ごと",IF(設定!$B$11="","",設定!$B$11&amp;""),IF(設定!$D$11="","",設定!$D$11&amp;"")))</f>
        <v>かためる</v>
      </c>
      <c r="M5" s="39"/>
      <c r="N5" s="140" t="n">
        <f aca="false">IF($L5="","",COUNTIF($E$5:$E$164,$L5))</f>
        <v>0</v>
      </c>
      <c r="O5" s="13"/>
      <c r="P5" s="152"/>
      <c r="Q5" s="149"/>
      <c r="R5" s="152"/>
      <c r="S5" s="152"/>
      <c r="T5" s="62" t="str">
        <f aca="false">IF(OR($C5="",R5=""),"",IF(R5/IF($R$2="",100,$R$2)&gt;=設定!$I$28,設定!$G$8,IF(R5/IF($R$2="",100,$R$2)&lt;設定!$I$29,設定!$G$10,設定!$G$9)))</f>
        <v/>
      </c>
      <c r="U5" s="62" t="str">
        <f aca="false">IF(OR($C5="",S5=""),"",IF(S5/IF($S$2="",100,$S$2)&gt;=設定!$I$28,設定!$G$8,IF(S5/IF($S$2="",100,$S$2)&lt;設定!$I$29,設定!$G$10,設定!$G$9)))</f>
        <v/>
      </c>
    </row>
    <row r="6" customFormat="false" ht="21" hidden="false" customHeight="true" outlineLevel="0" collapsed="false">
      <c r="A6" s="91" t="str">
        <f aca="false">IF(名簿!$D6="","",名簿!$B6&amp;"")</f>
        <v/>
      </c>
      <c r="B6" s="91" t="str">
        <f aca="false">IF(名簿!$D6="","",名簿!$C6)</f>
        <v/>
      </c>
      <c r="C6" s="59" t="str">
        <f aca="false">IF(名簿!$D6="","",名簿!$D6&amp;IF(名簿!$F6="転出","（転出）",""))</f>
        <v/>
      </c>
      <c r="D6" s="149"/>
      <c r="E6" s="61" t="str">
        <f aca="false">IF(OR($C6="",名簿!$F6="転出"),"",IF($C$2="学級ごと",$A6,IF($C$2="前の単元と同じ",単元16!$E6&amp;"",$D6&amp;"")))</f>
        <v/>
      </c>
      <c r="F6" s="150"/>
      <c r="G6" s="150"/>
      <c r="H6" s="150"/>
      <c r="I6" s="151"/>
      <c r="J6" s="41" t="str">
        <f aca="false">IF($E6="","",$E6&amp;"|"&amp;COUNTIF($E$5:$E6,$E6))</f>
        <v/>
      </c>
      <c r="K6" s="40" t="str">
        <f aca="false">IF($I6="","",LEN($I6))</f>
        <v/>
      </c>
      <c r="L6" s="126" t="str">
        <f aca="false">IF($C$2="前の単元と同じ",単元16!$L6&amp;"",IF($C$2="学級ごと",IF(設定!$B$12="","",設定!$B$12&amp;""),IF(設定!$D$12="","",設定!$D$12&amp;"")))</f>
        <v/>
      </c>
      <c r="M6" s="39"/>
      <c r="N6" s="153" t="str">
        <f aca="false">IF($L6="","",COUNTIF($E$5:$E$164,$L6))</f>
        <v/>
      </c>
      <c r="O6" s="13"/>
      <c r="P6" s="152"/>
      <c r="Q6" s="149"/>
      <c r="R6" s="152"/>
      <c r="S6" s="152"/>
      <c r="T6" s="62" t="str">
        <f aca="false">IF(OR($C6="",R6=""),"",IF(R6/IF($R$2="",100,$R$2)&gt;=設定!$I$28,設定!$G$8,IF(R6/IF($R$2="",100,$R$2)&lt;設定!$I$29,設定!$G$10,設定!$G$9)))</f>
        <v/>
      </c>
      <c r="U6" s="62" t="str">
        <f aca="false">IF(OR($C6="",S6=""),"",IF(S6/IF($S$2="",100,$S$2)&gt;=設定!$I$28,設定!$G$8,IF(S6/IF($S$2="",100,$S$2)&lt;設定!$I$29,設定!$G$10,設定!$G$9)))</f>
        <v/>
      </c>
    </row>
    <row r="7" customFormat="false" ht="21" hidden="false" customHeight="true" outlineLevel="0" collapsed="false">
      <c r="A7" s="91" t="str">
        <f aca="false">IF(名簿!$D7="","",名簿!$B7&amp;"")</f>
        <v/>
      </c>
      <c r="B7" s="91" t="str">
        <f aca="false">IF(名簿!$D7="","",名簿!$C7)</f>
        <v/>
      </c>
      <c r="C7" s="59" t="str">
        <f aca="false">IF(名簿!$D7="","",名簿!$D7&amp;IF(名簿!$F7="転出","（転出）",""))</f>
        <v/>
      </c>
      <c r="D7" s="149"/>
      <c r="E7" s="61" t="str">
        <f aca="false">IF(OR($C7="",名簿!$F7="転出"),"",IF($C$2="学級ごと",$A7,IF($C$2="前の単元と同じ",単元16!$E7&amp;"",$D7&amp;"")))</f>
        <v/>
      </c>
      <c r="F7" s="150"/>
      <c r="G7" s="150"/>
      <c r="H7" s="150"/>
      <c r="I7" s="151"/>
      <c r="J7" s="41" t="str">
        <f aca="false">IF($E7="","",$E7&amp;"|"&amp;COUNTIF($E$5:$E7,$E7))</f>
        <v/>
      </c>
      <c r="K7" s="40" t="str">
        <f aca="false">IF($I7="","",LEN($I7))</f>
        <v/>
      </c>
      <c r="L7" s="154" t="s">
        <v>133</v>
      </c>
      <c r="M7" s="155" t="s">
        <v>173</v>
      </c>
      <c r="N7" s="156" t="n">
        <f aca="false">SUMPRODUCT(($C$5:$C$164&lt;&gt;"")*(名簿!$F$5:$F$164&lt;&gt;"転出")*($E$5:$E$164=""))</f>
        <v>0</v>
      </c>
      <c r="O7" s="13"/>
      <c r="P7" s="152"/>
      <c r="Q7" s="149"/>
      <c r="R7" s="152"/>
      <c r="S7" s="152"/>
      <c r="T7" s="62" t="str">
        <f aca="false">IF(OR($C7="",R7=""),"",IF(R7/IF($R$2="",100,$R$2)&gt;=設定!$I$28,設定!$G$8,IF(R7/IF($R$2="",100,$R$2)&lt;設定!$I$29,設定!$G$10,設定!$G$9)))</f>
        <v/>
      </c>
      <c r="U7" s="62" t="str">
        <f aca="false">IF(OR($C7="",S7=""),"",IF(S7/IF($S$2="",100,$S$2)&gt;=設定!$I$28,設定!$G$8,IF(S7/IF($S$2="",100,$S$2)&lt;設定!$I$29,設定!$G$10,設定!$G$9)))</f>
        <v/>
      </c>
    </row>
    <row r="8" customFormat="false" ht="21" hidden="false" customHeight="true" outlineLevel="0" collapsed="false">
      <c r="A8" s="91" t="str">
        <f aca="false">IF(名簿!$D8="","",名簿!$B8&amp;"")</f>
        <v/>
      </c>
      <c r="B8" s="91" t="str">
        <f aca="false">IF(名簿!$D8="","",名簿!$C8)</f>
        <v/>
      </c>
      <c r="C8" s="59" t="str">
        <f aca="false">IF(名簿!$D8="","",名簿!$D8&amp;IF(名簿!$F8="転出","（転出）",""))</f>
        <v/>
      </c>
      <c r="D8" s="149"/>
      <c r="E8" s="61" t="str">
        <f aca="false">IF(OR($C8="",名簿!$F8="転出"),"",IF($C$2="学級ごと",$A8,IF($C$2="前の単元と同じ",単元16!$E8&amp;"",$D8&amp;"")))</f>
        <v/>
      </c>
      <c r="F8" s="150"/>
      <c r="G8" s="150"/>
      <c r="H8" s="150"/>
      <c r="I8" s="151"/>
      <c r="J8" s="41" t="str">
        <f aca="false">IF($E8="","",$E8&amp;"|"&amp;COUNTIF($E$5:$E8,$E8))</f>
        <v/>
      </c>
      <c r="K8" s="40" t="str">
        <f aca="false">IF($I8="","",LEN($I8))</f>
        <v/>
      </c>
      <c r="L8" s="157" t="s">
        <v>174</v>
      </c>
      <c r="M8" s="158" t="s">
        <v>175</v>
      </c>
      <c r="N8" s="159" t="n">
        <f aca="false">SUMPRODUCT(($E$5:$E$164&lt;&gt;"")*(($F$5:$F$164="")+($G$5:$G$164="")+($H$5:$H$164="")&gt;0))</f>
        <v>0</v>
      </c>
      <c r="O8" s="13"/>
      <c r="P8" s="152"/>
      <c r="Q8" s="149"/>
      <c r="R8" s="152"/>
      <c r="S8" s="152"/>
      <c r="T8" s="62" t="str">
        <f aca="false">IF(OR($C8="",R8=""),"",IF(R8/IF($R$2="",100,$R$2)&gt;=設定!$I$28,設定!$G$8,IF(R8/IF($R$2="",100,$R$2)&lt;設定!$I$29,設定!$G$10,設定!$G$9)))</f>
        <v/>
      </c>
      <c r="U8" s="62" t="str">
        <f aca="false">IF(OR($C8="",S8=""),"",IF(S8/IF($S$2="",100,$S$2)&gt;=設定!$I$28,設定!$G$8,IF(S8/IF($S$2="",100,$S$2)&lt;設定!$I$29,設定!$G$10,設定!$G$9)))</f>
        <v/>
      </c>
    </row>
    <row r="9" customFormat="false" ht="21" hidden="false" customHeight="true" outlineLevel="0" collapsed="false">
      <c r="A9" s="91" t="str">
        <f aca="false">IF(名簿!$D9="","",名簿!$B9&amp;"")</f>
        <v/>
      </c>
      <c r="B9" s="91" t="str">
        <f aca="false">IF(名簿!$D9="","",名簿!$C9)</f>
        <v/>
      </c>
      <c r="C9" s="59" t="str">
        <f aca="false">IF(名簿!$D9="","",名簿!$D9&amp;IF(名簿!$F9="転出","（転出）",""))</f>
        <v/>
      </c>
      <c r="D9" s="149"/>
      <c r="E9" s="61" t="str">
        <f aca="false">IF(OR($C9="",名簿!$F9="転出"),"",IF($C$2="学級ごと",$A9,IF($C$2="前の単元と同じ",単元16!$E9&amp;"",$D9&amp;"")))</f>
        <v/>
      </c>
      <c r="F9" s="150"/>
      <c r="G9" s="150"/>
      <c r="H9" s="150"/>
      <c r="I9" s="151"/>
      <c r="J9" s="41" t="str">
        <f aca="false">IF($E9="","",$E9&amp;"|"&amp;COUNTIF($E$5:$E9,$E9))</f>
        <v/>
      </c>
      <c r="K9" s="40" t="str">
        <f aca="false">IF($I9="","",LEN($I9))</f>
        <v/>
      </c>
      <c r="L9" s="13"/>
      <c r="M9" s="13"/>
      <c r="N9" s="13"/>
      <c r="O9" s="13"/>
      <c r="P9" s="152"/>
      <c r="Q9" s="149"/>
      <c r="R9" s="152"/>
      <c r="S9" s="152"/>
      <c r="T9" s="62" t="str">
        <f aca="false">IF(OR($C9="",R9=""),"",IF(R9/IF($R$2="",100,$R$2)&gt;=設定!$I$28,設定!$G$8,IF(R9/IF($R$2="",100,$R$2)&lt;設定!$I$29,設定!$G$10,設定!$G$9)))</f>
        <v/>
      </c>
      <c r="U9" s="62" t="str">
        <f aca="false">IF(OR($C9="",S9=""),"",IF(S9/IF($S$2="",100,$S$2)&gt;=設定!$I$28,設定!$G$8,IF(S9/IF($S$2="",100,$S$2)&lt;設定!$I$29,設定!$G$10,設定!$G$9)))</f>
        <v/>
      </c>
    </row>
    <row r="10" customFormat="false" ht="21" hidden="false" customHeight="true" outlineLevel="0" collapsed="false">
      <c r="A10" s="91" t="str">
        <f aca="false">IF(名簿!$D10="","",名簿!$B10&amp;"")</f>
        <v/>
      </c>
      <c r="B10" s="91" t="str">
        <f aca="false">IF(名簿!$D10="","",名簿!$C10)</f>
        <v/>
      </c>
      <c r="C10" s="59" t="str">
        <f aca="false">IF(名簿!$D10="","",名簿!$D10&amp;IF(名簿!$F10="転出","（転出）",""))</f>
        <v/>
      </c>
      <c r="D10" s="149"/>
      <c r="E10" s="61" t="str">
        <f aca="false">IF(OR($C10="",名簿!$F10="転出"),"",IF($C$2="学級ごと",$A10,IF($C$2="前の単元と同じ",単元16!$E10&amp;"",$D10&amp;"")))</f>
        <v/>
      </c>
      <c r="F10" s="150"/>
      <c r="G10" s="150"/>
      <c r="H10" s="150"/>
      <c r="I10" s="151"/>
      <c r="J10" s="41" t="str">
        <f aca="false">IF($E10="","",$E10&amp;"|"&amp;COUNTIF($E$5:$E10,$E10))</f>
        <v/>
      </c>
      <c r="K10" s="40" t="str">
        <f aca="false">IF($I10="","",LEN($I10))</f>
        <v/>
      </c>
      <c r="L10" s="13"/>
      <c r="M10" s="13"/>
      <c r="N10" s="13"/>
      <c r="O10" s="13"/>
      <c r="P10" s="152"/>
      <c r="Q10" s="149"/>
      <c r="R10" s="152"/>
      <c r="S10" s="152"/>
      <c r="T10" s="62" t="str">
        <f aca="false">IF(OR($C10="",R10=""),"",IF(R10/IF($R$2="",100,$R$2)&gt;=設定!$I$28,設定!$G$8,IF(R10/IF($R$2="",100,$R$2)&lt;設定!$I$29,設定!$G$10,設定!$G$9)))</f>
        <v/>
      </c>
      <c r="U10" s="62" t="str">
        <f aca="false">IF(OR($C10="",S10=""),"",IF(S10/IF($S$2="",100,$S$2)&gt;=設定!$I$28,設定!$G$8,IF(S10/IF($S$2="",100,$S$2)&lt;設定!$I$29,設定!$G$10,設定!$G$9)))</f>
        <v/>
      </c>
    </row>
    <row r="11" customFormat="false" ht="21" hidden="false" customHeight="true" outlineLevel="0" collapsed="false">
      <c r="A11" s="91" t="str">
        <f aca="false">IF(名簿!$D11="","",名簿!$B11&amp;"")</f>
        <v/>
      </c>
      <c r="B11" s="91" t="str">
        <f aca="false">IF(名簿!$D11="","",名簿!$C11)</f>
        <v/>
      </c>
      <c r="C11" s="59" t="str">
        <f aca="false">IF(名簿!$D11="","",名簿!$D11&amp;IF(名簿!$F11="転出","（転出）",""))</f>
        <v/>
      </c>
      <c r="D11" s="149"/>
      <c r="E11" s="61" t="str">
        <f aca="false">IF(OR($C11="",名簿!$F11="転出"),"",IF($C$2="学級ごと",$A11,IF($C$2="前の単元と同じ",単元16!$E11&amp;"",$D11&amp;"")))</f>
        <v/>
      </c>
      <c r="F11" s="150"/>
      <c r="G11" s="150"/>
      <c r="H11" s="150"/>
      <c r="I11" s="151"/>
      <c r="J11" s="41" t="str">
        <f aca="false">IF($E11="","",$E11&amp;"|"&amp;COUNTIF($E$5:$E11,$E11))</f>
        <v/>
      </c>
      <c r="K11" s="40" t="str">
        <f aca="false">IF($I11="","",LEN($I11))</f>
        <v/>
      </c>
      <c r="L11" s="13"/>
      <c r="M11" s="13"/>
      <c r="N11" s="13"/>
      <c r="O11" s="13"/>
      <c r="P11" s="152"/>
      <c r="Q11" s="149"/>
      <c r="R11" s="152"/>
      <c r="S11" s="152"/>
      <c r="T11" s="62" t="str">
        <f aca="false">IF(OR($C11="",R11=""),"",IF(R11/IF($R$2="",100,$R$2)&gt;=設定!$I$28,設定!$G$8,IF(R11/IF($R$2="",100,$R$2)&lt;設定!$I$29,設定!$G$10,設定!$G$9)))</f>
        <v/>
      </c>
      <c r="U11" s="62" t="str">
        <f aca="false">IF(OR($C11="",S11=""),"",IF(S11/IF($S$2="",100,$S$2)&gt;=設定!$I$28,設定!$G$8,IF(S11/IF($S$2="",100,$S$2)&lt;設定!$I$29,設定!$G$10,設定!$G$9)))</f>
        <v/>
      </c>
    </row>
    <row r="12" customFormat="false" ht="21" hidden="false" customHeight="true" outlineLevel="0" collapsed="false">
      <c r="A12" s="91" t="str">
        <f aca="false">IF(名簿!$D12="","",名簿!$B12&amp;"")</f>
        <v/>
      </c>
      <c r="B12" s="91" t="str">
        <f aca="false">IF(名簿!$D12="","",名簿!$C12)</f>
        <v/>
      </c>
      <c r="C12" s="59" t="str">
        <f aca="false">IF(名簿!$D12="","",名簿!$D12&amp;IF(名簿!$F12="転出","（転出）",""))</f>
        <v/>
      </c>
      <c r="D12" s="149"/>
      <c r="E12" s="61" t="str">
        <f aca="false">IF(OR($C12="",名簿!$F12="転出"),"",IF($C$2="学級ごと",$A12,IF($C$2="前の単元と同じ",単元16!$E12&amp;"",$D12&amp;"")))</f>
        <v/>
      </c>
      <c r="F12" s="150"/>
      <c r="G12" s="150"/>
      <c r="H12" s="150"/>
      <c r="I12" s="151"/>
      <c r="J12" s="41" t="str">
        <f aca="false">IF($E12="","",$E12&amp;"|"&amp;COUNTIF($E$5:$E12,$E12))</f>
        <v/>
      </c>
      <c r="K12" s="40" t="str">
        <f aca="false">IF($I12="","",LEN($I12))</f>
        <v/>
      </c>
      <c r="L12" s="13"/>
      <c r="M12" s="13"/>
      <c r="N12" s="13"/>
      <c r="O12" s="13"/>
      <c r="P12" s="152"/>
      <c r="Q12" s="149"/>
      <c r="R12" s="152"/>
      <c r="S12" s="152"/>
      <c r="T12" s="62" t="str">
        <f aca="false">IF(OR($C12="",R12=""),"",IF(R12/IF($R$2="",100,$R$2)&gt;=設定!$I$28,設定!$G$8,IF(R12/IF($R$2="",100,$R$2)&lt;設定!$I$29,設定!$G$10,設定!$G$9)))</f>
        <v/>
      </c>
      <c r="U12" s="62" t="str">
        <f aca="false">IF(OR($C12="",S12=""),"",IF(S12/IF($S$2="",100,$S$2)&gt;=設定!$I$28,設定!$G$8,IF(S12/IF($S$2="",100,$S$2)&lt;設定!$I$29,設定!$G$10,設定!$G$9)))</f>
        <v/>
      </c>
    </row>
    <row r="13" customFormat="false" ht="21" hidden="false" customHeight="true" outlineLevel="0" collapsed="false">
      <c r="A13" s="91" t="str">
        <f aca="false">IF(名簿!$D13="","",名簿!$B13&amp;"")</f>
        <v/>
      </c>
      <c r="B13" s="91" t="str">
        <f aca="false">IF(名簿!$D13="","",名簿!$C13)</f>
        <v/>
      </c>
      <c r="C13" s="59" t="str">
        <f aca="false">IF(名簿!$D13="","",名簿!$D13&amp;IF(名簿!$F13="転出","（転出）",""))</f>
        <v/>
      </c>
      <c r="D13" s="149"/>
      <c r="E13" s="61" t="str">
        <f aca="false">IF(OR($C13="",名簿!$F13="転出"),"",IF($C$2="学級ごと",$A13,IF($C$2="前の単元と同じ",単元16!$E13&amp;"",$D13&amp;"")))</f>
        <v/>
      </c>
      <c r="F13" s="150"/>
      <c r="G13" s="150"/>
      <c r="H13" s="150"/>
      <c r="I13" s="151"/>
      <c r="J13" s="41" t="str">
        <f aca="false">IF($E13="","",$E13&amp;"|"&amp;COUNTIF($E$5:$E13,$E13))</f>
        <v/>
      </c>
      <c r="K13" s="40" t="str">
        <f aca="false">IF($I13="","",LEN($I13))</f>
        <v/>
      </c>
      <c r="L13" s="13"/>
      <c r="M13" s="13"/>
      <c r="N13" s="13"/>
      <c r="O13" s="13"/>
      <c r="P13" s="152"/>
      <c r="Q13" s="149"/>
      <c r="R13" s="152"/>
      <c r="S13" s="152"/>
      <c r="T13" s="62" t="str">
        <f aca="false">IF(OR($C13="",R13=""),"",IF(R13/IF($R$2="",100,$R$2)&gt;=設定!$I$28,設定!$G$8,IF(R13/IF($R$2="",100,$R$2)&lt;設定!$I$29,設定!$G$10,設定!$G$9)))</f>
        <v/>
      </c>
      <c r="U13" s="62" t="str">
        <f aca="false">IF(OR($C13="",S13=""),"",IF(S13/IF($S$2="",100,$S$2)&gt;=設定!$I$28,設定!$G$8,IF(S13/IF($S$2="",100,$S$2)&lt;設定!$I$29,設定!$G$10,設定!$G$9)))</f>
        <v/>
      </c>
    </row>
    <row r="14" customFormat="false" ht="21" hidden="false" customHeight="true" outlineLevel="0" collapsed="false">
      <c r="A14" s="91" t="str">
        <f aca="false">IF(名簿!$D14="","",名簿!$B14&amp;"")</f>
        <v/>
      </c>
      <c r="B14" s="91" t="str">
        <f aca="false">IF(名簿!$D14="","",名簿!$C14)</f>
        <v/>
      </c>
      <c r="C14" s="59" t="str">
        <f aca="false">IF(名簿!$D14="","",名簿!$D14&amp;IF(名簿!$F14="転出","（転出）",""))</f>
        <v/>
      </c>
      <c r="D14" s="149"/>
      <c r="E14" s="61" t="str">
        <f aca="false">IF(OR($C14="",名簿!$F14="転出"),"",IF($C$2="学級ごと",$A14,IF($C$2="前の単元と同じ",単元16!$E14&amp;"",$D14&amp;"")))</f>
        <v/>
      </c>
      <c r="F14" s="150"/>
      <c r="G14" s="150"/>
      <c r="H14" s="150"/>
      <c r="I14" s="151"/>
      <c r="J14" s="41" t="str">
        <f aca="false">IF($E14="","",$E14&amp;"|"&amp;COUNTIF($E$5:$E14,$E14))</f>
        <v/>
      </c>
      <c r="K14" s="40" t="str">
        <f aca="false">IF($I14="","",LEN($I14))</f>
        <v/>
      </c>
      <c r="L14" s="13"/>
      <c r="M14" s="13"/>
      <c r="N14" s="13"/>
      <c r="O14" s="13"/>
      <c r="P14" s="152"/>
      <c r="Q14" s="149"/>
      <c r="R14" s="152"/>
      <c r="S14" s="152"/>
      <c r="T14" s="62" t="str">
        <f aca="false">IF(OR($C14="",R14=""),"",IF(R14/IF($R$2="",100,$R$2)&gt;=設定!$I$28,設定!$G$8,IF(R14/IF($R$2="",100,$R$2)&lt;設定!$I$29,設定!$G$10,設定!$G$9)))</f>
        <v/>
      </c>
      <c r="U14" s="62" t="str">
        <f aca="false">IF(OR($C14="",S14=""),"",IF(S14/IF($S$2="",100,$S$2)&gt;=設定!$I$28,設定!$G$8,IF(S14/IF($S$2="",100,$S$2)&lt;設定!$I$29,設定!$G$10,設定!$G$9)))</f>
        <v/>
      </c>
    </row>
    <row r="15" customFormat="false" ht="21" hidden="false" customHeight="true" outlineLevel="0" collapsed="false">
      <c r="A15" s="91" t="str">
        <f aca="false">IF(名簿!$D15="","",名簿!$B15&amp;"")</f>
        <v/>
      </c>
      <c r="B15" s="91" t="str">
        <f aca="false">IF(名簿!$D15="","",名簿!$C15)</f>
        <v/>
      </c>
      <c r="C15" s="59" t="str">
        <f aca="false">IF(名簿!$D15="","",名簿!$D15&amp;IF(名簿!$F15="転出","（転出）",""))</f>
        <v/>
      </c>
      <c r="D15" s="149"/>
      <c r="E15" s="61" t="str">
        <f aca="false">IF(OR($C15="",名簿!$F15="転出"),"",IF($C$2="学級ごと",$A15,IF($C$2="前の単元と同じ",単元16!$E15&amp;"",$D15&amp;"")))</f>
        <v/>
      </c>
      <c r="F15" s="150"/>
      <c r="G15" s="150"/>
      <c r="H15" s="150"/>
      <c r="I15" s="151"/>
      <c r="J15" s="41" t="str">
        <f aca="false">IF($E15="","",$E15&amp;"|"&amp;COUNTIF($E$5:$E15,$E15))</f>
        <v/>
      </c>
      <c r="K15" s="40" t="str">
        <f aca="false">IF($I15="","",LEN($I15))</f>
        <v/>
      </c>
      <c r="L15" s="13"/>
      <c r="M15" s="13"/>
      <c r="N15" s="13"/>
      <c r="O15" s="13"/>
      <c r="P15" s="152"/>
      <c r="Q15" s="149"/>
      <c r="R15" s="152"/>
      <c r="S15" s="152"/>
      <c r="T15" s="62" t="str">
        <f aca="false">IF(OR($C15="",R15=""),"",IF(R15/IF($R$2="",100,$R$2)&gt;=設定!$I$28,設定!$G$8,IF(R15/IF($R$2="",100,$R$2)&lt;設定!$I$29,設定!$G$10,設定!$G$9)))</f>
        <v/>
      </c>
      <c r="U15" s="62" t="str">
        <f aca="false">IF(OR($C15="",S15=""),"",IF(S15/IF($S$2="",100,$S$2)&gt;=設定!$I$28,設定!$G$8,IF(S15/IF($S$2="",100,$S$2)&lt;設定!$I$29,設定!$G$10,設定!$G$9)))</f>
        <v/>
      </c>
    </row>
    <row r="16" customFormat="false" ht="21" hidden="false" customHeight="true" outlineLevel="0" collapsed="false">
      <c r="A16" s="91" t="str">
        <f aca="false">IF(名簿!$D16="","",名簿!$B16&amp;"")</f>
        <v/>
      </c>
      <c r="B16" s="91" t="str">
        <f aca="false">IF(名簿!$D16="","",名簿!$C16)</f>
        <v/>
      </c>
      <c r="C16" s="59" t="str">
        <f aca="false">IF(名簿!$D16="","",名簿!$D16&amp;IF(名簿!$F16="転出","（転出）",""))</f>
        <v/>
      </c>
      <c r="D16" s="149"/>
      <c r="E16" s="61" t="str">
        <f aca="false">IF(OR($C16="",名簿!$F16="転出"),"",IF($C$2="学級ごと",$A16,IF($C$2="前の単元と同じ",単元16!$E16&amp;"",$D16&amp;"")))</f>
        <v/>
      </c>
      <c r="F16" s="150"/>
      <c r="G16" s="150"/>
      <c r="H16" s="150"/>
      <c r="I16" s="151"/>
      <c r="J16" s="41" t="str">
        <f aca="false">IF($E16="","",$E16&amp;"|"&amp;COUNTIF($E$5:$E16,$E16))</f>
        <v/>
      </c>
      <c r="K16" s="40" t="str">
        <f aca="false">IF($I16="","",LEN($I16))</f>
        <v/>
      </c>
      <c r="L16" s="13"/>
      <c r="M16" s="13"/>
      <c r="N16" s="13"/>
      <c r="O16" s="13"/>
      <c r="P16" s="152"/>
      <c r="Q16" s="149"/>
      <c r="R16" s="152"/>
      <c r="S16" s="152"/>
      <c r="T16" s="62" t="str">
        <f aca="false">IF(OR($C16="",R16=""),"",IF(R16/IF($R$2="",100,$R$2)&gt;=設定!$I$28,設定!$G$8,IF(R16/IF($R$2="",100,$R$2)&lt;設定!$I$29,設定!$G$10,設定!$G$9)))</f>
        <v/>
      </c>
      <c r="U16" s="62" t="str">
        <f aca="false">IF(OR($C16="",S16=""),"",IF(S16/IF($S$2="",100,$S$2)&gt;=設定!$I$28,設定!$G$8,IF(S16/IF($S$2="",100,$S$2)&lt;設定!$I$29,設定!$G$10,設定!$G$9)))</f>
        <v/>
      </c>
    </row>
    <row r="17" customFormat="false" ht="21" hidden="false" customHeight="true" outlineLevel="0" collapsed="false">
      <c r="A17" s="91" t="str">
        <f aca="false">IF(名簿!$D17="","",名簿!$B17&amp;"")</f>
        <v/>
      </c>
      <c r="B17" s="91" t="str">
        <f aca="false">IF(名簿!$D17="","",名簿!$C17)</f>
        <v/>
      </c>
      <c r="C17" s="59" t="str">
        <f aca="false">IF(名簿!$D17="","",名簿!$D17&amp;IF(名簿!$F17="転出","（転出）",""))</f>
        <v/>
      </c>
      <c r="D17" s="149"/>
      <c r="E17" s="61" t="str">
        <f aca="false">IF(OR($C17="",名簿!$F17="転出"),"",IF($C$2="学級ごと",$A17,IF($C$2="前の単元と同じ",単元16!$E17&amp;"",$D17&amp;"")))</f>
        <v/>
      </c>
      <c r="F17" s="150"/>
      <c r="G17" s="150"/>
      <c r="H17" s="150"/>
      <c r="I17" s="151"/>
      <c r="J17" s="41" t="str">
        <f aca="false">IF($E17="","",$E17&amp;"|"&amp;COUNTIF($E$5:$E17,$E17))</f>
        <v/>
      </c>
      <c r="K17" s="40" t="str">
        <f aca="false">IF($I17="","",LEN($I17))</f>
        <v/>
      </c>
      <c r="L17" s="13"/>
      <c r="M17" s="13"/>
      <c r="N17" s="13"/>
      <c r="O17" s="13"/>
      <c r="P17" s="152"/>
      <c r="Q17" s="149"/>
      <c r="R17" s="152"/>
      <c r="S17" s="152"/>
      <c r="T17" s="62" t="str">
        <f aca="false">IF(OR($C17="",R17=""),"",IF(R17/IF($R$2="",100,$R$2)&gt;=設定!$I$28,設定!$G$8,IF(R17/IF($R$2="",100,$R$2)&lt;設定!$I$29,設定!$G$10,設定!$G$9)))</f>
        <v/>
      </c>
      <c r="U17" s="62" t="str">
        <f aca="false">IF(OR($C17="",S17=""),"",IF(S17/IF($S$2="",100,$S$2)&gt;=設定!$I$28,設定!$G$8,IF(S17/IF($S$2="",100,$S$2)&lt;設定!$I$29,設定!$G$10,設定!$G$9)))</f>
        <v/>
      </c>
    </row>
    <row r="18" customFormat="false" ht="21" hidden="false" customHeight="true" outlineLevel="0" collapsed="false">
      <c r="A18" s="91" t="str">
        <f aca="false">IF(名簿!$D18="","",名簿!$B18&amp;"")</f>
        <v/>
      </c>
      <c r="B18" s="91" t="str">
        <f aca="false">IF(名簿!$D18="","",名簿!$C18)</f>
        <v/>
      </c>
      <c r="C18" s="59" t="str">
        <f aca="false">IF(名簿!$D18="","",名簿!$D18&amp;IF(名簿!$F18="転出","（転出）",""))</f>
        <v/>
      </c>
      <c r="D18" s="149"/>
      <c r="E18" s="61" t="str">
        <f aca="false">IF(OR($C18="",名簿!$F18="転出"),"",IF($C$2="学級ごと",$A18,IF($C$2="前の単元と同じ",単元16!$E18&amp;"",$D18&amp;"")))</f>
        <v/>
      </c>
      <c r="F18" s="150"/>
      <c r="G18" s="150"/>
      <c r="H18" s="150"/>
      <c r="I18" s="151"/>
      <c r="J18" s="41" t="str">
        <f aca="false">IF($E18="","",$E18&amp;"|"&amp;COUNTIF($E$5:$E18,$E18))</f>
        <v/>
      </c>
      <c r="K18" s="40" t="str">
        <f aca="false">IF($I18="","",LEN($I18))</f>
        <v/>
      </c>
      <c r="L18" s="13"/>
      <c r="M18" s="13"/>
      <c r="N18" s="13"/>
      <c r="O18" s="13"/>
      <c r="P18" s="152"/>
      <c r="Q18" s="149"/>
      <c r="R18" s="152"/>
      <c r="S18" s="152"/>
      <c r="T18" s="62" t="str">
        <f aca="false">IF(OR($C18="",R18=""),"",IF(R18/IF($R$2="",100,$R$2)&gt;=設定!$I$28,設定!$G$8,IF(R18/IF($R$2="",100,$R$2)&lt;設定!$I$29,設定!$G$10,設定!$G$9)))</f>
        <v/>
      </c>
      <c r="U18" s="62" t="str">
        <f aca="false">IF(OR($C18="",S18=""),"",IF(S18/IF($S$2="",100,$S$2)&gt;=設定!$I$28,設定!$G$8,IF(S18/IF($S$2="",100,$S$2)&lt;設定!$I$29,設定!$G$10,設定!$G$9)))</f>
        <v/>
      </c>
    </row>
    <row r="19" customFormat="false" ht="21" hidden="false" customHeight="true" outlineLevel="0" collapsed="false">
      <c r="A19" s="91" t="str">
        <f aca="false">IF(名簿!$D19="","",名簿!$B19&amp;"")</f>
        <v/>
      </c>
      <c r="B19" s="91" t="str">
        <f aca="false">IF(名簿!$D19="","",名簿!$C19)</f>
        <v/>
      </c>
      <c r="C19" s="59" t="str">
        <f aca="false">IF(名簿!$D19="","",名簿!$D19&amp;IF(名簿!$F19="転出","（転出）",""))</f>
        <v/>
      </c>
      <c r="D19" s="149"/>
      <c r="E19" s="61" t="str">
        <f aca="false">IF(OR($C19="",名簿!$F19="転出"),"",IF($C$2="学級ごと",$A19,IF($C$2="前の単元と同じ",単元16!$E19&amp;"",$D19&amp;"")))</f>
        <v/>
      </c>
      <c r="F19" s="150"/>
      <c r="G19" s="150"/>
      <c r="H19" s="150"/>
      <c r="I19" s="151"/>
      <c r="J19" s="41" t="str">
        <f aca="false">IF($E19="","",$E19&amp;"|"&amp;COUNTIF($E$5:$E19,$E19))</f>
        <v/>
      </c>
      <c r="K19" s="40" t="str">
        <f aca="false">IF($I19="","",LEN($I19))</f>
        <v/>
      </c>
      <c r="L19" s="13"/>
      <c r="M19" s="13"/>
      <c r="N19" s="13"/>
      <c r="O19" s="13"/>
      <c r="P19" s="152"/>
      <c r="Q19" s="149"/>
      <c r="R19" s="152"/>
      <c r="S19" s="152"/>
      <c r="T19" s="62" t="str">
        <f aca="false">IF(OR($C19="",R19=""),"",IF(R19/IF($R$2="",100,$R$2)&gt;=設定!$I$28,設定!$G$8,IF(R19/IF($R$2="",100,$R$2)&lt;設定!$I$29,設定!$G$10,設定!$G$9)))</f>
        <v/>
      </c>
      <c r="U19" s="62" t="str">
        <f aca="false">IF(OR($C19="",S19=""),"",IF(S19/IF($S$2="",100,$S$2)&gt;=設定!$I$28,設定!$G$8,IF(S19/IF($S$2="",100,$S$2)&lt;設定!$I$29,設定!$G$10,設定!$G$9)))</f>
        <v/>
      </c>
    </row>
    <row r="20" customFormat="false" ht="21" hidden="false" customHeight="true" outlineLevel="0" collapsed="false">
      <c r="A20" s="91" t="str">
        <f aca="false">IF(名簿!$D20="","",名簿!$B20&amp;"")</f>
        <v/>
      </c>
      <c r="B20" s="91" t="str">
        <f aca="false">IF(名簿!$D20="","",名簿!$C20)</f>
        <v/>
      </c>
      <c r="C20" s="59" t="str">
        <f aca="false">IF(名簿!$D20="","",名簿!$D20&amp;IF(名簿!$F20="転出","（転出）",""))</f>
        <v/>
      </c>
      <c r="D20" s="149"/>
      <c r="E20" s="61" t="str">
        <f aca="false">IF(OR($C20="",名簿!$F20="転出"),"",IF($C$2="学級ごと",$A20,IF($C$2="前の単元と同じ",単元16!$E20&amp;"",$D20&amp;"")))</f>
        <v/>
      </c>
      <c r="F20" s="150"/>
      <c r="G20" s="150"/>
      <c r="H20" s="150"/>
      <c r="I20" s="151"/>
      <c r="J20" s="41" t="str">
        <f aca="false">IF($E20="","",$E20&amp;"|"&amp;COUNTIF($E$5:$E20,$E20))</f>
        <v/>
      </c>
      <c r="K20" s="40" t="str">
        <f aca="false">IF($I20="","",LEN($I20))</f>
        <v/>
      </c>
      <c r="L20" s="13"/>
      <c r="M20" s="13"/>
      <c r="N20" s="13"/>
      <c r="O20" s="13"/>
      <c r="P20" s="152"/>
      <c r="Q20" s="149"/>
      <c r="R20" s="152"/>
      <c r="S20" s="152"/>
      <c r="T20" s="62" t="str">
        <f aca="false">IF(OR($C20="",R20=""),"",IF(R20/IF($R$2="",100,$R$2)&gt;=設定!$I$28,設定!$G$8,IF(R20/IF($R$2="",100,$R$2)&lt;設定!$I$29,設定!$G$10,設定!$G$9)))</f>
        <v/>
      </c>
      <c r="U20" s="62" t="str">
        <f aca="false">IF(OR($C20="",S20=""),"",IF(S20/IF($S$2="",100,$S$2)&gt;=設定!$I$28,設定!$G$8,IF(S20/IF($S$2="",100,$S$2)&lt;設定!$I$29,設定!$G$10,設定!$G$9)))</f>
        <v/>
      </c>
    </row>
    <row r="21" customFormat="false" ht="21" hidden="false" customHeight="true" outlineLevel="0" collapsed="false">
      <c r="A21" s="91" t="str">
        <f aca="false">IF(名簿!$D21="","",名簿!$B21&amp;"")</f>
        <v/>
      </c>
      <c r="B21" s="91" t="str">
        <f aca="false">IF(名簿!$D21="","",名簿!$C21)</f>
        <v/>
      </c>
      <c r="C21" s="59" t="str">
        <f aca="false">IF(名簿!$D21="","",名簿!$D21&amp;IF(名簿!$F21="転出","（転出）",""))</f>
        <v/>
      </c>
      <c r="D21" s="149"/>
      <c r="E21" s="61" t="str">
        <f aca="false">IF(OR($C21="",名簿!$F21="転出"),"",IF($C$2="学級ごと",$A21,IF($C$2="前の単元と同じ",単元16!$E21&amp;"",$D21&amp;"")))</f>
        <v/>
      </c>
      <c r="F21" s="150"/>
      <c r="G21" s="150"/>
      <c r="H21" s="150"/>
      <c r="I21" s="151"/>
      <c r="J21" s="41" t="str">
        <f aca="false">IF($E21="","",$E21&amp;"|"&amp;COUNTIF($E$5:$E21,$E21))</f>
        <v/>
      </c>
      <c r="K21" s="40" t="str">
        <f aca="false">IF($I21="","",LEN($I21))</f>
        <v/>
      </c>
      <c r="L21" s="13"/>
      <c r="M21" s="13"/>
      <c r="N21" s="13"/>
      <c r="O21" s="13"/>
      <c r="P21" s="152"/>
      <c r="Q21" s="149"/>
      <c r="R21" s="152"/>
      <c r="S21" s="152"/>
      <c r="T21" s="62" t="str">
        <f aca="false">IF(OR($C21="",R21=""),"",IF(R21/IF($R$2="",100,$R$2)&gt;=設定!$I$28,設定!$G$8,IF(R21/IF($R$2="",100,$R$2)&lt;設定!$I$29,設定!$G$10,設定!$G$9)))</f>
        <v/>
      </c>
      <c r="U21" s="62" t="str">
        <f aca="false">IF(OR($C21="",S21=""),"",IF(S21/IF($S$2="",100,$S$2)&gt;=設定!$I$28,設定!$G$8,IF(S21/IF($S$2="",100,$S$2)&lt;設定!$I$29,設定!$G$10,設定!$G$9)))</f>
        <v/>
      </c>
    </row>
    <row r="22" customFormat="false" ht="21" hidden="false" customHeight="true" outlineLevel="0" collapsed="false">
      <c r="A22" s="91" t="str">
        <f aca="false">IF(名簿!$D22="","",名簿!$B22&amp;"")</f>
        <v/>
      </c>
      <c r="B22" s="91" t="str">
        <f aca="false">IF(名簿!$D22="","",名簿!$C22)</f>
        <v/>
      </c>
      <c r="C22" s="59" t="str">
        <f aca="false">IF(名簿!$D22="","",名簿!$D22&amp;IF(名簿!$F22="転出","（転出）",""))</f>
        <v/>
      </c>
      <c r="D22" s="149"/>
      <c r="E22" s="61" t="str">
        <f aca="false">IF(OR($C22="",名簿!$F22="転出"),"",IF($C$2="学級ごと",$A22,IF($C$2="前の単元と同じ",単元16!$E22&amp;"",$D22&amp;"")))</f>
        <v/>
      </c>
      <c r="F22" s="150"/>
      <c r="G22" s="150"/>
      <c r="H22" s="150"/>
      <c r="I22" s="151"/>
      <c r="J22" s="41" t="str">
        <f aca="false">IF($E22="","",$E22&amp;"|"&amp;COUNTIF($E$5:$E22,$E22))</f>
        <v/>
      </c>
      <c r="K22" s="40" t="str">
        <f aca="false">IF($I22="","",LEN($I22))</f>
        <v/>
      </c>
      <c r="L22" s="13"/>
      <c r="M22" s="13"/>
      <c r="N22" s="13"/>
      <c r="O22" s="13"/>
      <c r="P22" s="152"/>
      <c r="Q22" s="149"/>
      <c r="R22" s="152"/>
      <c r="S22" s="152"/>
      <c r="T22" s="62" t="str">
        <f aca="false">IF(OR($C22="",R22=""),"",IF(R22/IF($R$2="",100,$R$2)&gt;=設定!$I$28,設定!$G$8,IF(R22/IF($R$2="",100,$R$2)&lt;設定!$I$29,設定!$G$10,設定!$G$9)))</f>
        <v/>
      </c>
      <c r="U22" s="62" t="str">
        <f aca="false">IF(OR($C22="",S22=""),"",IF(S22/IF($S$2="",100,$S$2)&gt;=設定!$I$28,設定!$G$8,IF(S22/IF($S$2="",100,$S$2)&lt;設定!$I$29,設定!$G$10,設定!$G$9)))</f>
        <v/>
      </c>
    </row>
    <row r="23" customFormat="false" ht="21" hidden="false" customHeight="true" outlineLevel="0" collapsed="false">
      <c r="A23" s="91" t="str">
        <f aca="false">IF(名簿!$D23="","",名簿!$B23&amp;"")</f>
        <v/>
      </c>
      <c r="B23" s="91" t="str">
        <f aca="false">IF(名簿!$D23="","",名簿!$C23)</f>
        <v/>
      </c>
      <c r="C23" s="59" t="str">
        <f aca="false">IF(名簿!$D23="","",名簿!$D23&amp;IF(名簿!$F23="転出","（転出）",""))</f>
        <v/>
      </c>
      <c r="D23" s="149"/>
      <c r="E23" s="61" t="str">
        <f aca="false">IF(OR($C23="",名簿!$F23="転出"),"",IF($C$2="学級ごと",$A23,IF($C$2="前の単元と同じ",単元16!$E23&amp;"",$D23&amp;"")))</f>
        <v/>
      </c>
      <c r="F23" s="150"/>
      <c r="G23" s="150"/>
      <c r="H23" s="150"/>
      <c r="I23" s="151"/>
      <c r="J23" s="41" t="str">
        <f aca="false">IF($E23="","",$E23&amp;"|"&amp;COUNTIF($E$5:$E23,$E23))</f>
        <v/>
      </c>
      <c r="K23" s="40" t="str">
        <f aca="false">IF($I23="","",LEN($I23))</f>
        <v/>
      </c>
      <c r="L23" s="13"/>
      <c r="M23" s="13"/>
      <c r="N23" s="13"/>
      <c r="O23" s="13"/>
      <c r="P23" s="152"/>
      <c r="Q23" s="149"/>
      <c r="R23" s="152"/>
      <c r="S23" s="152"/>
      <c r="T23" s="62" t="str">
        <f aca="false">IF(OR($C23="",R23=""),"",IF(R23/IF($R$2="",100,$R$2)&gt;=設定!$I$28,設定!$G$8,IF(R23/IF($R$2="",100,$R$2)&lt;設定!$I$29,設定!$G$10,設定!$G$9)))</f>
        <v/>
      </c>
      <c r="U23" s="62" t="str">
        <f aca="false">IF(OR($C23="",S23=""),"",IF(S23/IF($S$2="",100,$S$2)&gt;=設定!$I$28,設定!$G$8,IF(S23/IF($S$2="",100,$S$2)&lt;設定!$I$29,設定!$G$10,設定!$G$9)))</f>
        <v/>
      </c>
    </row>
    <row r="24" customFormat="false" ht="21" hidden="false" customHeight="true" outlineLevel="0" collapsed="false">
      <c r="A24" s="91" t="str">
        <f aca="false">IF(名簿!$D24="","",名簿!$B24&amp;"")</f>
        <v/>
      </c>
      <c r="B24" s="91" t="str">
        <f aca="false">IF(名簿!$D24="","",名簿!$C24)</f>
        <v/>
      </c>
      <c r="C24" s="59" t="str">
        <f aca="false">IF(名簿!$D24="","",名簿!$D24&amp;IF(名簿!$F24="転出","（転出）",""))</f>
        <v/>
      </c>
      <c r="D24" s="149"/>
      <c r="E24" s="61" t="str">
        <f aca="false">IF(OR($C24="",名簿!$F24="転出"),"",IF($C$2="学級ごと",$A24,IF($C$2="前の単元と同じ",単元16!$E24&amp;"",$D24&amp;"")))</f>
        <v/>
      </c>
      <c r="F24" s="150"/>
      <c r="G24" s="150"/>
      <c r="H24" s="150"/>
      <c r="I24" s="151"/>
      <c r="J24" s="41" t="str">
        <f aca="false">IF($E24="","",$E24&amp;"|"&amp;COUNTIF($E$5:$E24,$E24))</f>
        <v/>
      </c>
      <c r="K24" s="40" t="str">
        <f aca="false">IF($I24="","",LEN($I24))</f>
        <v/>
      </c>
      <c r="L24" s="13"/>
      <c r="M24" s="13"/>
      <c r="N24" s="13"/>
      <c r="O24" s="13"/>
      <c r="P24" s="152"/>
      <c r="Q24" s="149"/>
      <c r="R24" s="152"/>
      <c r="S24" s="152"/>
      <c r="T24" s="62" t="str">
        <f aca="false">IF(OR($C24="",R24=""),"",IF(R24/IF($R$2="",100,$R$2)&gt;=設定!$I$28,設定!$G$8,IF(R24/IF($R$2="",100,$R$2)&lt;設定!$I$29,設定!$G$10,設定!$G$9)))</f>
        <v/>
      </c>
      <c r="U24" s="62" t="str">
        <f aca="false">IF(OR($C24="",S24=""),"",IF(S24/IF($S$2="",100,$S$2)&gt;=設定!$I$28,設定!$G$8,IF(S24/IF($S$2="",100,$S$2)&lt;設定!$I$29,設定!$G$10,設定!$G$9)))</f>
        <v/>
      </c>
    </row>
    <row r="25" customFormat="false" ht="21" hidden="false" customHeight="true" outlineLevel="0" collapsed="false">
      <c r="A25" s="91" t="str">
        <f aca="false">IF(名簿!$D25="","",名簿!$B25&amp;"")</f>
        <v/>
      </c>
      <c r="B25" s="91" t="str">
        <f aca="false">IF(名簿!$D25="","",名簿!$C25)</f>
        <v/>
      </c>
      <c r="C25" s="59" t="str">
        <f aca="false">IF(名簿!$D25="","",名簿!$D25&amp;IF(名簿!$F25="転出","（転出）",""))</f>
        <v/>
      </c>
      <c r="D25" s="149"/>
      <c r="E25" s="61" t="str">
        <f aca="false">IF(OR($C25="",名簿!$F25="転出"),"",IF($C$2="学級ごと",$A25,IF($C$2="前の単元と同じ",単元16!$E25&amp;"",$D25&amp;"")))</f>
        <v/>
      </c>
      <c r="F25" s="150"/>
      <c r="G25" s="150"/>
      <c r="H25" s="150"/>
      <c r="I25" s="151"/>
      <c r="J25" s="41" t="str">
        <f aca="false">IF($E25="","",$E25&amp;"|"&amp;COUNTIF($E$5:$E25,$E25))</f>
        <v/>
      </c>
      <c r="K25" s="40" t="str">
        <f aca="false">IF($I25="","",LEN($I25))</f>
        <v/>
      </c>
      <c r="L25" s="13"/>
      <c r="M25" s="13"/>
      <c r="N25" s="13"/>
      <c r="O25" s="13"/>
      <c r="P25" s="152"/>
      <c r="Q25" s="149"/>
      <c r="R25" s="152"/>
      <c r="S25" s="152"/>
      <c r="T25" s="62" t="str">
        <f aca="false">IF(OR($C25="",R25=""),"",IF(R25/IF($R$2="",100,$R$2)&gt;=設定!$I$28,設定!$G$8,IF(R25/IF($R$2="",100,$R$2)&lt;設定!$I$29,設定!$G$10,設定!$G$9)))</f>
        <v/>
      </c>
      <c r="U25" s="62" t="str">
        <f aca="false">IF(OR($C25="",S25=""),"",IF(S25/IF($S$2="",100,$S$2)&gt;=設定!$I$28,設定!$G$8,IF(S25/IF($S$2="",100,$S$2)&lt;設定!$I$29,設定!$G$10,設定!$G$9)))</f>
        <v/>
      </c>
    </row>
    <row r="26" customFormat="false" ht="21" hidden="false" customHeight="true" outlineLevel="0" collapsed="false">
      <c r="A26" s="91" t="str">
        <f aca="false">IF(名簿!$D26="","",名簿!$B26&amp;"")</f>
        <v/>
      </c>
      <c r="B26" s="91" t="str">
        <f aca="false">IF(名簿!$D26="","",名簿!$C26)</f>
        <v/>
      </c>
      <c r="C26" s="59" t="str">
        <f aca="false">IF(名簿!$D26="","",名簿!$D26&amp;IF(名簿!$F26="転出","（転出）",""))</f>
        <v/>
      </c>
      <c r="D26" s="149"/>
      <c r="E26" s="61" t="str">
        <f aca="false">IF(OR($C26="",名簿!$F26="転出"),"",IF($C$2="学級ごと",$A26,IF($C$2="前の単元と同じ",単元16!$E26&amp;"",$D26&amp;"")))</f>
        <v/>
      </c>
      <c r="F26" s="150"/>
      <c r="G26" s="150"/>
      <c r="H26" s="150"/>
      <c r="I26" s="151"/>
      <c r="J26" s="41" t="str">
        <f aca="false">IF($E26="","",$E26&amp;"|"&amp;COUNTIF($E$5:$E26,$E26))</f>
        <v/>
      </c>
      <c r="K26" s="40" t="str">
        <f aca="false">IF($I26="","",LEN($I26))</f>
        <v/>
      </c>
      <c r="L26" s="13"/>
      <c r="M26" s="13"/>
      <c r="N26" s="13"/>
      <c r="O26" s="13"/>
      <c r="P26" s="152"/>
      <c r="Q26" s="149"/>
      <c r="R26" s="152"/>
      <c r="S26" s="152"/>
      <c r="T26" s="62" t="str">
        <f aca="false">IF(OR($C26="",R26=""),"",IF(R26/IF($R$2="",100,$R$2)&gt;=設定!$I$28,設定!$G$8,IF(R26/IF($R$2="",100,$R$2)&lt;設定!$I$29,設定!$G$10,設定!$G$9)))</f>
        <v/>
      </c>
      <c r="U26" s="62" t="str">
        <f aca="false">IF(OR($C26="",S26=""),"",IF(S26/IF($S$2="",100,$S$2)&gt;=設定!$I$28,設定!$G$8,IF(S26/IF($S$2="",100,$S$2)&lt;設定!$I$29,設定!$G$10,設定!$G$9)))</f>
        <v/>
      </c>
    </row>
    <row r="27" customFormat="false" ht="21" hidden="false" customHeight="true" outlineLevel="0" collapsed="false">
      <c r="A27" s="91" t="str">
        <f aca="false">IF(名簿!$D27="","",名簿!$B27&amp;"")</f>
        <v/>
      </c>
      <c r="B27" s="91" t="str">
        <f aca="false">IF(名簿!$D27="","",名簿!$C27)</f>
        <v/>
      </c>
      <c r="C27" s="59" t="str">
        <f aca="false">IF(名簿!$D27="","",名簿!$D27&amp;IF(名簿!$F27="転出","（転出）",""))</f>
        <v/>
      </c>
      <c r="D27" s="149"/>
      <c r="E27" s="61" t="str">
        <f aca="false">IF(OR($C27="",名簿!$F27="転出"),"",IF($C$2="学級ごと",$A27,IF($C$2="前の単元と同じ",単元16!$E27&amp;"",$D27&amp;"")))</f>
        <v/>
      </c>
      <c r="F27" s="150"/>
      <c r="G27" s="150"/>
      <c r="H27" s="150"/>
      <c r="I27" s="151"/>
      <c r="J27" s="41" t="str">
        <f aca="false">IF($E27="","",$E27&amp;"|"&amp;COUNTIF($E$5:$E27,$E27))</f>
        <v/>
      </c>
      <c r="K27" s="40" t="str">
        <f aca="false">IF($I27="","",LEN($I27))</f>
        <v/>
      </c>
      <c r="L27" s="13"/>
      <c r="M27" s="13"/>
      <c r="N27" s="13"/>
      <c r="O27" s="13"/>
      <c r="P27" s="152"/>
      <c r="Q27" s="149"/>
      <c r="R27" s="152"/>
      <c r="S27" s="152"/>
      <c r="T27" s="62" t="str">
        <f aca="false">IF(OR($C27="",R27=""),"",IF(R27/IF($R$2="",100,$R$2)&gt;=設定!$I$28,設定!$G$8,IF(R27/IF($R$2="",100,$R$2)&lt;設定!$I$29,設定!$G$10,設定!$G$9)))</f>
        <v/>
      </c>
      <c r="U27" s="62" t="str">
        <f aca="false">IF(OR($C27="",S27=""),"",IF(S27/IF($S$2="",100,$S$2)&gt;=設定!$I$28,設定!$G$8,IF(S27/IF($S$2="",100,$S$2)&lt;設定!$I$29,設定!$G$10,設定!$G$9)))</f>
        <v/>
      </c>
    </row>
    <row r="28" customFormat="false" ht="21" hidden="false" customHeight="true" outlineLevel="0" collapsed="false">
      <c r="A28" s="91" t="str">
        <f aca="false">IF(名簿!$D28="","",名簿!$B28&amp;"")</f>
        <v/>
      </c>
      <c r="B28" s="91" t="str">
        <f aca="false">IF(名簿!$D28="","",名簿!$C28)</f>
        <v/>
      </c>
      <c r="C28" s="59" t="str">
        <f aca="false">IF(名簿!$D28="","",名簿!$D28&amp;IF(名簿!$F28="転出","（転出）",""))</f>
        <v/>
      </c>
      <c r="D28" s="149"/>
      <c r="E28" s="61" t="str">
        <f aca="false">IF(OR($C28="",名簿!$F28="転出"),"",IF($C$2="学級ごと",$A28,IF($C$2="前の単元と同じ",単元16!$E28&amp;"",$D28&amp;"")))</f>
        <v/>
      </c>
      <c r="F28" s="150"/>
      <c r="G28" s="150"/>
      <c r="H28" s="150"/>
      <c r="I28" s="151"/>
      <c r="J28" s="41" t="str">
        <f aca="false">IF($E28="","",$E28&amp;"|"&amp;COUNTIF($E$5:$E28,$E28))</f>
        <v/>
      </c>
      <c r="K28" s="40" t="str">
        <f aca="false">IF($I28="","",LEN($I28))</f>
        <v/>
      </c>
      <c r="L28" s="13"/>
      <c r="M28" s="13"/>
      <c r="N28" s="13"/>
      <c r="O28" s="13"/>
      <c r="P28" s="152"/>
      <c r="Q28" s="149"/>
      <c r="R28" s="152"/>
      <c r="S28" s="152"/>
      <c r="T28" s="62" t="str">
        <f aca="false">IF(OR($C28="",R28=""),"",IF(R28/IF($R$2="",100,$R$2)&gt;=設定!$I$28,設定!$G$8,IF(R28/IF($R$2="",100,$R$2)&lt;設定!$I$29,設定!$G$10,設定!$G$9)))</f>
        <v/>
      </c>
      <c r="U28" s="62" t="str">
        <f aca="false">IF(OR($C28="",S28=""),"",IF(S28/IF($S$2="",100,$S$2)&gt;=設定!$I$28,設定!$G$8,IF(S28/IF($S$2="",100,$S$2)&lt;設定!$I$29,設定!$G$10,設定!$G$9)))</f>
        <v/>
      </c>
    </row>
    <row r="29" customFormat="false" ht="21" hidden="false" customHeight="true" outlineLevel="0" collapsed="false">
      <c r="A29" s="91" t="str">
        <f aca="false">IF(名簿!$D29="","",名簿!$B29&amp;"")</f>
        <v/>
      </c>
      <c r="B29" s="91" t="str">
        <f aca="false">IF(名簿!$D29="","",名簿!$C29)</f>
        <v/>
      </c>
      <c r="C29" s="59" t="str">
        <f aca="false">IF(名簿!$D29="","",名簿!$D29&amp;IF(名簿!$F29="転出","（転出）",""))</f>
        <v/>
      </c>
      <c r="D29" s="149"/>
      <c r="E29" s="61" t="str">
        <f aca="false">IF(OR($C29="",名簿!$F29="転出"),"",IF($C$2="学級ごと",$A29,IF($C$2="前の単元と同じ",単元16!$E29&amp;"",$D29&amp;"")))</f>
        <v/>
      </c>
      <c r="F29" s="150"/>
      <c r="G29" s="150"/>
      <c r="H29" s="150"/>
      <c r="I29" s="151"/>
      <c r="J29" s="41" t="str">
        <f aca="false">IF($E29="","",$E29&amp;"|"&amp;COUNTIF($E$5:$E29,$E29))</f>
        <v/>
      </c>
      <c r="K29" s="40" t="str">
        <f aca="false">IF($I29="","",LEN($I29))</f>
        <v/>
      </c>
      <c r="L29" s="13"/>
      <c r="M29" s="13"/>
      <c r="N29" s="13"/>
      <c r="O29" s="13"/>
      <c r="P29" s="152"/>
      <c r="Q29" s="149"/>
      <c r="R29" s="152"/>
      <c r="S29" s="152"/>
      <c r="T29" s="62" t="str">
        <f aca="false">IF(OR($C29="",R29=""),"",IF(R29/IF($R$2="",100,$R$2)&gt;=設定!$I$28,設定!$G$8,IF(R29/IF($R$2="",100,$R$2)&lt;設定!$I$29,設定!$G$10,設定!$G$9)))</f>
        <v/>
      </c>
      <c r="U29" s="62" t="str">
        <f aca="false">IF(OR($C29="",S29=""),"",IF(S29/IF($S$2="",100,$S$2)&gt;=設定!$I$28,設定!$G$8,IF(S29/IF($S$2="",100,$S$2)&lt;設定!$I$29,設定!$G$10,設定!$G$9)))</f>
        <v/>
      </c>
    </row>
    <row r="30" customFormat="false" ht="21" hidden="false" customHeight="true" outlineLevel="0" collapsed="false">
      <c r="A30" s="91" t="str">
        <f aca="false">IF(名簿!$D30="","",名簿!$B30&amp;"")</f>
        <v/>
      </c>
      <c r="B30" s="91" t="str">
        <f aca="false">IF(名簿!$D30="","",名簿!$C30)</f>
        <v/>
      </c>
      <c r="C30" s="59" t="str">
        <f aca="false">IF(名簿!$D30="","",名簿!$D30&amp;IF(名簿!$F30="転出","（転出）",""))</f>
        <v/>
      </c>
      <c r="D30" s="149"/>
      <c r="E30" s="61" t="str">
        <f aca="false">IF(OR($C30="",名簿!$F30="転出"),"",IF($C$2="学級ごと",$A30,IF($C$2="前の単元と同じ",単元16!$E30&amp;"",$D30&amp;"")))</f>
        <v/>
      </c>
      <c r="F30" s="150"/>
      <c r="G30" s="150"/>
      <c r="H30" s="150"/>
      <c r="I30" s="151"/>
      <c r="J30" s="41" t="str">
        <f aca="false">IF($E30="","",$E30&amp;"|"&amp;COUNTIF($E$5:$E30,$E30))</f>
        <v/>
      </c>
      <c r="K30" s="40" t="str">
        <f aca="false">IF($I30="","",LEN($I30))</f>
        <v/>
      </c>
      <c r="L30" s="13"/>
      <c r="M30" s="13"/>
      <c r="N30" s="13"/>
      <c r="O30" s="13"/>
      <c r="P30" s="152"/>
      <c r="Q30" s="149"/>
      <c r="R30" s="152"/>
      <c r="S30" s="152"/>
      <c r="T30" s="62" t="str">
        <f aca="false">IF(OR($C30="",R30=""),"",IF(R30/IF($R$2="",100,$R$2)&gt;=設定!$I$28,設定!$G$8,IF(R30/IF($R$2="",100,$R$2)&lt;設定!$I$29,設定!$G$10,設定!$G$9)))</f>
        <v/>
      </c>
      <c r="U30" s="62" t="str">
        <f aca="false">IF(OR($C30="",S30=""),"",IF(S30/IF($S$2="",100,$S$2)&gt;=設定!$I$28,設定!$G$8,IF(S30/IF($S$2="",100,$S$2)&lt;設定!$I$29,設定!$G$10,設定!$G$9)))</f>
        <v/>
      </c>
    </row>
    <row r="31" customFormat="false" ht="21" hidden="false" customHeight="true" outlineLevel="0" collapsed="false">
      <c r="A31" s="91" t="str">
        <f aca="false">IF(名簿!$D31="","",名簿!$B31&amp;"")</f>
        <v/>
      </c>
      <c r="B31" s="91" t="str">
        <f aca="false">IF(名簿!$D31="","",名簿!$C31)</f>
        <v/>
      </c>
      <c r="C31" s="59" t="str">
        <f aca="false">IF(名簿!$D31="","",名簿!$D31&amp;IF(名簿!$F31="転出","（転出）",""))</f>
        <v/>
      </c>
      <c r="D31" s="149"/>
      <c r="E31" s="61" t="str">
        <f aca="false">IF(OR($C31="",名簿!$F31="転出"),"",IF($C$2="学級ごと",$A31,IF($C$2="前の単元と同じ",単元16!$E31&amp;"",$D31&amp;"")))</f>
        <v/>
      </c>
      <c r="F31" s="150"/>
      <c r="G31" s="150"/>
      <c r="H31" s="150"/>
      <c r="I31" s="151"/>
      <c r="J31" s="41" t="str">
        <f aca="false">IF($E31="","",$E31&amp;"|"&amp;COUNTIF($E$5:$E31,$E31))</f>
        <v/>
      </c>
      <c r="K31" s="40" t="str">
        <f aca="false">IF($I31="","",LEN($I31))</f>
        <v/>
      </c>
      <c r="L31" s="13"/>
      <c r="M31" s="13"/>
      <c r="N31" s="13"/>
      <c r="O31" s="13"/>
      <c r="P31" s="152"/>
      <c r="Q31" s="149"/>
      <c r="R31" s="152"/>
      <c r="S31" s="152"/>
      <c r="T31" s="62" t="str">
        <f aca="false">IF(OR($C31="",R31=""),"",IF(R31/IF($R$2="",100,$R$2)&gt;=設定!$I$28,設定!$G$8,IF(R31/IF($R$2="",100,$R$2)&lt;設定!$I$29,設定!$G$10,設定!$G$9)))</f>
        <v/>
      </c>
      <c r="U31" s="62" t="str">
        <f aca="false">IF(OR($C31="",S31=""),"",IF(S31/IF($S$2="",100,$S$2)&gt;=設定!$I$28,設定!$G$8,IF(S31/IF($S$2="",100,$S$2)&lt;設定!$I$29,設定!$G$10,設定!$G$9)))</f>
        <v/>
      </c>
    </row>
    <row r="32" customFormat="false" ht="21" hidden="false" customHeight="true" outlineLevel="0" collapsed="false">
      <c r="A32" s="91" t="str">
        <f aca="false">IF(名簿!$D32="","",名簿!$B32&amp;"")</f>
        <v/>
      </c>
      <c r="B32" s="91" t="str">
        <f aca="false">IF(名簿!$D32="","",名簿!$C32)</f>
        <v/>
      </c>
      <c r="C32" s="59" t="str">
        <f aca="false">IF(名簿!$D32="","",名簿!$D32&amp;IF(名簿!$F32="転出","（転出）",""))</f>
        <v/>
      </c>
      <c r="D32" s="149"/>
      <c r="E32" s="61" t="str">
        <f aca="false">IF(OR($C32="",名簿!$F32="転出"),"",IF($C$2="学級ごと",$A32,IF($C$2="前の単元と同じ",単元16!$E32&amp;"",$D32&amp;"")))</f>
        <v/>
      </c>
      <c r="F32" s="150"/>
      <c r="G32" s="150"/>
      <c r="H32" s="150"/>
      <c r="I32" s="151"/>
      <c r="J32" s="41" t="str">
        <f aca="false">IF($E32="","",$E32&amp;"|"&amp;COUNTIF($E$5:$E32,$E32))</f>
        <v/>
      </c>
      <c r="K32" s="40" t="str">
        <f aca="false">IF($I32="","",LEN($I32))</f>
        <v/>
      </c>
      <c r="L32" s="13"/>
      <c r="M32" s="13"/>
      <c r="N32" s="13"/>
      <c r="O32" s="13"/>
      <c r="P32" s="152"/>
      <c r="Q32" s="149"/>
      <c r="R32" s="152"/>
      <c r="S32" s="152"/>
      <c r="T32" s="62" t="str">
        <f aca="false">IF(OR($C32="",R32=""),"",IF(R32/IF($R$2="",100,$R$2)&gt;=設定!$I$28,設定!$G$8,IF(R32/IF($R$2="",100,$R$2)&lt;設定!$I$29,設定!$G$10,設定!$G$9)))</f>
        <v/>
      </c>
      <c r="U32" s="62" t="str">
        <f aca="false">IF(OR($C32="",S32=""),"",IF(S32/IF($S$2="",100,$S$2)&gt;=設定!$I$28,設定!$G$8,IF(S32/IF($S$2="",100,$S$2)&lt;設定!$I$29,設定!$G$10,設定!$G$9)))</f>
        <v/>
      </c>
    </row>
    <row r="33" customFormat="false" ht="21" hidden="false" customHeight="true" outlineLevel="0" collapsed="false">
      <c r="A33" s="91" t="str">
        <f aca="false">IF(名簿!$D33="","",名簿!$B33&amp;"")</f>
        <v/>
      </c>
      <c r="B33" s="91" t="str">
        <f aca="false">IF(名簿!$D33="","",名簿!$C33)</f>
        <v/>
      </c>
      <c r="C33" s="59" t="str">
        <f aca="false">IF(名簿!$D33="","",名簿!$D33&amp;IF(名簿!$F33="転出","（転出）",""))</f>
        <v/>
      </c>
      <c r="D33" s="149"/>
      <c r="E33" s="61" t="str">
        <f aca="false">IF(OR($C33="",名簿!$F33="転出"),"",IF($C$2="学級ごと",$A33,IF($C$2="前の単元と同じ",単元16!$E33&amp;"",$D33&amp;"")))</f>
        <v/>
      </c>
      <c r="F33" s="150"/>
      <c r="G33" s="150"/>
      <c r="H33" s="150"/>
      <c r="I33" s="151"/>
      <c r="J33" s="41" t="str">
        <f aca="false">IF($E33="","",$E33&amp;"|"&amp;COUNTIF($E$5:$E33,$E33))</f>
        <v/>
      </c>
      <c r="K33" s="40" t="str">
        <f aca="false">IF($I33="","",LEN($I33))</f>
        <v/>
      </c>
      <c r="L33" s="13"/>
      <c r="M33" s="13"/>
      <c r="N33" s="13"/>
      <c r="O33" s="13"/>
      <c r="P33" s="152"/>
      <c r="Q33" s="149"/>
      <c r="R33" s="152"/>
      <c r="S33" s="152"/>
      <c r="T33" s="62" t="str">
        <f aca="false">IF(OR($C33="",R33=""),"",IF(R33/IF($R$2="",100,$R$2)&gt;=設定!$I$28,設定!$G$8,IF(R33/IF($R$2="",100,$R$2)&lt;設定!$I$29,設定!$G$10,設定!$G$9)))</f>
        <v/>
      </c>
      <c r="U33" s="62" t="str">
        <f aca="false">IF(OR($C33="",S33=""),"",IF(S33/IF($S$2="",100,$S$2)&gt;=設定!$I$28,設定!$G$8,IF(S33/IF($S$2="",100,$S$2)&lt;設定!$I$29,設定!$G$10,設定!$G$9)))</f>
        <v/>
      </c>
    </row>
    <row r="34" customFormat="false" ht="21" hidden="false" customHeight="true" outlineLevel="0" collapsed="false">
      <c r="A34" s="91" t="str">
        <f aca="false">IF(名簿!$D34="","",名簿!$B34&amp;"")</f>
        <v/>
      </c>
      <c r="B34" s="91" t="str">
        <f aca="false">IF(名簿!$D34="","",名簿!$C34)</f>
        <v/>
      </c>
      <c r="C34" s="59" t="str">
        <f aca="false">IF(名簿!$D34="","",名簿!$D34&amp;IF(名簿!$F34="転出","（転出）",""))</f>
        <v/>
      </c>
      <c r="D34" s="149"/>
      <c r="E34" s="61" t="str">
        <f aca="false">IF(OR($C34="",名簿!$F34="転出"),"",IF($C$2="学級ごと",$A34,IF($C$2="前の単元と同じ",単元16!$E34&amp;"",$D34&amp;"")))</f>
        <v/>
      </c>
      <c r="F34" s="150"/>
      <c r="G34" s="150"/>
      <c r="H34" s="150"/>
      <c r="I34" s="151"/>
      <c r="J34" s="41" t="str">
        <f aca="false">IF($E34="","",$E34&amp;"|"&amp;COUNTIF($E$5:$E34,$E34))</f>
        <v/>
      </c>
      <c r="K34" s="40" t="str">
        <f aca="false">IF($I34="","",LEN($I34))</f>
        <v/>
      </c>
      <c r="L34" s="13"/>
      <c r="M34" s="13"/>
      <c r="N34" s="13"/>
      <c r="O34" s="13"/>
      <c r="P34" s="152"/>
      <c r="Q34" s="149"/>
      <c r="R34" s="152"/>
      <c r="S34" s="152"/>
      <c r="T34" s="62" t="str">
        <f aca="false">IF(OR($C34="",R34=""),"",IF(R34/IF($R$2="",100,$R$2)&gt;=設定!$I$28,設定!$G$8,IF(R34/IF($R$2="",100,$R$2)&lt;設定!$I$29,設定!$G$10,設定!$G$9)))</f>
        <v/>
      </c>
      <c r="U34" s="62" t="str">
        <f aca="false">IF(OR($C34="",S34=""),"",IF(S34/IF($S$2="",100,$S$2)&gt;=設定!$I$28,設定!$G$8,IF(S34/IF($S$2="",100,$S$2)&lt;設定!$I$29,設定!$G$10,設定!$G$9)))</f>
        <v/>
      </c>
    </row>
    <row r="35" customFormat="false" ht="21" hidden="false" customHeight="true" outlineLevel="0" collapsed="false">
      <c r="A35" s="91" t="str">
        <f aca="false">IF(名簿!$D35="","",名簿!$B35&amp;"")</f>
        <v/>
      </c>
      <c r="B35" s="91" t="str">
        <f aca="false">IF(名簿!$D35="","",名簿!$C35)</f>
        <v/>
      </c>
      <c r="C35" s="59" t="str">
        <f aca="false">IF(名簿!$D35="","",名簿!$D35&amp;IF(名簿!$F35="転出","（転出）",""))</f>
        <v/>
      </c>
      <c r="D35" s="149"/>
      <c r="E35" s="61" t="str">
        <f aca="false">IF(OR($C35="",名簿!$F35="転出"),"",IF($C$2="学級ごと",$A35,IF($C$2="前の単元と同じ",単元16!$E35&amp;"",$D35&amp;"")))</f>
        <v/>
      </c>
      <c r="F35" s="150"/>
      <c r="G35" s="150"/>
      <c r="H35" s="150"/>
      <c r="I35" s="151"/>
      <c r="J35" s="41" t="str">
        <f aca="false">IF($E35="","",$E35&amp;"|"&amp;COUNTIF($E$5:$E35,$E35))</f>
        <v/>
      </c>
      <c r="K35" s="40" t="str">
        <f aca="false">IF($I35="","",LEN($I35))</f>
        <v/>
      </c>
      <c r="L35" s="13"/>
      <c r="M35" s="13"/>
      <c r="N35" s="13"/>
      <c r="O35" s="13"/>
      <c r="P35" s="152"/>
      <c r="Q35" s="149"/>
      <c r="R35" s="152"/>
      <c r="S35" s="152"/>
      <c r="T35" s="62" t="str">
        <f aca="false">IF(OR($C35="",R35=""),"",IF(R35/IF($R$2="",100,$R$2)&gt;=設定!$I$28,設定!$G$8,IF(R35/IF($R$2="",100,$R$2)&lt;設定!$I$29,設定!$G$10,設定!$G$9)))</f>
        <v/>
      </c>
      <c r="U35" s="62" t="str">
        <f aca="false">IF(OR($C35="",S35=""),"",IF(S35/IF($S$2="",100,$S$2)&gt;=設定!$I$28,設定!$G$8,IF(S35/IF($S$2="",100,$S$2)&lt;設定!$I$29,設定!$G$10,設定!$G$9)))</f>
        <v/>
      </c>
    </row>
    <row r="36" customFormat="false" ht="21" hidden="false" customHeight="true" outlineLevel="0" collapsed="false">
      <c r="A36" s="91" t="str">
        <f aca="false">IF(名簿!$D36="","",名簿!$B36&amp;"")</f>
        <v/>
      </c>
      <c r="B36" s="91" t="str">
        <f aca="false">IF(名簿!$D36="","",名簿!$C36)</f>
        <v/>
      </c>
      <c r="C36" s="59" t="str">
        <f aca="false">IF(名簿!$D36="","",名簿!$D36&amp;IF(名簿!$F36="転出","（転出）",""))</f>
        <v/>
      </c>
      <c r="D36" s="149"/>
      <c r="E36" s="61" t="str">
        <f aca="false">IF(OR($C36="",名簿!$F36="転出"),"",IF($C$2="学級ごと",$A36,IF($C$2="前の単元と同じ",単元16!$E36&amp;"",$D36&amp;"")))</f>
        <v/>
      </c>
      <c r="F36" s="150"/>
      <c r="G36" s="150"/>
      <c r="H36" s="150"/>
      <c r="I36" s="151"/>
      <c r="J36" s="41" t="str">
        <f aca="false">IF($E36="","",$E36&amp;"|"&amp;COUNTIF($E$5:$E36,$E36))</f>
        <v/>
      </c>
      <c r="K36" s="40" t="str">
        <f aca="false">IF($I36="","",LEN($I36))</f>
        <v/>
      </c>
      <c r="L36" s="13"/>
      <c r="M36" s="13"/>
      <c r="N36" s="13"/>
      <c r="O36" s="13"/>
      <c r="P36" s="152"/>
      <c r="Q36" s="149"/>
      <c r="R36" s="152"/>
      <c r="S36" s="152"/>
      <c r="T36" s="62" t="str">
        <f aca="false">IF(OR($C36="",R36=""),"",IF(R36/IF($R$2="",100,$R$2)&gt;=設定!$I$28,設定!$G$8,IF(R36/IF($R$2="",100,$R$2)&lt;設定!$I$29,設定!$G$10,設定!$G$9)))</f>
        <v/>
      </c>
      <c r="U36" s="62" t="str">
        <f aca="false">IF(OR($C36="",S36=""),"",IF(S36/IF($S$2="",100,$S$2)&gt;=設定!$I$28,設定!$G$8,IF(S36/IF($S$2="",100,$S$2)&lt;設定!$I$29,設定!$G$10,設定!$G$9)))</f>
        <v/>
      </c>
    </row>
    <row r="37" customFormat="false" ht="21" hidden="false" customHeight="true" outlineLevel="0" collapsed="false">
      <c r="A37" s="91" t="str">
        <f aca="false">IF(名簿!$D37="","",名簿!$B37&amp;"")</f>
        <v/>
      </c>
      <c r="B37" s="91" t="str">
        <f aca="false">IF(名簿!$D37="","",名簿!$C37)</f>
        <v/>
      </c>
      <c r="C37" s="59" t="str">
        <f aca="false">IF(名簿!$D37="","",名簿!$D37&amp;IF(名簿!$F37="転出","（転出）",""))</f>
        <v/>
      </c>
      <c r="D37" s="149"/>
      <c r="E37" s="61" t="str">
        <f aca="false">IF(OR($C37="",名簿!$F37="転出"),"",IF($C$2="学級ごと",$A37,IF($C$2="前の単元と同じ",単元16!$E37&amp;"",$D37&amp;"")))</f>
        <v/>
      </c>
      <c r="F37" s="150"/>
      <c r="G37" s="150"/>
      <c r="H37" s="150"/>
      <c r="I37" s="151"/>
      <c r="J37" s="41" t="str">
        <f aca="false">IF($E37="","",$E37&amp;"|"&amp;COUNTIF($E$5:$E37,$E37))</f>
        <v/>
      </c>
      <c r="K37" s="40" t="str">
        <f aca="false">IF($I37="","",LEN($I37))</f>
        <v/>
      </c>
      <c r="L37" s="13"/>
      <c r="M37" s="13"/>
      <c r="N37" s="13"/>
      <c r="O37" s="13"/>
      <c r="P37" s="152"/>
      <c r="Q37" s="149"/>
      <c r="R37" s="152"/>
      <c r="S37" s="152"/>
      <c r="T37" s="62" t="str">
        <f aca="false">IF(OR($C37="",R37=""),"",IF(R37/IF($R$2="",100,$R$2)&gt;=設定!$I$28,設定!$G$8,IF(R37/IF($R$2="",100,$R$2)&lt;設定!$I$29,設定!$G$10,設定!$G$9)))</f>
        <v/>
      </c>
      <c r="U37" s="62" t="str">
        <f aca="false">IF(OR($C37="",S37=""),"",IF(S37/IF($S$2="",100,$S$2)&gt;=設定!$I$28,設定!$G$8,IF(S37/IF($S$2="",100,$S$2)&lt;設定!$I$29,設定!$G$10,設定!$G$9)))</f>
        <v/>
      </c>
    </row>
    <row r="38" customFormat="false" ht="21" hidden="false" customHeight="true" outlineLevel="0" collapsed="false">
      <c r="A38" s="91" t="str">
        <f aca="false">IF(名簿!$D38="","",名簿!$B38&amp;"")</f>
        <v/>
      </c>
      <c r="B38" s="91" t="str">
        <f aca="false">IF(名簿!$D38="","",名簿!$C38)</f>
        <v/>
      </c>
      <c r="C38" s="59" t="str">
        <f aca="false">IF(名簿!$D38="","",名簿!$D38&amp;IF(名簿!$F38="転出","（転出）",""))</f>
        <v/>
      </c>
      <c r="D38" s="149"/>
      <c r="E38" s="61" t="str">
        <f aca="false">IF(OR($C38="",名簿!$F38="転出"),"",IF($C$2="学級ごと",$A38,IF($C$2="前の単元と同じ",単元16!$E38&amp;"",$D38&amp;"")))</f>
        <v/>
      </c>
      <c r="F38" s="150"/>
      <c r="G38" s="150"/>
      <c r="H38" s="150"/>
      <c r="I38" s="151"/>
      <c r="J38" s="41" t="str">
        <f aca="false">IF($E38="","",$E38&amp;"|"&amp;COUNTIF($E$5:$E38,$E38))</f>
        <v/>
      </c>
      <c r="K38" s="40" t="str">
        <f aca="false">IF($I38="","",LEN($I38))</f>
        <v/>
      </c>
      <c r="L38" s="13"/>
      <c r="M38" s="13"/>
      <c r="N38" s="13"/>
      <c r="O38" s="13"/>
      <c r="P38" s="152"/>
      <c r="Q38" s="149"/>
      <c r="R38" s="152"/>
      <c r="S38" s="152"/>
      <c r="T38" s="62" t="str">
        <f aca="false">IF(OR($C38="",R38=""),"",IF(R38/IF($R$2="",100,$R$2)&gt;=設定!$I$28,設定!$G$8,IF(R38/IF($R$2="",100,$R$2)&lt;設定!$I$29,設定!$G$10,設定!$G$9)))</f>
        <v/>
      </c>
      <c r="U38" s="62" t="str">
        <f aca="false">IF(OR($C38="",S38=""),"",IF(S38/IF($S$2="",100,$S$2)&gt;=設定!$I$28,設定!$G$8,IF(S38/IF($S$2="",100,$S$2)&lt;設定!$I$29,設定!$G$10,設定!$G$9)))</f>
        <v/>
      </c>
    </row>
    <row r="39" customFormat="false" ht="21" hidden="false" customHeight="true" outlineLevel="0" collapsed="false">
      <c r="A39" s="91" t="str">
        <f aca="false">IF(名簿!$D39="","",名簿!$B39&amp;"")</f>
        <v/>
      </c>
      <c r="B39" s="91" t="str">
        <f aca="false">IF(名簿!$D39="","",名簿!$C39)</f>
        <v/>
      </c>
      <c r="C39" s="59" t="str">
        <f aca="false">IF(名簿!$D39="","",名簿!$D39&amp;IF(名簿!$F39="転出","（転出）",""))</f>
        <v/>
      </c>
      <c r="D39" s="149"/>
      <c r="E39" s="61" t="str">
        <f aca="false">IF(OR($C39="",名簿!$F39="転出"),"",IF($C$2="学級ごと",$A39,IF($C$2="前の単元と同じ",単元16!$E39&amp;"",$D39&amp;"")))</f>
        <v/>
      </c>
      <c r="F39" s="150"/>
      <c r="G39" s="150"/>
      <c r="H39" s="150"/>
      <c r="I39" s="151"/>
      <c r="J39" s="41" t="str">
        <f aca="false">IF($E39="","",$E39&amp;"|"&amp;COUNTIF($E$5:$E39,$E39))</f>
        <v/>
      </c>
      <c r="K39" s="40" t="str">
        <f aca="false">IF($I39="","",LEN($I39))</f>
        <v/>
      </c>
      <c r="L39" s="13"/>
      <c r="M39" s="13"/>
      <c r="N39" s="13"/>
      <c r="O39" s="13"/>
      <c r="P39" s="152"/>
      <c r="Q39" s="149"/>
      <c r="R39" s="152"/>
      <c r="S39" s="152"/>
      <c r="T39" s="62" t="str">
        <f aca="false">IF(OR($C39="",R39=""),"",IF(R39/IF($R$2="",100,$R$2)&gt;=設定!$I$28,設定!$G$8,IF(R39/IF($R$2="",100,$R$2)&lt;設定!$I$29,設定!$G$10,設定!$G$9)))</f>
        <v/>
      </c>
      <c r="U39" s="62" t="str">
        <f aca="false">IF(OR($C39="",S39=""),"",IF(S39/IF($S$2="",100,$S$2)&gt;=設定!$I$28,設定!$G$8,IF(S39/IF($S$2="",100,$S$2)&lt;設定!$I$29,設定!$G$10,設定!$G$9)))</f>
        <v/>
      </c>
    </row>
    <row r="40" customFormat="false" ht="21" hidden="false" customHeight="true" outlineLevel="0" collapsed="false">
      <c r="A40" s="91" t="str">
        <f aca="false">IF(名簿!$D40="","",名簿!$B40&amp;"")</f>
        <v/>
      </c>
      <c r="B40" s="91" t="str">
        <f aca="false">IF(名簿!$D40="","",名簿!$C40)</f>
        <v/>
      </c>
      <c r="C40" s="59" t="str">
        <f aca="false">IF(名簿!$D40="","",名簿!$D40&amp;IF(名簿!$F40="転出","（転出）",""))</f>
        <v/>
      </c>
      <c r="D40" s="149"/>
      <c r="E40" s="61" t="str">
        <f aca="false">IF(OR($C40="",名簿!$F40="転出"),"",IF($C$2="学級ごと",$A40,IF($C$2="前の単元と同じ",単元16!$E40&amp;"",$D40&amp;"")))</f>
        <v/>
      </c>
      <c r="F40" s="150"/>
      <c r="G40" s="150"/>
      <c r="H40" s="150"/>
      <c r="I40" s="151"/>
      <c r="J40" s="41" t="str">
        <f aca="false">IF($E40="","",$E40&amp;"|"&amp;COUNTIF($E$5:$E40,$E40))</f>
        <v/>
      </c>
      <c r="K40" s="40" t="str">
        <f aca="false">IF($I40="","",LEN($I40))</f>
        <v/>
      </c>
      <c r="L40" s="13"/>
      <c r="M40" s="13"/>
      <c r="N40" s="13"/>
      <c r="O40" s="13"/>
      <c r="P40" s="152"/>
      <c r="Q40" s="149"/>
      <c r="R40" s="152"/>
      <c r="S40" s="152"/>
      <c r="T40" s="62" t="str">
        <f aca="false">IF(OR($C40="",R40=""),"",IF(R40/IF($R$2="",100,$R$2)&gt;=設定!$I$28,設定!$G$8,IF(R40/IF($R$2="",100,$R$2)&lt;設定!$I$29,設定!$G$10,設定!$G$9)))</f>
        <v/>
      </c>
      <c r="U40" s="62" t="str">
        <f aca="false">IF(OR($C40="",S40=""),"",IF(S40/IF($S$2="",100,$S$2)&gt;=設定!$I$28,設定!$G$8,IF(S40/IF($S$2="",100,$S$2)&lt;設定!$I$29,設定!$G$10,設定!$G$9)))</f>
        <v/>
      </c>
    </row>
    <row r="41" customFormat="false" ht="21" hidden="false" customHeight="true" outlineLevel="0" collapsed="false">
      <c r="A41" s="91" t="str">
        <f aca="false">IF(名簿!$D41="","",名簿!$B41&amp;"")</f>
        <v/>
      </c>
      <c r="B41" s="91" t="str">
        <f aca="false">IF(名簿!$D41="","",名簿!$C41)</f>
        <v/>
      </c>
      <c r="C41" s="59" t="str">
        <f aca="false">IF(名簿!$D41="","",名簿!$D41&amp;IF(名簿!$F41="転出","（転出）",""))</f>
        <v/>
      </c>
      <c r="D41" s="149"/>
      <c r="E41" s="61" t="str">
        <f aca="false">IF(OR($C41="",名簿!$F41="転出"),"",IF($C$2="学級ごと",$A41,IF($C$2="前の単元と同じ",単元16!$E41&amp;"",$D41&amp;"")))</f>
        <v/>
      </c>
      <c r="F41" s="150"/>
      <c r="G41" s="150"/>
      <c r="H41" s="150"/>
      <c r="I41" s="151"/>
      <c r="J41" s="41" t="str">
        <f aca="false">IF($E41="","",$E41&amp;"|"&amp;COUNTIF($E$5:$E41,$E41))</f>
        <v/>
      </c>
      <c r="K41" s="40" t="str">
        <f aca="false">IF($I41="","",LEN($I41))</f>
        <v/>
      </c>
      <c r="L41" s="13"/>
      <c r="M41" s="13"/>
      <c r="N41" s="13"/>
      <c r="O41" s="13"/>
      <c r="P41" s="152"/>
      <c r="Q41" s="149"/>
      <c r="R41" s="152"/>
      <c r="S41" s="152"/>
      <c r="T41" s="62" t="str">
        <f aca="false">IF(OR($C41="",R41=""),"",IF(R41/IF($R$2="",100,$R$2)&gt;=設定!$I$28,設定!$G$8,IF(R41/IF($R$2="",100,$R$2)&lt;設定!$I$29,設定!$G$10,設定!$G$9)))</f>
        <v/>
      </c>
      <c r="U41" s="62" t="str">
        <f aca="false">IF(OR($C41="",S41=""),"",IF(S41/IF($S$2="",100,$S$2)&gt;=設定!$I$28,設定!$G$8,IF(S41/IF($S$2="",100,$S$2)&lt;設定!$I$29,設定!$G$10,設定!$G$9)))</f>
        <v/>
      </c>
    </row>
    <row r="42" customFormat="false" ht="21" hidden="false" customHeight="true" outlineLevel="0" collapsed="false">
      <c r="A42" s="91" t="str">
        <f aca="false">IF(名簿!$D42="","",名簿!$B42&amp;"")</f>
        <v/>
      </c>
      <c r="B42" s="91" t="str">
        <f aca="false">IF(名簿!$D42="","",名簿!$C42)</f>
        <v/>
      </c>
      <c r="C42" s="59" t="str">
        <f aca="false">IF(名簿!$D42="","",名簿!$D42&amp;IF(名簿!$F42="転出","（転出）",""))</f>
        <v/>
      </c>
      <c r="D42" s="149"/>
      <c r="E42" s="61" t="str">
        <f aca="false">IF(OR($C42="",名簿!$F42="転出"),"",IF($C$2="学級ごと",$A42,IF($C$2="前の単元と同じ",単元16!$E42&amp;"",$D42&amp;"")))</f>
        <v/>
      </c>
      <c r="F42" s="150"/>
      <c r="G42" s="150"/>
      <c r="H42" s="150"/>
      <c r="I42" s="151"/>
      <c r="J42" s="41" t="str">
        <f aca="false">IF($E42="","",$E42&amp;"|"&amp;COUNTIF($E$5:$E42,$E42))</f>
        <v/>
      </c>
      <c r="K42" s="40" t="str">
        <f aca="false">IF($I42="","",LEN($I42))</f>
        <v/>
      </c>
      <c r="L42" s="13"/>
      <c r="M42" s="13"/>
      <c r="N42" s="13"/>
      <c r="O42" s="13"/>
      <c r="P42" s="152"/>
      <c r="Q42" s="149"/>
      <c r="R42" s="152"/>
      <c r="S42" s="152"/>
      <c r="T42" s="62" t="str">
        <f aca="false">IF(OR($C42="",R42=""),"",IF(R42/IF($R$2="",100,$R$2)&gt;=設定!$I$28,設定!$G$8,IF(R42/IF($R$2="",100,$R$2)&lt;設定!$I$29,設定!$G$10,設定!$G$9)))</f>
        <v/>
      </c>
      <c r="U42" s="62" t="str">
        <f aca="false">IF(OR($C42="",S42=""),"",IF(S42/IF($S$2="",100,$S$2)&gt;=設定!$I$28,設定!$G$8,IF(S42/IF($S$2="",100,$S$2)&lt;設定!$I$29,設定!$G$10,設定!$G$9)))</f>
        <v/>
      </c>
    </row>
    <row r="43" customFormat="false" ht="21" hidden="false" customHeight="true" outlineLevel="0" collapsed="false">
      <c r="A43" s="91" t="str">
        <f aca="false">IF(名簿!$D43="","",名簿!$B43&amp;"")</f>
        <v/>
      </c>
      <c r="B43" s="91" t="str">
        <f aca="false">IF(名簿!$D43="","",名簿!$C43)</f>
        <v/>
      </c>
      <c r="C43" s="59" t="str">
        <f aca="false">IF(名簿!$D43="","",名簿!$D43&amp;IF(名簿!$F43="転出","（転出）",""))</f>
        <v/>
      </c>
      <c r="D43" s="149"/>
      <c r="E43" s="61" t="str">
        <f aca="false">IF(OR($C43="",名簿!$F43="転出"),"",IF($C$2="学級ごと",$A43,IF($C$2="前の単元と同じ",単元16!$E43&amp;"",$D43&amp;"")))</f>
        <v/>
      </c>
      <c r="F43" s="150"/>
      <c r="G43" s="150"/>
      <c r="H43" s="150"/>
      <c r="I43" s="151"/>
      <c r="J43" s="41" t="str">
        <f aca="false">IF($E43="","",$E43&amp;"|"&amp;COUNTIF($E$5:$E43,$E43))</f>
        <v/>
      </c>
      <c r="K43" s="40" t="str">
        <f aca="false">IF($I43="","",LEN($I43))</f>
        <v/>
      </c>
      <c r="L43" s="13"/>
      <c r="M43" s="13"/>
      <c r="N43" s="13"/>
      <c r="O43" s="13"/>
      <c r="P43" s="152"/>
      <c r="Q43" s="149"/>
      <c r="R43" s="152"/>
      <c r="S43" s="152"/>
      <c r="T43" s="62" t="str">
        <f aca="false">IF(OR($C43="",R43=""),"",IF(R43/IF($R$2="",100,$R$2)&gt;=設定!$I$28,設定!$G$8,IF(R43/IF($R$2="",100,$R$2)&lt;設定!$I$29,設定!$G$10,設定!$G$9)))</f>
        <v/>
      </c>
      <c r="U43" s="62" t="str">
        <f aca="false">IF(OR($C43="",S43=""),"",IF(S43/IF($S$2="",100,$S$2)&gt;=設定!$I$28,設定!$G$8,IF(S43/IF($S$2="",100,$S$2)&lt;設定!$I$29,設定!$G$10,設定!$G$9)))</f>
        <v/>
      </c>
    </row>
    <row r="44" customFormat="false" ht="21" hidden="false" customHeight="true" outlineLevel="0" collapsed="false">
      <c r="A44" s="91" t="str">
        <f aca="false">IF(名簿!$D44="","",名簿!$B44&amp;"")</f>
        <v/>
      </c>
      <c r="B44" s="91" t="str">
        <f aca="false">IF(名簿!$D44="","",名簿!$C44)</f>
        <v/>
      </c>
      <c r="C44" s="59" t="str">
        <f aca="false">IF(名簿!$D44="","",名簿!$D44&amp;IF(名簿!$F44="転出","（転出）",""))</f>
        <v/>
      </c>
      <c r="D44" s="149"/>
      <c r="E44" s="61" t="str">
        <f aca="false">IF(OR($C44="",名簿!$F44="転出"),"",IF($C$2="学級ごと",$A44,IF($C$2="前の単元と同じ",単元16!$E44&amp;"",$D44&amp;"")))</f>
        <v/>
      </c>
      <c r="F44" s="150"/>
      <c r="G44" s="150"/>
      <c r="H44" s="150"/>
      <c r="I44" s="151"/>
      <c r="J44" s="41" t="str">
        <f aca="false">IF($E44="","",$E44&amp;"|"&amp;COUNTIF($E$5:$E44,$E44))</f>
        <v/>
      </c>
      <c r="K44" s="40" t="str">
        <f aca="false">IF($I44="","",LEN($I44))</f>
        <v/>
      </c>
      <c r="L44" s="13"/>
      <c r="M44" s="13"/>
      <c r="N44" s="13"/>
      <c r="O44" s="13"/>
      <c r="P44" s="152"/>
      <c r="Q44" s="149"/>
      <c r="R44" s="152"/>
      <c r="S44" s="152"/>
      <c r="T44" s="62" t="str">
        <f aca="false">IF(OR($C44="",R44=""),"",IF(R44/IF($R$2="",100,$R$2)&gt;=設定!$I$28,設定!$G$8,IF(R44/IF($R$2="",100,$R$2)&lt;設定!$I$29,設定!$G$10,設定!$G$9)))</f>
        <v/>
      </c>
      <c r="U44" s="62" t="str">
        <f aca="false">IF(OR($C44="",S44=""),"",IF(S44/IF($S$2="",100,$S$2)&gt;=設定!$I$28,設定!$G$8,IF(S44/IF($S$2="",100,$S$2)&lt;設定!$I$29,設定!$G$10,設定!$G$9)))</f>
        <v/>
      </c>
    </row>
    <row r="45" customFormat="false" ht="21" hidden="false" customHeight="true" outlineLevel="0" collapsed="false">
      <c r="A45" s="91" t="str">
        <f aca="false">IF(名簿!$D45="","",名簿!$B45&amp;"")</f>
        <v/>
      </c>
      <c r="B45" s="91" t="str">
        <f aca="false">IF(名簿!$D45="","",名簿!$C45)</f>
        <v/>
      </c>
      <c r="C45" s="59" t="str">
        <f aca="false">IF(名簿!$D45="","",名簿!$D45&amp;IF(名簿!$F45="転出","（転出）",""))</f>
        <v/>
      </c>
      <c r="D45" s="149"/>
      <c r="E45" s="61" t="str">
        <f aca="false">IF(OR($C45="",名簿!$F45="転出"),"",IF($C$2="学級ごと",$A45,IF($C$2="前の単元と同じ",単元16!$E45&amp;"",$D45&amp;"")))</f>
        <v/>
      </c>
      <c r="F45" s="150"/>
      <c r="G45" s="150"/>
      <c r="H45" s="150"/>
      <c r="I45" s="151"/>
      <c r="J45" s="41" t="str">
        <f aca="false">IF($E45="","",$E45&amp;"|"&amp;COUNTIF($E$5:$E45,$E45))</f>
        <v/>
      </c>
      <c r="K45" s="40" t="str">
        <f aca="false">IF($I45="","",LEN($I45))</f>
        <v/>
      </c>
      <c r="L45" s="13"/>
      <c r="M45" s="13"/>
      <c r="N45" s="13"/>
      <c r="O45" s="13"/>
      <c r="P45" s="152"/>
      <c r="Q45" s="149"/>
      <c r="R45" s="152"/>
      <c r="S45" s="152"/>
      <c r="T45" s="62" t="str">
        <f aca="false">IF(OR($C45="",R45=""),"",IF(R45/IF($R$2="",100,$R$2)&gt;=設定!$I$28,設定!$G$8,IF(R45/IF($R$2="",100,$R$2)&lt;設定!$I$29,設定!$G$10,設定!$G$9)))</f>
        <v/>
      </c>
      <c r="U45" s="62" t="str">
        <f aca="false">IF(OR($C45="",S45=""),"",IF(S45/IF($S$2="",100,$S$2)&gt;=設定!$I$28,設定!$G$8,IF(S45/IF($S$2="",100,$S$2)&lt;設定!$I$29,設定!$G$10,設定!$G$9)))</f>
        <v/>
      </c>
    </row>
    <row r="46" customFormat="false" ht="21" hidden="false" customHeight="true" outlineLevel="0" collapsed="false">
      <c r="A46" s="91" t="str">
        <f aca="false">IF(名簿!$D46="","",名簿!$B46&amp;"")</f>
        <v/>
      </c>
      <c r="B46" s="91" t="str">
        <f aca="false">IF(名簿!$D46="","",名簿!$C46)</f>
        <v/>
      </c>
      <c r="C46" s="59" t="str">
        <f aca="false">IF(名簿!$D46="","",名簿!$D46&amp;IF(名簿!$F46="転出","（転出）",""))</f>
        <v/>
      </c>
      <c r="D46" s="149"/>
      <c r="E46" s="61" t="str">
        <f aca="false">IF(OR($C46="",名簿!$F46="転出"),"",IF($C$2="学級ごと",$A46,IF($C$2="前の単元と同じ",単元16!$E46&amp;"",$D46&amp;"")))</f>
        <v/>
      </c>
      <c r="F46" s="150"/>
      <c r="G46" s="150"/>
      <c r="H46" s="150"/>
      <c r="I46" s="151"/>
      <c r="J46" s="41" t="str">
        <f aca="false">IF($E46="","",$E46&amp;"|"&amp;COUNTIF($E$5:$E46,$E46))</f>
        <v/>
      </c>
      <c r="K46" s="40" t="str">
        <f aca="false">IF($I46="","",LEN($I46))</f>
        <v/>
      </c>
      <c r="L46" s="13"/>
      <c r="M46" s="13"/>
      <c r="N46" s="13"/>
      <c r="O46" s="13"/>
      <c r="P46" s="152"/>
      <c r="Q46" s="149"/>
      <c r="R46" s="152"/>
      <c r="S46" s="152"/>
      <c r="T46" s="62" t="str">
        <f aca="false">IF(OR($C46="",R46=""),"",IF(R46/IF($R$2="",100,$R$2)&gt;=設定!$I$28,設定!$G$8,IF(R46/IF($R$2="",100,$R$2)&lt;設定!$I$29,設定!$G$10,設定!$G$9)))</f>
        <v/>
      </c>
      <c r="U46" s="62" t="str">
        <f aca="false">IF(OR($C46="",S46=""),"",IF(S46/IF($S$2="",100,$S$2)&gt;=設定!$I$28,設定!$G$8,IF(S46/IF($S$2="",100,$S$2)&lt;設定!$I$29,設定!$G$10,設定!$G$9)))</f>
        <v/>
      </c>
    </row>
    <row r="47" customFormat="false" ht="21" hidden="false" customHeight="true" outlineLevel="0" collapsed="false">
      <c r="A47" s="91" t="str">
        <f aca="false">IF(名簿!$D47="","",名簿!$B47&amp;"")</f>
        <v/>
      </c>
      <c r="B47" s="91" t="str">
        <f aca="false">IF(名簿!$D47="","",名簿!$C47)</f>
        <v/>
      </c>
      <c r="C47" s="59" t="str">
        <f aca="false">IF(名簿!$D47="","",名簿!$D47&amp;IF(名簿!$F47="転出","（転出）",""))</f>
        <v/>
      </c>
      <c r="D47" s="149"/>
      <c r="E47" s="61" t="str">
        <f aca="false">IF(OR($C47="",名簿!$F47="転出"),"",IF($C$2="学級ごと",$A47,IF($C$2="前の単元と同じ",単元16!$E47&amp;"",$D47&amp;"")))</f>
        <v/>
      </c>
      <c r="F47" s="150"/>
      <c r="G47" s="150"/>
      <c r="H47" s="150"/>
      <c r="I47" s="151"/>
      <c r="J47" s="41" t="str">
        <f aca="false">IF($E47="","",$E47&amp;"|"&amp;COUNTIF($E$5:$E47,$E47))</f>
        <v/>
      </c>
      <c r="K47" s="40" t="str">
        <f aca="false">IF($I47="","",LEN($I47))</f>
        <v/>
      </c>
      <c r="L47" s="13"/>
      <c r="M47" s="13"/>
      <c r="N47" s="13"/>
      <c r="O47" s="13"/>
      <c r="P47" s="152"/>
      <c r="Q47" s="149"/>
      <c r="R47" s="152"/>
      <c r="S47" s="152"/>
      <c r="T47" s="62" t="str">
        <f aca="false">IF(OR($C47="",R47=""),"",IF(R47/IF($R$2="",100,$R$2)&gt;=設定!$I$28,設定!$G$8,IF(R47/IF($R$2="",100,$R$2)&lt;設定!$I$29,設定!$G$10,設定!$G$9)))</f>
        <v/>
      </c>
      <c r="U47" s="62" t="str">
        <f aca="false">IF(OR($C47="",S47=""),"",IF(S47/IF($S$2="",100,$S$2)&gt;=設定!$I$28,設定!$G$8,IF(S47/IF($S$2="",100,$S$2)&lt;設定!$I$29,設定!$G$10,設定!$G$9)))</f>
        <v/>
      </c>
    </row>
    <row r="48" customFormat="false" ht="21" hidden="false" customHeight="true" outlineLevel="0" collapsed="false">
      <c r="A48" s="91" t="str">
        <f aca="false">IF(名簿!$D48="","",名簿!$B48&amp;"")</f>
        <v/>
      </c>
      <c r="B48" s="91" t="str">
        <f aca="false">IF(名簿!$D48="","",名簿!$C48)</f>
        <v/>
      </c>
      <c r="C48" s="59" t="str">
        <f aca="false">IF(名簿!$D48="","",名簿!$D48&amp;IF(名簿!$F48="転出","（転出）",""))</f>
        <v/>
      </c>
      <c r="D48" s="149"/>
      <c r="E48" s="61" t="str">
        <f aca="false">IF(OR($C48="",名簿!$F48="転出"),"",IF($C$2="学級ごと",$A48,IF($C$2="前の単元と同じ",単元16!$E48&amp;"",$D48&amp;"")))</f>
        <v/>
      </c>
      <c r="F48" s="150"/>
      <c r="G48" s="150"/>
      <c r="H48" s="150"/>
      <c r="I48" s="151"/>
      <c r="J48" s="41" t="str">
        <f aca="false">IF($E48="","",$E48&amp;"|"&amp;COUNTIF($E$5:$E48,$E48))</f>
        <v/>
      </c>
      <c r="K48" s="40" t="str">
        <f aca="false">IF($I48="","",LEN($I48))</f>
        <v/>
      </c>
      <c r="L48" s="13"/>
      <c r="M48" s="13"/>
      <c r="N48" s="13"/>
      <c r="O48" s="13"/>
      <c r="P48" s="152"/>
      <c r="Q48" s="149"/>
      <c r="R48" s="152"/>
      <c r="S48" s="152"/>
      <c r="T48" s="62" t="str">
        <f aca="false">IF(OR($C48="",R48=""),"",IF(R48/IF($R$2="",100,$R$2)&gt;=設定!$I$28,設定!$G$8,IF(R48/IF($R$2="",100,$R$2)&lt;設定!$I$29,設定!$G$10,設定!$G$9)))</f>
        <v/>
      </c>
      <c r="U48" s="62" t="str">
        <f aca="false">IF(OR($C48="",S48=""),"",IF(S48/IF($S$2="",100,$S$2)&gt;=設定!$I$28,設定!$G$8,IF(S48/IF($S$2="",100,$S$2)&lt;設定!$I$29,設定!$G$10,設定!$G$9)))</f>
        <v/>
      </c>
    </row>
    <row r="49" customFormat="false" ht="21" hidden="false" customHeight="true" outlineLevel="0" collapsed="false">
      <c r="A49" s="91" t="str">
        <f aca="false">IF(名簿!$D49="","",名簿!$B49&amp;"")</f>
        <v/>
      </c>
      <c r="B49" s="91" t="str">
        <f aca="false">IF(名簿!$D49="","",名簿!$C49)</f>
        <v/>
      </c>
      <c r="C49" s="59" t="str">
        <f aca="false">IF(名簿!$D49="","",名簿!$D49&amp;IF(名簿!$F49="転出","（転出）",""))</f>
        <v/>
      </c>
      <c r="D49" s="149"/>
      <c r="E49" s="61" t="str">
        <f aca="false">IF(OR($C49="",名簿!$F49="転出"),"",IF($C$2="学級ごと",$A49,IF($C$2="前の単元と同じ",単元16!$E49&amp;"",$D49&amp;"")))</f>
        <v/>
      </c>
      <c r="F49" s="150"/>
      <c r="G49" s="150"/>
      <c r="H49" s="150"/>
      <c r="I49" s="151"/>
      <c r="J49" s="41" t="str">
        <f aca="false">IF($E49="","",$E49&amp;"|"&amp;COUNTIF($E$5:$E49,$E49))</f>
        <v/>
      </c>
      <c r="K49" s="40" t="str">
        <f aca="false">IF($I49="","",LEN($I49))</f>
        <v/>
      </c>
      <c r="L49" s="13"/>
      <c r="M49" s="13"/>
      <c r="N49" s="13"/>
      <c r="O49" s="13"/>
      <c r="P49" s="152"/>
      <c r="Q49" s="149"/>
      <c r="R49" s="152"/>
      <c r="S49" s="152"/>
      <c r="T49" s="62" t="str">
        <f aca="false">IF(OR($C49="",R49=""),"",IF(R49/IF($R$2="",100,$R$2)&gt;=設定!$I$28,設定!$G$8,IF(R49/IF($R$2="",100,$R$2)&lt;設定!$I$29,設定!$G$10,設定!$G$9)))</f>
        <v/>
      </c>
      <c r="U49" s="62" t="str">
        <f aca="false">IF(OR($C49="",S49=""),"",IF(S49/IF($S$2="",100,$S$2)&gt;=設定!$I$28,設定!$G$8,IF(S49/IF($S$2="",100,$S$2)&lt;設定!$I$29,設定!$G$10,設定!$G$9)))</f>
        <v/>
      </c>
    </row>
    <row r="50" customFormat="false" ht="21" hidden="false" customHeight="true" outlineLevel="0" collapsed="false">
      <c r="A50" s="91" t="str">
        <f aca="false">IF(名簿!$D50="","",名簿!$B50&amp;"")</f>
        <v/>
      </c>
      <c r="B50" s="91" t="str">
        <f aca="false">IF(名簿!$D50="","",名簿!$C50)</f>
        <v/>
      </c>
      <c r="C50" s="59" t="str">
        <f aca="false">IF(名簿!$D50="","",名簿!$D50&amp;IF(名簿!$F50="転出","（転出）",""))</f>
        <v/>
      </c>
      <c r="D50" s="149"/>
      <c r="E50" s="61" t="str">
        <f aca="false">IF(OR($C50="",名簿!$F50="転出"),"",IF($C$2="学級ごと",$A50,IF($C$2="前の単元と同じ",単元16!$E50&amp;"",$D50&amp;"")))</f>
        <v/>
      </c>
      <c r="F50" s="150"/>
      <c r="G50" s="150"/>
      <c r="H50" s="150"/>
      <c r="I50" s="151"/>
      <c r="J50" s="41" t="str">
        <f aca="false">IF($E50="","",$E50&amp;"|"&amp;COUNTIF($E$5:$E50,$E50))</f>
        <v/>
      </c>
      <c r="K50" s="40" t="str">
        <f aca="false">IF($I50="","",LEN($I50))</f>
        <v/>
      </c>
      <c r="L50" s="13"/>
      <c r="M50" s="13"/>
      <c r="N50" s="13"/>
      <c r="O50" s="13"/>
      <c r="P50" s="152"/>
      <c r="Q50" s="149"/>
      <c r="R50" s="152"/>
      <c r="S50" s="152"/>
      <c r="T50" s="62" t="str">
        <f aca="false">IF(OR($C50="",R50=""),"",IF(R50/IF($R$2="",100,$R$2)&gt;=設定!$I$28,設定!$G$8,IF(R50/IF($R$2="",100,$R$2)&lt;設定!$I$29,設定!$G$10,設定!$G$9)))</f>
        <v/>
      </c>
      <c r="U50" s="62" t="str">
        <f aca="false">IF(OR($C50="",S50=""),"",IF(S50/IF($S$2="",100,$S$2)&gt;=設定!$I$28,設定!$G$8,IF(S50/IF($S$2="",100,$S$2)&lt;設定!$I$29,設定!$G$10,設定!$G$9)))</f>
        <v/>
      </c>
    </row>
    <row r="51" customFormat="false" ht="21" hidden="false" customHeight="true" outlineLevel="0" collapsed="false">
      <c r="A51" s="91" t="str">
        <f aca="false">IF(名簿!$D51="","",名簿!$B51&amp;"")</f>
        <v/>
      </c>
      <c r="B51" s="91" t="str">
        <f aca="false">IF(名簿!$D51="","",名簿!$C51)</f>
        <v/>
      </c>
      <c r="C51" s="59" t="str">
        <f aca="false">IF(名簿!$D51="","",名簿!$D51&amp;IF(名簿!$F51="転出","（転出）",""))</f>
        <v/>
      </c>
      <c r="D51" s="149"/>
      <c r="E51" s="61" t="str">
        <f aca="false">IF(OR($C51="",名簿!$F51="転出"),"",IF($C$2="学級ごと",$A51,IF($C$2="前の単元と同じ",単元16!$E51&amp;"",$D51&amp;"")))</f>
        <v/>
      </c>
      <c r="F51" s="150"/>
      <c r="G51" s="150"/>
      <c r="H51" s="150"/>
      <c r="I51" s="151"/>
      <c r="J51" s="41" t="str">
        <f aca="false">IF($E51="","",$E51&amp;"|"&amp;COUNTIF($E$5:$E51,$E51))</f>
        <v/>
      </c>
      <c r="K51" s="40" t="str">
        <f aca="false">IF($I51="","",LEN($I51))</f>
        <v/>
      </c>
      <c r="L51" s="13"/>
      <c r="M51" s="13"/>
      <c r="N51" s="13"/>
      <c r="O51" s="13"/>
      <c r="P51" s="152"/>
      <c r="Q51" s="149"/>
      <c r="R51" s="152"/>
      <c r="S51" s="152"/>
      <c r="T51" s="62" t="str">
        <f aca="false">IF(OR($C51="",R51=""),"",IF(R51/IF($R$2="",100,$R$2)&gt;=設定!$I$28,設定!$G$8,IF(R51/IF($R$2="",100,$R$2)&lt;設定!$I$29,設定!$G$10,設定!$G$9)))</f>
        <v/>
      </c>
      <c r="U51" s="62" t="str">
        <f aca="false">IF(OR($C51="",S51=""),"",IF(S51/IF($S$2="",100,$S$2)&gt;=設定!$I$28,設定!$G$8,IF(S51/IF($S$2="",100,$S$2)&lt;設定!$I$29,設定!$G$10,設定!$G$9)))</f>
        <v/>
      </c>
    </row>
    <row r="52" customFormat="false" ht="21" hidden="false" customHeight="true" outlineLevel="0" collapsed="false">
      <c r="A52" s="91" t="str">
        <f aca="false">IF(名簿!$D52="","",名簿!$B52&amp;"")</f>
        <v/>
      </c>
      <c r="B52" s="91" t="str">
        <f aca="false">IF(名簿!$D52="","",名簿!$C52)</f>
        <v/>
      </c>
      <c r="C52" s="59" t="str">
        <f aca="false">IF(名簿!$D52="","",名簿!$D52&amp;IF(名簿!$F52="転出","（転出）",""))</f>
        <v/>
      </c>
      <c r="D52" s="149"/>
      <c r="E52" s="61" t="str">
        <f aca="false">IF(OR($C52="",名簿!$F52="転出"),"",IF($C$2="学級ごと",$A52,IF($C$2="前の単元と同じ",単元16!$E52&amp;"",$D52&amp;"")))</f>
        <v/>
      </c>
      <c r="F52" s="150"/>
      <c r="G52" s="150"/>
      <c r="H52" s="150"/>
      <c r="I52" s="151"/>
      <c r="J52" s="41" t="str">
        <f aca="false">IF($E52="","",$E52&amp;"|"&amp;COUNTIF($E$5:$E52,$E52))</f>
        <v/>
      </c>
      <c r="K52" s="40" t="str">
        <f aca="false">IF($I52="","",LEN($I52))</f>
        <v/>
      </c>
      <c r="L52" s="13"/>
      <c r="M52" s="13"/>
      <c r="N52" s="13"/>
      <c r="O52" s="13"/>
      <c r="P52" s="152"/>
      <c r="Q52" s="149"/>
      <c r="R52" s="152"/>
      <c r="S52" s="152"/>
      <c r="T52" s="62" t="str">
        <f aca="false">IF(OR($C52="",R52=""),"",IF(R52/IF($R$2="",100,$R$2)&gt;=設定!$I$28,設定!$G$8,IF(R52/IF($R$2="",100,$R$2)&lt;設定!$I$29,設定!$G$10,設定!$G$9)))</f>
        <v/>
      </c>
      <c r="U52" s="62" t="str">
        <f aca="false">IF(OR($C52="",S52=""),"",IF(S52/IF($S$2="",100,$S$2)&gt;=設定!$I$28,設定!$G$8,IF(S52/IF($S$2="",100,$S$2)&lt;設定!$I$29,設定!$G$10,設定!$G$9)))</f>
        <v/>
      </c>
    </row>
    <row r="53" customFormat="false" ht="21" hidden="false" customHeight="true" outlineLevel="0" collapsed="false">
      <c r="A53" s="91" t="str">
        <f aca="false">IF(名簿!$D53="","",名簿!$B53&amp;"")</f>
        <v/>
      </c>
      <c r="B53" s="91" t="str">
        <f aca="false">IF(名簿!$D53="","",名簿!$C53)</f>
        <v/>
      </c>
      <c r="C53" s="59" t="str">
        <f aca="false">IF(名簿!$D53="","",名簿!$D53&amp;IF(名簿!$F53="転出","（転出）",""))</f>
        <v/>
      </c>
      <c r="D53" s="149"/>
      <c r="E53" s="61" t="str">
        <f aca="false">IF(OR($C53="",名簿!$F53="転出"),"",IF($C$2="学級ごと",$A53,IF($C$2="前の単元と同じ",単元16!$E53&amp;"",$D53&amp;"")))</f>
        <v/>
      </c>
      <c r="F53" s="150"/>
      <c r="G53" s="150"/>
      <c r="H53" s="150"/>
      <c r="I53" s="151"/>
      <c r="J53" s="41" t="str">
        <f aca="false">IF($E53="","",$E53&amp;"|"&amp;COUNTIF($E$5:$E53,$E53))</f>
        <v/>
      </c>
      <c r="K53" s="40" t="str">
        <f aca="false">IF($I53="","",LEN($I53))</f>
        <v/>
      </c>
      <c r="L53" s="13"/>
      <c r="M53" s="13"/>
      <c r="N53" s="13"/>
      <c r="O53" s="13"/>
      <c r="P53" s="152"/>
      <c r="Q53" s="149"/>
      <c r="R53" s="152"/>
      <c r="S53" s="152"/>
      <c r="T53" s="62" t="str">
        <f aca="false">IF(OR($C53="",R53=""),"",IF(R53/IF($R$2="",100,$R$2)&gt;=設定!$I$28,設定!$G$8,IF(R53/IF($R$2="",100,$R$2)&lt;設定!$I$29,設定!$G$10,設定!$G$9)))</f>
        <v/>
      </c>
      <c r="U53" s="62" t="str">
        <f aca="false">IF(OR($C53="",S53=""),"",IF(S53/IF($S$2="",100,$S$2)&gt;=設定!$I$28,設定!$G$8,IF(S53/IF($S$2="",100,$S$2)&lt;設定!$I$29,設定!$G$10,設定!$G$9)))</f>
        <v/>
      </c>
    </row>
    <row r="54" customFormat="false" ht="21" hidden="false" customHeight="true" outlineLevel="0" collapsed="false">
      <c r="A54" s="91" t="str">
        <f aca="false">IF(名簿!$D54="","",名簿!$B54&amp;"")</f>
        <v/>
      </c>
      <c r="B54" s="91" t="str">
        <f aca="false">IF(名簿!$D54="","",名簿!$C54)</f>
        <v/>
      </c>
      <c r="C54" s="59" t="str">
        <f aca="false">IF(名簿!$D54="","",名簿!$D54&amp;IF(名簿!$F54="転出","（転出）",""))</f>
        <v/>
      </c>
      <c r="D54" s="149"/>
      <c r="E54" s="61" t="str">
        <f aca="false">IF(OR($C54="",名簿!$F54="転出"),"",IF($C$2="学級ごと",$A54,IF($C$2="前の単元と同じ",単元16!$E54&amp;"",$D54&amp;"")))</f>
        <v/>
      </c>
      <c r="F54" s="150"/>
      <c r="G54" s="150"/>
      <c r="H54" s="150"/>
      <c r="I54" s="151"/>
      <c r="J54" s="41" t="str">
        <f aca="false">IF($E54="","",$E54&amp;"|"&amp;COUNTIF($E$5:$E54,$E54))</f>
        <v/>
      </c>
      <c r="K54" s="40" t="str">
        <f aca="false">IF($I54="","",LEN($I54))</f>
        <v/>
      </c>
      <c r="L54" s="13"/>
      <c r="M54" s="13"/>
      <c r="N54" s="13"/>
      <c r="O54" s="13"/>
      <c r="P54" s="152"/>
      <c r="Q54" s="149"/>
      <c r="R54" s="152"/>
      <c r="S54" s="152"/>
      <c r="T54" s="62" t="str">
        <f aca="false">IF(OR($C54="",R54=""),"",IF(R54/IF($R$2="",100,$R$2)&gt;=設定!$I$28,設定!$G$8,IF(R54/IF($R$2="",100,$R$2)&lt;設定!$I$29,設定!$G$10,設定!$G$9)))</f>
        <v/>
      </c>
      <c r="U54" s="62" t="str">
        <f aca="false">IF(OR($C54="",S54=""),"",IF(S54/IF($S$2="",100,$S$2)&gt;=設定!$I$28,設定!$G$8,IF(S54/IF($S$2="",100,$S$2)&lt;設定!$I$29,設定!$G$10,設定!$G$9)))</f>
        <v/>
      </c>
    </row>
    <row r="55" customFormat="false" ht="21" hidden="false" customHeight="true" outlineLevel="0" collapsed="false">
      <c r="A55" s="91" t="str">
        <f aca="false">IF(名簿!$D55="","",名簿!$B55&amp;"")</f>
        <v/>
      </c>
      <c r="B55" s="91" t="str">
        <f aca="false">IF(名簿!$D55="","",名簿!$C55)</f>
        <v/>
      </c>
      <c r="C55" s="59" t="str">
        <f aca="false">IF(名簿!$D55="","",名簿!$D55&amp;IF(名簿!$F55="転出","（転出）",""))</f>
        <v/>
      </c>
      <c r="D55" s="149"/>
      <c r="E55" s="61" t="str">
        <f aca="false">IF(OR($C55="",名簿!$F55="転出"),"",IF($C$2="学級ごと",$A55,IF($C$2="前の単元と同じ",単元16!$E55&amp;"",$D55&amp;"")))</f>
        <v/>
      </c>
      <c r="F55" s="150"/>
      <c r="G55" s="150"/>
      <c r="H55" s="150"/>
      <c r="I55" s="151"/>
      <c r="J55" s="41" t="str">
        <f aca="false">IF($E55="","",$E55&amp;"|"&amp;COUNTIF($E$5:$E55,$E55))</f>
        <v/>
      </c>
      <c r="K55" s="40" t="str">
        <f aca="false">IF($I55="","",LEN($I55))</f>
        <v/>
      </c>
      <c r="L55" s="13"/>
      <c r="M55" s="13"/>
      <c r="N55" s="13"/>
      <c r="O55" s="13"/>
      <c r="P55" s="152"/>
      <c r="Q55" s="149"/>
      <c r="R55" s="152"/>
      <c r="S55" s="152"/>
      <c r="T55" s="62" t="str">
        <f aca="false">IF(OR($C55="",R55=""),"",IF(R55/IF($R$2="",100,$R$2)&gt;=設定!$I$28,設定!$G$8,IF(R55/IF($R$2="",100,$R$2)&lt;設定!$I$29,設定!$G$10,設定!$G$9)))</f>
        <v/>
      </c>
      <c r="U55" s="62" t="str">
        <f aca="false">IF(OR($C55="",S55=""),"",IF(S55/IF($S$2="",100,$S$2)&gt;=設定!$I$28,設定!$G$8,IF(S55/IF($S$2="",100,$S$2)&lt;設定!$I$29,設定!$G$10,設定!$G$9)))</f>
        <v/>
      </c>
    </row>
    <row r="56" customFormat="false" ht="21" hidden="false" customHeight="true" outlineLevel="0" collapsed="false">
      <c r="A56" s="91" t="str">
        <f aca="false">IF(名簿!$D56="","",名簿!$B56&amp;"")</f>
        <v/>
      </c>
      <c r="B56" s="91" t="str">
        <f aca="false">IF(名簿!$D56="","",名簿!$C56)</f>
        <v/>
      </c>
      <c r="C56" s="59" t="str">
        <f aca="false">IF(名簿!$D56="","",名簿!$D56&amp;IF(名簿!$F56="転出","（転出）",""))</f>
        <v/>
      </c>
      <c r="D56" s="149"/>
      <c r="E56" s="61" t="str">
        <f aca="false">IF(OR($C56="",名簿!$F56="転出"),"",IF($C$2="学級ごと",$A56,IF($C$2="前の単元と同じ",単元16!$E56&amp;"",$D56&amp;"")))</f>
        <v/>
      </c>
      <c r="F56" s="150"/>
      <c r="G56" s="150"/>
      <c r="H56" s="150"/>
      <c r="I56" s="151"/>
      <c r="J56" s="41" t="str">
        <f aca="false">IF($E56="","",$E56&amp;"|"&amp;COUNTIF($E$5:$E56,$E56))</f>
        <v/>
      </c>
      <c r="K56" s="40" t="str">
        <f aca="false">IF($I56="","",LEN($I56))</f>
        <v/>
      </c>
      <c r="L56" s="13"/>
      <c r="M56" s="13"/>
      <c r="N56" s="13"/>
      <c r="O56" s="13"/>
      <c r="P56" s="152"/>
      <c r="Q56" s="149"/>
      <c r="R56" s="152"/>
      <c r="S56" s="152"/>
      <c r="T56" s="62" t="str">
        <f aca="false">IF(OR($C56="",R56=""),"",IF(R56/IF($R$2="",100,$R$2)&gt;=設定!$I$28,設定!$G$8,IF(R56/IF($R$2="",100,$R$2)&lt;設定!$I$29,設定!$G$10,設定!$G$9)))</f>
        <v/>
      </c>
      <c r="U56" s="62" t="str">
        <f aca="false">IF(OR($C56="",S56=""),"",IF(S56/IF($S$2="",100,$S$2)&gt;=設定!$I$28,設定!$G$8,IF(S56/IF($S$2="",100,$S$2)&lt;設定!$I$29,設定!$G$10,設定!$G$9)))</f>
        <v/>
      </c>
    </row>
    <row r="57" customFormat="false" ht="21" hidden="false" customHeight="true" outlineLevel="0" collapsed="false">
      <c r="A57" s="91" t="str">
        <f aca="false">IF(名簿!$D57="","",名簿!$B57&amp;"")</f>
        <v/>
      </c>
      <c r="B57" s="91" t="str">
        <f aca="false">IF(名簿!$D57="","",名簿!$C57)</f>
        <v/>
      </c>
      <c r="C57" s="59" t="str">
        <f aca="false">IF(名簿!$D57="","",名簿!$D57&amp;IF(名簿!$F57="転出","（転出）",""))</f>
        <v/>
      </c>
      <c r="D57" s="149"/>
      <c r="E57" s="61" t="str">
        <f aca="false">IF(OR($C57="",名簿!$F57="転出"),"",IF($C$2="学級ごと",$A57,IF($C$2="前の単元と同じ",単元16!$E57&amp;"",$D57&amp;"")))</f>
        <v/>
      </c>
      <c r="F57" s="150"/>
      <c r="G57" s="150"/>
      <c r="H57" s="150"/>
      <c r="I57" s="151"/>
      <c r="J57" s="41" t="str">
        <f aca="false">IF($E57="","",$E57&amp;"|"&amp;COUNTIF($E$5:$E57,$E57))</f>
        <v/>
      </c>
      <c r="K57" s="40" t="str">
        <f aca="false">IF($I57="","",LEN($I57))</f>
        <v/>
      </c>
      <c r="L57" s="13"/>
      <c r="M57" s="13"/>
      <c r="N57" s="13"/>
      <c r="O57" s="13"/>
      <c r="P57" s="152"/>
      <c r="Q57" s="149"/>
      <c r="R57" s="152"/>
      <c r="S57" s="152"/>
      <c r="T57" s="62" t="str">
        <f aca="false">IF(OR($C57="",R57=""),"",IF(R57/IF($R$2="",100,$R$2)&gt;=設定!$I$28,設定!$G$8,IF(R57/IF($R$2="",100,$R$2)&lt;設定!$I$29,設定!$G$10,設定!$G$9)))</f>
        <v/>
      </c>
      <c r="U57" s="62" t="str">
        <f aca="false">IF(OR($C57="",S57=""),"",IF(S57/IF($S$2="",100,$S$2)&gt;=設定!$I$28,設定!$G$8,IF(S57/IF($S$2="",100,$S$2)&lt;設定!$I$29,設定!$G$10,設定!$G$9)))</f>
        <v/>
      </c>
    </row>
    <row r="58" customFormat="false" ht="21" hidden="false" customHeight="true" outlineLevel="0" collapsed="false">
      <c r="A58" s="91" t="str">
        <f aca="false">IF(名簿!$D58="","",名簿!$B58&amp;"")</f>
        <v/>
      </c>
      <c r="B58" s="91" t="str">
        <f aca="false">IF(名簿!$D58="","",名簿!$C58)</f>
        <v/>
      </c>
      <c r="C58" s="59" t="str">
        <f aca="false">IF(名簿!$D58="","",名簿!$D58&amp;IF(名簿!$F58="転出","（転出）",""))</f>
        <v/>
      </c>
      <c r="D58" s="149"/>
      <c r="E58" s="61" t="str">
        <f aca="false">IF(OR($C58="",名簿!$F58="転出"),"",IF($C$2="学級ごと",$A58,IF($C$2="前の単元と同じ",単元16!$E58&amp;"",$D58&amp;"")))</f>
        <v/>
      </c>
      <c r="F58" s="150"/>
      <c r="G58" s="150"/>
      <c r="H58" s="150"/>
      <c r="I58" s="151"/>
      <c r="J58" s="41" t="str">
        <f aca="false">IF($E58="","",$E58&amp;"|"&amp;COUNTIF($E$5:$E58,$E58))</f>
        <v/>
      </c>
      <c r="K58" s="40" t="str">
        <f aca="false">IF($I58="","",LEN($I58))</f>
        <v/>
      </c>
      <c r="L58" s="13"/>
      <c r="M58" s="13"/>
      <c r="N58" s="13"/>
      <c r="O58" s="13"/>
      <c r="P58" s="152"/>
      <c r="Q58" s="149"/>
      <c r="R58" s="152"/>
      <c r="S58" s="152"/>
      <c r="T58" s="62" t="str">
        <f aca="false">IF(OR($C58="",R58=""),"",IF(R58/IF($R$2="",100,$R$2)&gt;=設定!$I$28,設定!$G$8,IF(R58/IF($R$2="",100,$R$2)&lt;設定!$I$29,設定!$G$10,設定!$G$9)))</f>
        <v/>
      </c>
      <c r="U58" s="62" t="str">
        <f aca="false">IF(OR($C58="",S58=""),"",IF(S58/IF($S$2="",100,$S$2)&gt;=設定!$I$28,設定!$G$8,IF(S58/IF($S$2="",100,$S$2)&lt;設定!$I$29,設定!$G$10,設定!$G$9)))</f>
        <v/>
      </c>
    </row>
    <row r="59" customFormat="false" ht="21" hidden="false" customHeight="true" outlineLevel="0" collapsed="false">
      <c r="A59" s="91" t="str">
        <f aca="false">IF(名簿!$D59="","",名簿!$B59&amp;"")</f>
        <v/>
      </c>
      <c r="B59" s="91" t="str">
        <f aca="false">IF(名簿!$D59="","",名簿!$C59)</f>
        <v/>
      </c>
      <c r="C59" s="59" t="str">
        <f aca="false">IF(名簿!$D59="","",名簿!$D59&amp;IF(名簿!$F59="転出","（転出）",""))</f>
        <v/>
      </c>
      <c r="D59" s="149"/>
      <c r="E59" s="61" t="str">
        <f aca="false">IF(OR($C59="",名簿!$F59="転出"),"",IF($C$2="学級ごと",$A59,IF($C$2="前の単元と同じ",単元16!$E59&amp;"",$D59&amp;"")))</f>
        <v/>
      </c>
      <c r="F59" s="150"/>
      <c r="G59" s="150"/>
      <c r="H59" s="150"/>
      <c r="I59" s="151"/>
      <c r="J59" s="41" t="str">
        <f aca="false">IF($E59="","",$E59&amp;"|"&amp;COUNTIF($E$5:$E59,$E59))</f>
        <v/>
      </c>
      <c r="K59" s="40" t="str">
        <f aca="false">IF($I59="","",LEN($I59))</f>
        <v/>
      </c>
      <c r="L59" s="13"/>
      <c r="M59" s="13"/>
      <c r="N59" s="13"/>
      <c r="O59" s="13"/>
      <c r="P59" s="152"/>
      <c r="Q59" s="149"/>
      <c r="R59" s="152"/>
      <c r="S59" s="152"/>
      <c r="T59" s="62" t="str">
        <f aca="false">IF(OR($C59="",R59=""),"",IF(R59/IF($R$2="",100,$R$2)&gt;=設定!$I$28,設定!$G$8,IF(R59/IF($R$2="",100,$R$2)&lt;設定!$I$29,設定!$G$10,設定!$G$9)))</f>
        <v/>
      </c>
      <c r="U59" s="62" t="str">
        <f aca="false">IF(OR($C59="",S59=""),"",IF(S59/IF($S$2="",100,$S$2)&gt;=設定!$I$28,設定!$G$8,IF(S59/IF($S$2="",100,$S$2)&lt;設定!$I$29,設定!$G$10,設定!$G$9)))</f>
        <v/>
      </c>
    </row>
    <row r="60" customFormat="false" ht="21" hidden="false" customHeight="true" outlineLevel="0" collapsed="false">
      <c r="A60" s="91" t="str">
        <f aca="false">IF(名簿!$D60="","",名簿!$B60&amp;"")</f>
        <v/>
      </c>
      <c r="B60" s="91" t="str">
        <f aca="false">IF(名簿!$D60="","",名簿!$C60)</f>
        <v/>
      </c>
      <c r="C60" s="59" t="str">
        <f aca="false">IF(名簿!$D60="","",名簿!$D60&amp;IF(名簿!$F60="転出","（転出）",""))</f>
        <v/>
      </c>
      <c r="D60" s="149"/>
      <c r="E60" s="61" t="str">
        <f aca="false">IF(OR($C60="",名簿!$F60="転出"),"",IF($C$2="学級ごと",$A60,IF($C$2="前の単元と同じ",単元16!$E60&amp;"",$D60&amp;"")))</f>
        <v/>
      </c>
      <c r="F60" s="150"/>
      <c r="G60" s="150"/>
      <c r="H60" s="150"/>
      <c r="I60" s="151"/>
      <c r="J60" s="41" t="str">
        <f aca="false">IF($E60="","",$E60&amp;"|"&amp;COUNTIF($E$5:$E60,$E60))</f>
        <v/>
      </c>
      <c r="K60" s="40" t="str">
        <f aca="false">IF($I60="","",LEN($I60))</f>
        <v/>
      </c>
      <c r="L60" s="13"/>
      <c r="M60" s="13"/>
      <c r="N60" s="13"/>
      <c r="O60" s="13"/>
      <c r="P60" s="152"/>
      <c r="Q60" s="149"/>
      <c r="R60" s="152"/>
      <c r="S60" s="152"/>
      <c r="T60" s="62" t="str">
        <f aca="false">IF(OR($C60="",R60=""),"",IF(R60/IF($R$2="",100,$R$2)&gt;=設定!$I$28,設定!$G$8,IF(R60/IF($R$2="",100,$R$2)&lt;設定!$I$29,設定!$G$10,設定!$G$9)))</f>
        <v/>
      </c>
      <c r="U60" s="62" t="str">
        <f aca="false">IF(OR($C60="",S60=""),"",IF(S60/IF($S$2="",100,$S$2)&gt;=設定!$I$28,設定!$G$8,IF(S60/IF($S$2="",100,$S$2)&lt;設定!$I$29,設定!$G$10,設定!$G$9)))</f>
        <v/>
      </c>
    </row>
    <row r="61" customFormat="false" ht="21" hidden="false" customHeight="true" outlineLevel="0" collapsed="false">
      <c r="A61" s="91" t="str">
        <f aca="false">IF(名簿!$D61="","",名簿!$B61&amp;"")</f>
        <v/>
      </c>
      <c r="B61" s="91" t="str">
        <f aca="false">IF(名簿!$D61="","",名簿!$C61)</f>
        <v/>
      </c>
      <c r="C61" s="59" t="str">
        <f aca="false">IF(名簿!$D61="","",名簿!$D61&amp;IF(名簿!$F61="転出","（転出）",""))</f>
        <v/>
      </c>
      <c r="D61" s="149"/>
      <c r="E61" s="61" t="str">
        <f aca="false">IF(OR($C61="",名簿!$F61="転出"),"",IF($C$2="学級ごと",$A61,IF($C$2="前の単元と同じ",単元16!$E61&amp;"",$D61&amp;"")))</f>
        <v/>
      </c>
      <c r="F61" s="150"/>
      <c r="G61" s="150"/>
      <c r="H61" s="150"/>
      <c r="I61" s="151"/>
      <c r="J61" s="41" t="str">
        <f aca="false">IF($E61="","",$E61&amp;"|"&amp;COUNTIF($E$5:$E61,$E61))</f>
        <v/>
      </c>
      <c r="K61" s="40" t="str">
        <f aca="false">IF($I61="","",LEN($I61))</f>
        <v/>
      </c>
      <c r="L61" s="13"/>
      <c r="M61" s="13"/>
      <c r="N61" s="13"/>
      <c r="O61" s="13"/>
      <c r="P61" s="152"/>
      <c r="Q61" s="149"/>
      <c r="R61" s="152"/>
      <c r="S61" s="152"/>
      <c r="T61" s="62" t="str">
        <f aca="false">IF(OR($C61="",R61=""),"",IF(R61/IF($R$2="",100,$R$2)&gt;=設定!$I$28,設定!$G$8,IF(R61/IF($R$2="",100,$R$2)&lt;設定!$I$29,設定!$G$10,設定!$G$9)))</f>
        <v/>
      </c>
      <c r="U61" s="62" t="str">
        <f aca="false">IF(OR($C61="",S61=""),"",IF(S61/IF($S$2="",100,$S$2)&gt;=設定!$I$28,設定!$G$8,IF(S61/IF($S$2="",100,$S$2)&lt;設定!$I$29,設定!$G$10,設定!$G$9)))</f>
        <v/>
      </c>
    </row>
    <row r="62" customFormat="false" ht="21" hidden="false" customHeight="true" outlineLevel="0" collapsed="false">
      <c r="A62" s="91" t="str">
        <f aca="false">IF(名簿!$D62="","",名簿!$B62&amp;"")</f>
        <v/>
      </c>
      <c r="B62" s="91" t="str">
        <f aca="false">IF(名簿!$D62="","",名簿!$C62)</f>
        <v/>
      </c>
      <c r="C62" s="59" t="str">
        <f aca="false">IF(名簿!$D62="","",名簿!$D62&amp;IF(名簿!$F62="転出","（転出）",""))</f>
        <v/>
      </c>
      <c r="D62" s="149"/>
      <c r="E62" s="61" t="str">
        <f aca="false">IF(OR($C62="",名簿!$F62="転出"),"",IF($C$2="学級ごと",$A62,IF($C$2="前の単元と同じ",単元16!$E62&amp;"",$D62&amp;"")))</f>
        <v/>
      </c>
      <c r="F62" s="150"/>
      <c r="G62" s="150"/>
      <c r="H62" s="150"/>
      <c r="I62" s="151"/>
      <c r="J62" s="41" t="str">
        <f aca="false">IF($E62="","",$E62&amp;"|"&amp;COUNTIF($E$5:$E62,$E62))</f>
        <v/>
      </c>
      <c r="K62" s="40" t="str">
        <f aca="false">IF($I62="","",LEN($I62))</f>
        <v/>
      </c>
      <c r="L62" s="13"/>
      <c r="M62" s="13"/>
      <c r="N62" s="13"/>
      <c r="O62" s="13"/>
      <c r="P62" s="152"/>
      <c r="Q62" s="149"/>
      <c r="R62" s="152"/>
      <c r="S62" s="152"/>
      <c r="T62" s="62" t="str">
        <f aca="false">IF(OR($C62="",R62=""),"",IF(R62/IF($R$2="",100,$R$2)&gt;=設定!$I$28,設定!$G$8,IF(R62/IF($R$2="",100,$R$2)&lt;設定!$I$29,設定!$G$10,設定!$G$9)))</f>
        <v/>
      </c>
      <c r="U62" s="62" t="str">
        <f aca="false">IF(OR($C62="",S62=""),"",IF(S62/IF($S$2="",100,$S$2)&gt;=設定!$I$28,設定!$G$8,IF(S62/IF($S$2="",100,$S$2)&lt;設定!$I$29,設定!$G$10,設定!$G$9)))</f>
        <v/>
      </c>
    </row>
    <row r="63" customFormat="false" ht="21" hidden="false" customHeight="true" outlineLevel="0" collapsed="false">
      <c r="A63" s="91" t="str">
        <f aca="false">IF(名簿!$D63="","",名簿!$B63&amp;"")</f>
        <v/>
      </c>
      <c r="B63" s="91" t="str">
        <f aca="false">IF(名簿!$D63="","",名簿!$C63)</f>
        <v/>
      </c>
      <c r="C63" s="59" t="str">
        <f aca="false">IF(名簿!$D63="","",名簿!$D63&amp;IF(名簿!$F63="転出","（転出）",""))</f>
        <v/>
      </c>
      <c r="D63" s="149"/>
      <c r="E63" s="61" t="str">
        <f aca="false">IF(OR($C63="",名簿!$F63="転出"),"",IF($C$2="学級ごと",$A63,IF($C$2="前の単元と同じ",単元16!$E63&amp;"",$D63&amp;"")))</f>
        <v/>
      </c>
      <c r="F63" s="150"/>
      <c r="G63" s="150"/>
      <c r="H63" s="150"/>
      <c r="I63" s="151"/>
      <c r="J63" s="41" t="str">
        <f aca="false">IF($E63="","",$E63&amp;"|"&amp;COUNTIF($E$5:$E63,$E63))</f>
        <v/>
      </c>
      <c r="K63" s="40" t="str">
        <f aca="false">IF($I63="","",LEN($I63))</f>
        <v/>
      </c>
      <c r="L63" s="13"/>
      <c r="M63" s="13"/>
      <c r="N63" s="13"/>
      <c r="O63" s="13"/>
      <c r="P63" s="152"/>
      <c r="Q63" s="149"/>
      <c r="R63" s="152"/>
      <c r="S63" s="152"/>
      <c r="T63" s="62" t="str">
        <f aca="false">IF(OR($C63="",R63=""),"",IF(R63/IF($R$2="",100,$R$2)&gt;=設定!$I$28,設定!$G$8,IF(R63/IF($R$2="",100,$R$2)&lt;設定!$I$29,設定!$G$10,設定!$G$9)))</f>
        <v/>
      </c>
      <c r="U63" s="62" t="str">
        <f aca="false">IF(OR($C63="",S63=""),"",IF(S63/IF($S$2="",100,$S$2)&gt;=設定!$I$28,設定!$G$8,IF(S63/IF($S$2="",100,$S$2)&lt;設定!$I$29,設定!$G$10,設定!$G$9)))</f>
        <v/>
      </c>
    </row>
    <row r="64" customFormat="false" ht="21" hidden="false" customHeight="true" outlineLevel="0" collapsed="false">
      <c r="A64" s="91" t="str">
        <f aca="false">IF(名簿!$D64="","",名簿!$B64&amp;"")</f>
        <v/>
      </c>
      <c r="B64" s="91" t="str">
        <f aca="false">IF(名簿!$D64="","",名簿!$C64)</f>
        <v/>
      </c>
      <c r="C64" s="59" t="str">
        <f aca="false">IF(名簿!$D64="","",名簿!$D64&amp;IF(名簿!$F64="転出","（転出）",""))</f>
        <v/>
      </c>
      <c r="D64" s="149"/>
      <c r="E64" s="61" t="str">
        <f aca="false">IF(OR($C64="",名簿!$F64="転出"),"",IF($C$2="学級ごと",$A64,IF($C$2="前の単元と同じ",単元16!$E64&amp;"",$D64&amp;"")))</f>
        <v/>
      </c>
      <c r="F64" s="150"/>
      <c r="G64" s="150"/>
      <c r="H64" s="150"/>
      <c r="I64" s="151"/>
      <c r="J64" s="41" t="str">
        <f aca="false">IF($E64="","",$E64&amp;"|"&amp;COUNTIF($E$5:$E64,$E64))</f>
        <v/>
      </c>
      <c r="K64" s="40" t="str">
        <f aca="false">IF($I64="","",LEN($I64))</f>
        <v/>
      </c>
      <c r="L64" s="13"/>
      <c r="M64" s="13"/>
      <c r="N64" s="13"/>
      <c r="O64" s="13"/>
      <c r="P64" s="152"/>
      <c r="Q64" s="149"/>
      <c r="R64" s="152"/>
      <c r="S64" s="152"/>
      <c r="T64" s="62" t="str">
        <f aca="false">IF(OR($C64="",R64=""),"",IF(R64/IF($R$2="",100,$R$2)&gt;=設定!$I$28,設定!$G$8,IF(R64/IF($R$2="",100,$R$2)&lt;設定!$I$29,設定!$G$10,設定!$G$9)))</f>
        <v/>
      </c>
      <c r="U64" s="62" t="str">
        <f aca="false">IF(OR($C64="",S64=""),"",IF(S64/IF($S$2="",100,$S$2)&gt;=設定!$I$28,設定!$G$8,IF(S64/IF($S$2="",100,$S$2)&lt;設定!$I$29,設定!$G$10,設定!$G$9)))</f>
        <v/>
      </c>
    </row>
    <row r="65" customFormat="false" ht="21" hidden="false" customHeight="true" outlineLevel="0" collapsed="false">
      <c r="A65" s="91" t="str">
        <f aca="false">IF(名簿!$D65="","",名簿!$B65&amp;"")</f>
        <v/>
      </c>
      <c r="B65" s="91" t="str">
        <f aca="false">IF(名簿!$D65="","",名簿!$C65)</f>
        <v/>
      </c>
      <c r="C65" s="59" t="str">
        <f aca="false">IF(名簿!$D65="","",名簿!$D65&amp;IF(名簿!$F65="転出","（転出）",""))</f>
        <v/>
      </c>
      <c r="D65" s="149"/>
      <c r="E65" s="61" t="str">
        <f aca="false">IF(OR($C65="",名簿!$F65="転出"),"",IF($C$2="学級ごと",$A65,IF($C$2="前の単元と同じ",単元16!$E65&amp;"",$D65&amp;"")))</f>
        <v/>
      </c>
      <c r="F65" s="150"/>
      <c r="G65" s="150"/>
      <c r="H65" s="150"/>
      <c r="I65" s="151"/>
      <c r="J65" s="41" t="str">
        <f aca="false">IF($E65="","",$E65&amp;"|"&amp;COUNTIF($E$5:$E65,$E65))</f>
        <v/>
      </c>
      <c r="K65" s="40" t="str">
        <f aca="false">IF($I65="","",LEN($I65))</f>
        <v/>
      </c>
      <c r="L65" s="13"/>
      <c r="M65" s="13"/>
      <c r="N65" s="13"/>
      <c r="O65" s="13"/>
      <c r="P65" s="152"/>
      <c r="Q65" s="149"/>
      <c r="R65" s="152"/>
      <c r="S65" s="152"/>
      <c r="T65" s="62" t="str">
        <f aca="false">IF(OR($C65="",R65=""),"",IF(R65/IF($R$2="",100,$R$2)&gt;=設定!$I$28,設定!$G$8,IF(R65/IF($R$2="",100,$R$2)&lt;設定!$I$29,設定!$G$10,設定!$G$9)))</f>
        <v/>
      </c>
      <c r="U65" s="62" t="str">
        <f aca="false">IF(OR($C65="",S65=""),"",IF(S65/IF($S$2="",100,$S$2)&gt;=設定!$I$28,設定!$G$8,IF(S65/IF($S$2="",100,$S$2)&lt;設定!$I$29,設定!$G$10,設定!$G$9)))</f>
        <v/>
      </c>
    </row>
    <row r="66" customFormat="false" ht="21" hidden="false" customHeight="true" outlineLevel="0" collapsed="false">
      <c r="A66" s="91" t="str">
        <f aca="false">IF(名簿!$D66="","",名簿!$B66&amp;"")</f>
        <v/>
      </c>
      <c r="B66" s="91" t="str">
        <f aca="false">IF(名簿!$D66="","",名簿!$C66)</f>
        <v/>
      </c>
      <c r="C66" s="59" t="str">
        <f aca="false">IF(名簿!$D66="","",名簿!$D66&amp;IF(名簿!$F66="転出","（転出）",""))</f>
        <v/>
      </c>
      <c r="D66" s="149"/>
      <c r="E66" s="61" t="str">
        <f aca="false">IF(OR($C66="",名簿!$F66="転出"),"",IF($C$2="学級ごと",$A66,IF($C$2="前の単元と同じ",単元16!$E66&amp;"",$D66&amp;"")))</f>
        <v/>
      </c>
      <c r="F66" s="150"/>
      <c r="G66" s="150"/>
      <c r="H66" s="150"/>
      <c r="I66" s="151"/>
      <c r="J66" s="41" t="str">
        <f aca="false">IF($E66="","",$E66&amp;"|"&amp;COUNTIF($E$5:$E66,$E66))</f>
        <v/>
      </c>
      <c r="K66" s="40" t="str">
        <f aca="false">IF($I66="","",LEN($I66))</f>
        <v/>
      </c>
      <c r="L66" s="13"/>
      <c r="M66" s="13"/>
      <c r="N66" s="13"/>
      <c r="O66" s="13"/>
      <c r="P66" s="152"/>
      <c r="Q66" s="149"/>
      <c r="R66" s="152"/>
      <c r="S66" s="152"/>
      <c r="T66" s="62" t="str">
        <f aca="false">IF(OR($C66="",R66=""),"",IF(R66/IF($R$2="",100,$R$2)&gt;=設定!$I$28,設定!$G$8,IF(R66/IF($R$2="",100,$R$2)&lt;設定!$I$29,設定!$G$10,設定!$G$9)))</f>
        <v/>
      </c>
      <c r="U66" s="62" t="str">
        <f aca="false">IF(OR($C66="",S66=""),"",IF(S66/IF($S$2="",100,$S$2)&gt;=設定!$I$28,設定!$G$8,IF(S66/IF($S$2="",100,$S$2)&lt;設定!$I$29,設定!$G$10,設定!$G$9)))</f>
        <v/>
      </c>
    </row>
    <row r="67" customFormat="false" ht="21" hidden="false" customHeight="true" outlineLevel="0" collapsed="false">
      <c r="A67" s="91" t="str">
        <f aca="false">IF(名簿!$D67="","",名簿!$B67&amp;"")</f>
        <v/>
      </c>
      <c r="B67" s="91" t="str">
        <f aca="false">IF(名簿!$D67="","",名簿!$C67)</f>
        <v/>
      </c>
      <c r="C67" s="59" t="str">
        <f aca="false">IF(名簿!$D67="","",名簿!$D67&amp;IF(名簿!$F67="転出","（転出）",""))</f>
        <v/>
      </c>
      <c r="D67" s="149"/>
      <c r="E67" s="61" t="str">
        <f aca="false">IF(OR($C67="",名簿!$F67="転出"),"",IF($C$2="学級ごと",$A67,IF($C$2="前の単元と同じ",単元16!$E67&amp;"",$D67&amp;"")))</f>
        <v/>
      </c>
      <c r="F67" s="150"/>
      <c r="G67" s="150"/>
      <c r="H67" s="150"/>
      <c r="I67" s="151"/>
      <c r="J67" s="41" t="str">
        <f aca="false">IF($E67="","",$E67&amp;"|"&amp;COUNTIF($E$5:$E67,$E67))</f>
        <v/>
      </c>
      <c r="K67" s="40" t="str">
        <f aca="false">IF($I67="","",LEN($I67))</f>
        <v/>
      </c>
      <c r="L67" s="13"/>
      <c r="M67" s="13"/>
      <c r="N67" s="13"/>
      <c r="O67" s="13"/>
      <c r="P67" s="152"/>
      <c r="Q67" s="149"/>
      <c r="R67" s="152"/>
      <c r="S67" s="152"/>
      <c r="T67" s="62" t="str">
        <f aca="false">IF(OR($C67="",R67=""),"",IF(R67/IF($R$2="",100,$R$2)&gt;=設定!$I$28,設定!$G$8,IF(R67/IF($R$2="",100,$R$2)&lt;設定!$I$29,設定!$G$10,設定!$G$9)))</f>
        <v/>
      </c>
      <c r="U67" s="62" t="str">
        <f aca="false">IF(OR($C67="",S67=""),"",IF(S67/IF($S$2="",100,$S$2)&gt;=設定!$I$28,設定!$G$8,IF(S67/IF($S$2="",100,$S$2)&lt;設定!$I$29,設定!$G$10,設定!$G$9)))</f>
        <v/>
      </c>
    </row>
    <row r="68" customFormat="false" ht="21" hidden="false" customHeight="true" outlineLevel="0" collapsed="false">
      <c r="A68" s="91" t="str">
        <f aca="false">IF(名簿!$D68="","",名簿!$B68&amp;"")</f>
        <v/>
      </c>
      <c r="B68" s="91" t="str">
        <f aca="false">IF(名簿!$D68="","",名簿!$C68)</f>
        <v/>
      </c>
      <c r="C68" s="59" t="str">
        <f aca="false">IF(名簿!$D68="","",名簿!$D68&amp;IF(名簿!$F68="転出","（転出）",""))</f>
        <v/>
      </c>
      <c r="D68" s="149"/>
      <c r="E68" s="61" t="str">
        <f aca="false">IF(OR($C68="",名簿!$F68="転出"),"",IF($C$2="学級ごと",$A68,IF($C$2="前の単元と同じ",単元16!$E68&amp;"",$D68&amp;"")))</f>
        <v/>
      </c>
      <c r="F68" s="150"/>
      <c r="G68" s="150"/>
      <c r="H68" s="150"/>
      <c r="I68" s="151"/>
      <c r="J68" s="41" t="str">
        <f aca="false">IF($E68="","",$E68&amp;"|"&amp;COUNTIF($E$5:$E68,$E68))</f>
        <v/>
      </c>
      <c r="K68" s="40" t="str">
        <f aca="false">IF($I68="","",LEN($I68))</f>
        <v/>
      </c>
      <c r="L68" s="13"/>
      <c r="M68" s="13"/>
      <c r="N68" s="13"/>
      <c r="O68" s="13"/>
      <c r="P68" s="152"/>
      <c r="Q68" s="149"/>
      <c r="R68" s="152"/>
      <c r="S68" s="152"/>
      <c r="T68" s="62" t="str">
        <f aca="false">IF(OR($C68="",R68=""),"",IF(R68/IF($R$2="",100,$R$2)&gt;=設定!$I$28,設定!$G$8,IF(R68/IF($R$2="",100,$R$2)&lt;設定!$I$29,設定!$G$10,設定!$G$9)))</f>
        <v/>
      </c>
      <c r="U68" s="62" t="str">
        <f aca="false">IF(OR($C68="",S68=""),"",IF(S68/IF($S$2="",100,$S$2)&gt;=設定!$I$28,設定!$G$8,IF(S68/IF($S$2="",100,$S$2)&lt;設定!$I$29,設定!$G$10,設定!$G$9)))</f>
        <v/>
      </c>
    </row>
    <row r="69" customFormat="false" ht="21" hidden="false" customHeight="true" outlineLevel="0" collapsed="false">
      <c r="A69" s="91" t="str">
        <f aca="false">IF(名簿!$D69="","",名簿!$B69&amp;"")</f>
        <v/>
      </c>
      <c r="B69" s="91" t="str">
        <f aca="false">IF(名簿!$D69="","",名簿!$C69)</f>
        <v/>
      </c>
      <c r="C69" s="59" t="str">
        <f aca="false">IF(名簿!$D69="","",名簿!$D69&amp;IF(名簿!$F69="転出","（転出）",""))</f>
        <v/>
      </c>
      <c r="D69" s="149"/>
      <c r="E69" s="61" t="str">
        <f aca="false">IF(OR($C69="",名簿!$F69="転出"),"",IF($C$2="学級ごと",$A69,IF($C$2="前の単元と同じ",単元16!$E69&amp;"",$D69&amp;"")))</f>
        <v/>
      </c>
      <c r="F69" s="150"/>
      <c r="G69" s="150"/>
      <c r="H69" s="150"/>
      <c r="I69" s="151"/>
      <c r="J69" s="41" t="str">
        <f aca="false">IF($E69="","",$E69&amp;"|"&amp;COUNTIF($E$5:$E69,$E69))</f>
        <v/>
      </c>
      <c r="K69" s="40" t="str">
        <f aca="false">IF($I69="","",LEN($I69))</f>
        <v/>
      </c>
      <c r="L69" s="13"/>
      <c r="M69" s="13"/>
      <c r="N69" s="13"/>
      <c r="O69" s="13"/>
      <c r="P69" s="152"/>
      <c r="Q69" s="149"/>
      <c r="R69" s="152"/>
      <c r="S69" s="152"/>
      <c r="T69" s="62" t="str">
        <f aca="false">IF(OR($C69="",R69=""),"",IF(R69/IF($R$2="",100,$R$2)&gt;=設定!$I$28,設定!$G$8,IF(R69/IF($R$2="",100,$R$2)&lt;設定!$I$29,設定!$G$10,設定!$G$9)))</f>
        <v/>
      </c>
      <c r="U69" s="62" t="str">
        <f aca="false">IF(OR($C69="",S69=""),"",IF(S69/IF($S$2="",100,$S$2)&gt;=設定!$I$28,設定!$G$8,IF(S69/IF($S$2="",100,$S$2)&lt;設定!$I$29,設定!$G$10,設定!$G$9)))</f>
        <v/>
      </c>
    </row>
    <row r="70" customFormat="false" ht="21" hidden="false" customHeight="true" outlineLevel="0" collapsed="false">
      <c r="A70" s="91" t="str">
        <f aca="false">IF(名簿!$D70="","",名簿!$B70&amp;"")</f>
        <v/>
      </c>
      <c r="B70" s="91" t="str">
        <f aca="false">IF(名簿!$D70="","",名簿!$C70)</f>
        <v/>
      </c>
      <c r="C70" s="59" t="str">
        <f aca="false">IF(名簿!$D70="","",名簿!$D70&amp;IF(名簿!$F70="転出","（転出）",""))</f>
        <v/>
      </c>
      <c r="D70" s="149"/>
      <c r="E70" s="61" t="str">
        <f aca="false">IF(OR($C70="",名簿!$F70="転出"),"",IF($C$2="学級ごと",$A70,IF($C$2="前の単元と同じ",単元16!$E70&amp;"",$D70&amp;"")))</f>
        <v/>
      </c>
      <c r="F70" s="150"/>
      <c r="G70" s="150"/>
      <c r="H70" s="150"/>
      <c r="I70" s="151"/>
      <c r="J70" s="41" t="str">
        <f aca="false">IF($E70="","",$E70&amp;"|"&amp;COUNTIF($E$5:$E70,$E70))</f>
        <v/>
      </c>
      <c r="K70" s="40" t="str">
        <f aca="false">IF($I70="","",LEN($I70))</f>
        <v/>
      </c>
      <c r="L70" s="13"/>
      <c r="M70" s="13"/>
      <c r="N70" s="13"/>
      <c r="O70" s="13"/>
      <c r="P70" s="152"/>
      <c r="Q70" s="149"/>
      <c r="R70" s="152"/>
      <c r="S70" s="152"/>
      <c r="T70" s="62" t="str">
        <f aca="false">IF(OR($C70="",R70=""),"",IF(R70/IF($R$2="",100,$R$2)&gt;=設定!$I$28,設定!$G$8,IF(R70/IF($R$2="",100,$R$2)&lt;設定!$I$29,設定!$G$10,設定!$G$9)))</f>
        <v/>
      </c>
      <c r="U70" s="62" t="str">
        <f aca="false">IF(OR($C70="",S70=""),"",IF(S70/IF($S$2="",100,$S$2)&gt;=設定!$I$28,設定!$G$8,IF(S70/IF($S$2="",100,$S$2)&lt;設定!$I$29,設定!$G$10,設定!$G$9)))</f>
        <v/>
      </c>
    </row>
    <row r="71" customFormat="false" ht="21" hidden="false" customHeight="true" outlineLevel="0" collapsed="false">
      <c r="A71" s="91" t="str">
        <f aca="false">IF(名簿!$D71="","",名簿!$B71&amp;"")</f>
        <v/>
      </c>
      <c r="B71" s="91" t="str">
        <f aca="false">IF(名簿!$D71="","",名簿!$C71)</f>
        <v/>
      </c>
      <c r="C71" s="59" t="str">
        <f aca="false">IF(名簿!$D71="","",名簿!$D71&amp;IF(名簿!$F71="転出","（転出）",""))</f>
        <v/>
      </c>
      <c r="D71" s="149"/>
      <c r="E71" s="61" t="str">
        <f aca="false">IF(OR($C71="",名簿!$F71="転出"),"",IF($C$2="学級ごと",$A71,IF($C$2="前の単元と同じ",単元16!$E71&amp;"",$D71&amp;"")))</f>
        <v/>
      </c>
      <c r="F71" s="150"/>
      <c r="G71" s="150"/>
      <c r="H71" s="150"/>
      <c r="I71" s="151"/>
      <c r="J71" s="41" t="str">
        <f aca="false">IF($E71="","",$E71&amp;"|"&amp;COUNTIF($E$5:$E71,$E71))</f>
        <v/>
      </c>
      <c r="K71" s="40" t="str">
        <f aca="false">IF($I71="","",LEN($I71))</f>
        <v/>
      </c>
      <c r="L71" s="13"/>
      <c r="M71" s="13"/>
      <c r="N71" s="13"/>
      <c r="O71" s="13"/>
      <c r="P71" s="152"/>
      <c r="Q71" s="149"/>
      <c r="R71" s="152"/>
      <c r="S71" s="152"/>
      <c r="T71" s="62" t="str">
        <f aca="false">IF(OR($C71="",R71=""),"",IF(R71/IF($R$2="",100,$R$2)&gt;=設定!$I$28,設定!$G$8,IF(R71/IF($R$2="",100,$R$2)&lt;設定!$I$29,設定!$G$10,設定!$G$9)))</f>
        <v/>
      </c>
      <c r="U71" s="62" t="str">
        <f aca="false">IF(OR($C71="",S71=""),"",IF(S71/IF($S$2="",100,$S$2)&gt;=設定!$I$28,設定!$G$8,IF(S71/IF($S$2="",100,$S$2)&lt;設定!$I$29,設定!$G$10,設定!$G$9)))</f>
        <v/>
      </c>
    </row>
    <row r="72" customFormat="false" ht="21" hidden="false" customHeight="true" outlineLevel="0" collapsed="false">
      <c r="A72" s="91" t="str">
        <f aca="false">IF(名簿!$D72="","",名簿!$B72&amp;"")</f>
        <v/>
      </c>
      <c r="B72" s="91" t="str">
        <f aca="false">IF(名簿!$D72="","",名簿!$C72)</f>
        <v/>
      </c>
      <c r="C72" s="59" t="str">
        <f aca="false">IF(名簿!$D72="","",名簿!$D72&amp;IF(名簿!$F72="転出","（転出）",""))</f>
        <v/>
      </c>
      <c r="D72" s="149"/>
      <c r="E72" s="61" t="str">
        <f aca="false">IF(OR($C72="",名簿!$F72="転出"),"",IF($C$2="学級ごと",$A72,IF($C$2="前の単元と同じ",単元16!$E72&amp;"",$D72&amp;"")))</f>
        <v/>
      </c>
      <c r="F72" s="150"/>
      <c r="G72" s="150"/>
      <c r="H72" s="150"/>
      <c r="I72" s="151"/>
      <c r="J72" s="41" t="str">
        <f aca="false">IF($E72="","",$E72&amp;"|"&amp;COUNTIF($E$5:$E72,$E72))</f>
        <v/>
      </c>
      <c r="K72" s="40" t="str">
        <f aca="false">IF($I72="","",LEN($I72))</f>
        <v/>
      </c>
      <c r="L72" s="13"/>
      <c r="M72" s="13"/>
      <c r="N72" s="13"/>
      <c r="O72" s="13"/>
      <c r="P72" s="152"/>
      <c r="Q72" s="149"/>
      <c r="R72" s="152"/>
      <c r="S72" s="152"/>
      <c r="T72" s="62" t="str">
        <f aca="false">IF(OR($C72="",R72=""),"",IF(R72/IF($R$2="",100,$R$2)&gt;=設定!$I$28,設定!$G$8,IF(R72/IF($R$2="",100,$R$2)&lt;設定!$I$29,設定!$G$10,設定!$G$9)))</f>
        <v/>
      </c>
      <c r="U72" s="62" t="str">
        <f aca="false">IF(OR($C72="",S72=""),"",IF(S72/IF($S$2="",100,$S$2)&gt;=設定!$I$28,設定!$G$8,IF(S72/IF($S$2="",100,$S$2)&lt;設定!$I$29,設定!$G$10,設定!$G$9)))</f>
        <v/>
      </c>
    </row>
    <row r="73" customFormat="false" ht="21" hidden="false" customHeight="true" outlineLevel="0" collapsed="false">
      <c r="A73" s="91" t="str">
        <f aca="false">IF(名簿!$D73="","",名簿!$B73&amp;"")</f>
        <v/>
      </c>
      <c r="B73" s="91" t="str">
        <f aca="false">IF(名簿!$D73="","",名簿!$C73)</f>
        <v/>
      </c>
      <c r="C73" s="59" t="str">
        <f aca="false">IF(名簿!$D73="","",名簿!$D73&amp;IF(名簿!$F73="転出","（転出）",""))</f>
        <v/>
      </c>
      <c r="D73" s="149"/>
      <c r="E73" s="61" t="str">
        <f aca="false">IF(OR($C73="",名簿!$F73="転出"),"",IF($C$2="学級ごと",$A73,IF($C$2="前の単元と同じ",単元16!$E73&amp;"",$D73&amp;"")))</f>
        <v/>
      </c>
      <c r="F73" s="150"/>
      <c r="G73" s="150"/>
      <c r="H73" s="150"/>
      <c r="I73" s="151"/>
      <c r="J73" s="41" t="str">
        <f aca="false">IF($E73="","",$E73&amp;"|"&amp;COUNTIF($E$5:$E73,$E73))</f>
        <v/>
      </c>
      <c r="K73" s="40" t="str">
        <f aca="false">IF($I73="","",LEN($I73))</f>
        <v/>
      </c>
      <c r="L73" s="13"/>
      <c r="M73" s="13"/>
      <c r="N73" s="13"/>
      <c r="O73" s="13"/>
      <c r="P73" s="152"/>
      <c r="Q73" s="149"/>
      <c r="R73" s="152"/>
      <c r="S73" s="152"/>
      <c r="T73" s="62" t="str">
        <f aca="false">IF(OR($C73="",R73=""),"",IF(R73/IF($R$2="",100,$R$2)&gt;=設定!$I$28,設定!$G$8,IF(R73/IF($R$2="",100,$R$2)&lt;設定!$I$29,設定!$G$10,設定!$G$9)))</f>
        <v/>
      </c>
      <c r="U73" s="62" t="str">
        <f aca="false">IF(OR($C73="",S73=""),"",IF(S73/IF($S$2="",100,$S$2)&gt;=設定!$I$28,設定!$G$8,IF(S73/IF($S$2="",100,$S$2)&lt;設定!$I$29,設定!$G$10,設定!$G$9)))</f>
        <v/>
      </c>
    </row>
    <row r="74" customFormat="false" ht="21" hidden="false" customHeight="true" outlineLevel="0" collapsed="false">
      <c r="A74" s="91" t="str">
        <f aca="false">IF(名簿!$D74="","",名簿!$B74&amp;"")</f>
        <v/>
      </c>
      <c r="B74" s="91" t="str">
        <f aca="false">IF(名簿!$D74="","",名簿!$C74)</f>
        <v/>
      </c>
      <c r="C74" s="59" t="str">
        <f aca="false">IF(名簿!$D74="","",名簿!$D74&amp;IF(名簿!$F74="転出","（転出）",""))</f>
        <v/>
      </c>
      <c r="D74" s="149"/>
      <c r="E74" s="61" t="str">
        <f aca="false">IF(OR($C74="",名簿!$F74="転出"),"",IF($C$2="学級ごと",$A74,IF($C$2="前の単元と同じ",単元16!$E74&amp;"",$D74&amp;"")))</f>
        <v/>
      </c>
      <c r="F74" s="150"/>
      <c r="G74" s="150"/>
      <c r="H74" s="150"/>
      <c r="I74" s="151"/>
      <c r="J74" s="41" t="str">
        <f aca="false">IF($E74="","",$E74&amp;"|"&amp;COUNTIF($E$5:$E74,$E74))</f>
        <v/>
      </c>
      <c r="K74" s="40" t="str">
        <f aca="false">IF($I74="","",LEN($I74))</f>
        <v/>
      </c>
      <c r="L74" s="13"/>
      <c r="M74" s="13"/>
      <c r="N74" s="13"/>
      <c r="O74" s="13"/>
      <c r="P74" s="152"/>
      <c r="Q74" s="149"/>
      <c r="R74" s="152"/>
      <c r="S74" s="152"/>
      <c r="T74" s="62" t="str">
        <f aca="false">IF(OR($C74="",R74=""),"",IF(R74/IF($R$2="",100,$R$2)&gt;=設定!$I$28,設定!$G$8,IF(R74/IF($R$2="",100,$R$2)&lt;設定!$I$29,設定!$G$10,設定!$G$9)))</f>
        <v/>
      </c>
      <c r="U74" s="62" t="str">
        <f aca="false">IF(OR($C74="",S74=""),"",IF(S74/IF($S$2="",100,$S$2)&gt;=設定!$I$28,設定!$G$8,IF(S74/IF($S$2="",100,$S$2)&lt;設定!$I$29,設定!$G$10,設定!$G$9)))</f>
        <v/>
      </c>
    </row>
    <row r="75" customFormat="false" ht="21" hidden="false" customHeight="true" outlineLevel="0" collapsed="false">
      <c r="A75" s="91" t="str">
        <f aca="false">IF(名簿!$D75="","",名簿!$B75&amp;"")</f>
        <v/>
      </c>
      <c r="B75" s="91" t="str">
        <f aca="false">IF(名簿!$D75="","",名簿!$C75)</f>
        <v/>
      </c>
      <c r="C75" s="59" t="str">
        <f aca="false">IF(名簿!$D75="","",名簿!$D75&amp;IF(名簿!$F75="転出","（転出）",""))</f>
        <v/>
      </c>
      <c r="D75" s="149"/>
      <c r="E75" s="61" t="str">
        <f aca="false">IF(OR($C75="",名簿!$F75="転出"),"",IF($C$2="学級ごと",$A75,IF($C$2="前の単元と同じ",単元16!$E75&amp;"",$D75&amp;"")))</f>
        <v/>
      </c>
      <c r="F75" s="150"/>
      <c r="G75" s="150"/>
      <c r="H75" s="150"/>
      <c r="I75" s="151"/>
      <c r="J75" s="41" t="str">
        <f aca="false">IF($E75="","",$E75&amp;"|"&amp;COUNTIF($E$5:$E75,$E75))</f>
        <v/>
      </c>
      <c r="K75" s="40" t="str">
        <f aca="false">IF($I75="","",LEN($I75))</f>
        <v/>
      </c>
      <c r="L75" s="13"/>
      <c r="M75" s="13"/>
      <c r="N75" s="13"/>
      <c r="O75" s="13"/>
      <c r="P75" s="152"/>
      <c r="Q75" s="149"/>
      <c r="R75" s="152"/>
      <c r="S75" s="152"/>
      <c r="T75" s="62" t="str">
        <f aca="false">IF(OR($C75="",R75=""),"",IF(R75/IF($R$2="",100,$R$2)&gt;=設定!$I$28,設定!$G$8,IF(R75/IF($R$2="",100,$R$2)&lt;設定!$I$29,設定!$G$10,設定!$G$9)))</f>
        <v/>
      </c>
      <c r="U75" s="62" t="str">
        <f aca="false">IF(OR($C75="",S75=""),"",IF(S75/IF($S$2="",100,$S$2)&gt;=設定!$I$28,設定!$G$8,IF(S75/IF($S$2="",100,$S$2)&lt;設定!$I$29,設定!$G$10,設定!$G$9)))</f>
        <v/>
      </c>
    </row>
    <row r="76" customFormat="false" ht="21" hidden="false" customHeight="true" outlineLevel="0" collapsed="false">
      <c r="A76" s="91" t="str">
        <f aca="false">IF(名簿!$D76="","",名簿!$B76&amp;"")</f>
        <v/>
      </c>
      <c r="B76" s="91" t="str">
        <f aca="false">IF(名簿!$D76="","",名簿!$C76)</f>
        <v/>
      </c>
      <c r="C76" s="59" t="str">
        <f aca="false">IF(名簿!$D76="","",名簿!$D76&amp;IF(名簿!$F76="転出","（転出）",""))</f>
        <v/>
      </c>
      <c r="D76" s="149"/>
      <c r="E76" s="61" t="str">
        <f aca="false">IF(OR($C76="",名簿!$F76="転出"),"",IF($C$2="学級ごと",$A76,IF($C$2="前の単元と同じ",単元16!$E76&amp;"",$D76&amp;"")))</f>
        <v/>
      </c>
      <c r="F76" s="150"/>
      <c r="G76" s="150"/>
      <c r="H76" s="150"/>
      <c r="I76" s="151"/>
      <c r="J76" s="41" t="str">
        <f aca="false">IF($E76="","",$E76&amp;"|"&amp;COUNTIF($E$5:$E76,$E76))</f>
        <v/>
      </c>
      <c r="K76" s="40" t="str">
        <f aca="false">IF($I76="","",LEN($I76))</f>
        <v/>
      </c>
      <c r="L76" s="13"/>
      <c r="M76" s="13"/>
      <c r="N76" s="13"/>
      <c r="O76" s="13"/>
      <c r="P76" s="152"/>
      <c r="Q76" s="149"/>
      <c r="R76" s="152"/>
      <c r="S76" s="152"/>
      <c r="T76" s="62" t="str">
        <f aca="false">IF(OR($C76="",R76=""),"",IF(R76/IF($R$2="",100,$R$2)&gt;=設定!$I$28,設定!$G$8,IF(R76/IF($R$2="",100,$R$2)&lt;設定!$I$29,設定!$G$10,設定!$G$9)))</f>
        <v/>
      </c>
      <c r="U76" s="62" t="str">
        <f aca="false">IF(OR($C76="",S76=""),"",IF(S76/IF($S$2="",100,$S$2)&gt;=設定!$I$28,設定!$G$8,IF(S76/IF($S$2="",100,$S$2)&lt;設定!$I$29,設定!$G$10,設定!$G$9)))</f>
        <v/>
      </c>
    </row>
    <row r="77" customFormat="false" ht="21" hidden="false" customHeight="true" outlineLevel="0" collapsed="false">
      <c r="A77" s="91" t="str">
        <f aca="false">IF(名簿!$D77="","",名簿!$B77&amp;"")</f>
        <v/>
      </c>
      <c r="B77" s="91" t="str">
        <f aca="false">IF(名簿!$D77="","",名簿!$C77)</f>
        <v/>
      </c>
      <c r="C77" s="59" t="str">
        <f aca="false">IF(名簿!$D77="","",名簿!$D77&amp;IF(名簿!$F77="転出","（転出）",""))</f>
        <v/>
      </c>
      <c r="D77" s="149"/>
      <c r="E77" s="61" t="str">
        <f aca="false">IF(OR($C77="",名簿!$F77="転出"),"",IF($C$2="学級ごと",$A77,IF($C$2="前の単元と同じ",単元16!$E77&amp;"",$D77&amp;"")))</f>
        <v/>
      </c>
      <c r="F77" s="150"/>
      <c r="G77" s="150"/>
      <c r="H77" s="150"/>
      <c r="I77" s="151"/>
      <c r="J77" s="41" t="str">
        <f aca="false">IF($E77="","",$E77&amp;"|"&amp;COUNTIF($E$5:$E77,$E77))</f>
        <v/>
      </c>
      <c r="K77" s="40" t="str">
        <f aca="false">IF($I77="","",LEN($I77))</f>
        <v/>
      </c>
      <c r="L77" s="13"/>
      <c r="M77" s="13"/>
      <c r="N77" s="13"/>
      <c r="O77" s="13"/>
      <c r="P77" s="152"/>
      <c r="Q77" s="149"/>
      <c r="R77" s="152"/>
      <c r="S77" s="152"/>
      <c r="T77" s="62" t="str">
        <f aca="false">IF(OR($C77="",R77=""),"",IF(R77/IF($R$2="",100,$R$2)&gt;=設定!$I$28,設定!$G$8,IF(R77/IF($R$2="",100,$R$2)&lt;設定!$I$29,設定!$G$10,設定!$G$9)))</f>
        <v/>
      </c>
      <c r="U77" s="62" t="str">
        <f aca="false">IF(OR($C77="",S77=""),"",IF(S77/IF($S$2="",100,$S$2)&gt;=設定!$I$28,設定!$G$8,IF(S77/IF($S$2="",100,$S$2)&lt;設定!$I$29,設定!$G$10,設定!$G$9)))</f>
        <v/>
      </c>
    </row>
    <row r="78" customFormat="false" ht="21" hidden="false" customHeight="true" outlineLevel="0" collapsed="false">
      <c r="A78" s="91" t="str">
        <f aca="false">IF(名簿!$D78="","",名簿!$B78&amp;"")</f>
        <v/>
      </c>
      <c r="B78" s="91" t="str">
        <f aca="false">IF(名簿!$D78="","",名簿!$C78)</f>
        <v/>
      </c>
      <c r="C78" s="59" t="str">
        <f aca="false">IF(名簿!$D78="","",名簿!$D78&amp;IF(名簿!$F78="転出","（転出）",""))</f>
        <v/>
      </c>
      <c r="D78" s="149"/>
      <c r="E78" s="61" t="str">
        <f aca="false">IF(OR($C78="",名簿!$F78="転出"),"",IF($C$2="学級ごと",$A78,IF($C$2="前の単元と同じ",単元16!$E78&amp;"",$D78&amp;"")))</f>
        <v/>
      </c>
      <c r="F78" s="150"/>
      <c r="G78" s="150"/>
      <c r="H78" s="150"/>
      <c r="I78" s="151"/>
      <c r="J78" s="41" t="str">
        <f aca="false">IF($E78="","",$E78&amp;"|"&amp;COUNTIF($E$5:$E78,$E78))</f>
        <v/>
      </c>
      <c r="K78" s="40" t="str">
        <f aca="false">IF($I78="","",LEN($I78))</f>
        <v/>
      </c>
      <c r="L78" s="13"/>
      <c r="M78" s="13"/>
      <c r="N78" s="13"/>
      <c r="O78" s="13"/>
      <c r="P78" s="152"/>
      <c r="Q78" s="149"/>
      <c r="R78" s="152"/>
      <c r="S78" s="152"/>
      <c r="T78" s="62" t="str">
        <f aca="false">IF(OR($C78="",R78=""),"",IF(R78/IF($R$2="",100,$R$2)&gt;=設定!$I$28,設定!$G$8,IF(R78/IF($R$2="",100,$R$2)&lt;設定!$I$29,設定!$G$10,設定!$G$9)))</f>
        <v/>
      </c>
      <c r="U78" s="62" t="str">
        <f aca="false">IF(OR($C78="",S78=""),"",IF(S78/IF($S$2="",100,$S$2)&gt;=設定!$I$28,設定!$G$8,IF(S78/IF($S$2="",100,$S$2)&lt;設定!$I$29,設定!$G$10,設定!$G$9)))</f>
        <v/>
      </c>
    </row>
    <row r="79" customFormat="false" ht="21" hidden="false" customHeight="true" outlineLevel="0" collapsed="false">
      <c r="A79" s="91" t="str">
        <f aca="false">IF(名簿!$D79="","",名簿!$B79&amp;"")</f>
        <v/>
      </c>
      <c r="B79" s="91" t="str">
        <f aca="false">IF(名簿!$D79="","",名簿!$C79)</f>
        <v/>
      </c>
      <c r="C79" s="59" t="str">
        <f aca="false">IF(名簿!$D79="","",名簿!$D79&amp;IF(名簿!$F79="転出","（転出）",""))</f>
        <v/>
      </c>
      <c r="D79" s="149"/>
      <c r="E79" s="61" t="str">
        <f aca="false">IF(OR($C79="",名簿!$F79="転出"),"",IF($C$2="学級ごと",$A79,IF($C$2="前の単元と同じ",単元16!$E79&amp;"",$D79&amp;"")))</f>
        <v/>
      </c>
      <c r="F79" s="150"/>
      <c r="G79" s="150"/>
      <c r="H79" s="150"/>
      <c r="I79" s="151"/>
      <c r="J79" s="41" t="str">
        <f aca="false">IF($E79="","",$E79&amp;"|"&amp;COUNTIF($E$5:$E79,$E79))</f>
        <v/>
      </c>
      <c r="K79" s="40" t="str">
        <f aca="false">IF($I79="","",LEN($I79))</f>
        <v/>
      </c>
      <c r="L79" s="13"/>
      <c r="M79" s="13"/>
      <c r="N79" s="13"/>
      <c r="O79" s="13"/>
      <c r="P79" s="152"/>
      <c r="Q79" s="149"/>
      <c r="R79" s="152"/>
      <c r="S79" s="152"/>
      <c r="T79" s="62" t="str">
        <f aca="false">IF(OR($C79="",R79=""),"",IF(R79/IF($R$2="",100,$R$2)&gt;=設定!$I$28,設定!$G$8,IF(R79/IF($R$2="",100,$R$2)&lt;設定!$I$29,設定!$G$10,設定!$G$9)))</f>
        <v/>
      </c>
      <c r="U79" s="62" t="str">
        <f aca="false">IF(OR($C79="",S79=""),"",IF(S79/IF($S$2="",100,$S$2)&gt;=設定!$I$28,設定!$G$8,IF(S79/IF($S$2="",100,$S$2)&lt;設定!$I$29,設定!$G$10,設定!$G$9)))</f>
        <v/>
      </c>
    </row>
    <row r="80" customFormat="false" ht="21" hidden="false" customHeight="true" outlineLevel="0" collapsed="false">
      <c r="A80" s="91" t="str">
        <f aca="false">IF(名簿!$D80="","",名簿!$B80&amp;"")</f>
        <v/>
      </c>
      <c r="B80" s="91" t="str">
        <f aca="false">IF(名簿!$D80="","",名簿!$C80)</f>
        <v/>
      </c>
      <c r="C80" s="59" t="str">
        <f aca="false">IF(名簿!$D80="","",名簿!$D80&amp;IF(名簿!$F80="転出","（転出）",""))</f>
        <v/>
      </c>
      <c r="D80" s="149"/>
      <c r="E80" s="61" t="str">
        <f aca="false">IF(OR($C80="",名簿!$F80="転出"),"",IF($C$2="学級ごと",$A80,IF($C$2="前の単元と同じ",単元16!$E80&amp;"",$D80&amp;"")))</f>
        <v/>
      </c>
      <c r="F80" s="150"/>
      <c r="G80" s="150"/>
      <c r="H80" s="150"/>
      <c r="I80" s="151"/>
      <c r="J80" s="41" t="str">
        <f aca="false">IF($E80="","",$E80&amp;"|"&amp;COUNTIF($E$5:$E80,$E80))</f>
        <v/>
      </c>
      <c r="K80" s="40" t="str">
        <f aca="false">IF($I80="","",LEN($I80))</f>
        <v/>
      </c>
      <c r="L80" s="13"/>
      <c r="M80" s="13"/>
      <c r="N80" s="13"/>
      <c r="O80" s="13"/>
      <c r="P80" s="152"/>
      <c r="Q80" s="149"/>
      <c r="R80" s="152"/>
      <c r="S80" s="152"/>
      <c r="T80" s="62" t="str">
        <f aca="false">IF(OR($C80="",R80=""),"",IF(R80/IF($R$2="",100,$R$2)&gt;=設定!$I$28,設定!$G$8,IF(R80/IF($R$2="",100,$R$2)&lt;設定!$I$29,設定!$G$10,設定!$G$9)))</f>
        <v/>
      </c>
      <c r="U80" s="62" t="str">
        <f aca="false">IF(OR($C80="",S80=""),"",IF(S80/IF($S$2="",100,$S$2)&gt;=設定!$I$28,設定!$G$8,IF(S80/IF($S$2="",100,$S$2)&lt;設定!$I$29,設定!$G$10,設定!$G$9)))</f>
        <v/>
      </c>
    </row>
    <row r="81" customFormat="false" ht="21" hidden="false" customHeight="true" outlineLevel="0" collapsed="false">
      <c r="A81" s="91" t="str">
        <f aca="false">IF(名簿!$D81="","",名簿!$B81&amp;"")</f>
        <v/>
      </c>
      <c r="B81" s="91" t="str">
        <f aca="false">IF(名簿!$D81="","",名簿!$C81)</f>
        <v/>
      </c>
      <c r="C81" s="59" t="str">
        <f aca="false">IF(名簿!$D81="","",名簿!$D81&amp;IF(名簿!$F81="転出","（転出）",""))</f>
        <v/>
      </c>
      <c r="D81" s="149"/>
      <c r="E81" s="61" t="str">
        <f aca="false">IF(OR($C81="",名簿!$F81="転出"),"",IF($C$2="学級ごと",$A81,IF($C$2="前の単元と同じ",単元16!$E81&amp;"",$D81&amp;"")))</f>
        <v/>
      </c>
      <c r="F81" s="150"/>
      <c r="G81" s="150"/>
      <c r="H81" s="150"/>
      <c r="I81" s="151"/>
      <c r="J81" s="41" t="str">
        <f aca="false">IF($E81="","",$E81&amp;"|"&amp;COUNTIF($E$5:$E81,$E81))</f>
        <v/>
      </c>
      <c r="K81" s="40" t="str">
        <f aca="false">IF($I81="","",LEN($I81))</f>
        <v/>
      </c>
      <c r="L81" s="13"/>
      <c r="M81" s="13"/>
      <c r="N81" s="13"/>
      <c r="O81" s="13"/>
      <c r="P81" s="152"/>
      <c r="Q81" s="149"/>
      <c r="R81" s="152"/>
      <c r="S81" s="152"/>
      <c r="T81" s="62" t="str">
        <f aca="false">IF(OR($C81="",R81=""),"",IF(R81/IF($R$2="",100,$R$2)&gt;=設定!$I$28,設定!$G$8,IF(R81/IF($R$2="",100,$R$2)&lt;設定!$I$29,設定!$G$10,設定!$G$9)))</f>
        <v/>
      </c>
      <c r="U81" s="62" t="str">
        <f aca="false">IF(OR($C81="",S81=""),"",IF(S81/IF($S$2="",100,$S$2)&gt;=設定!$I$28,設定!$G$8,IF(S81/IF($S$2="",100,$S$2)&lt;設定!$I$29,設定!$G$10,設定!$G$9)))</f>
        <v/>
      </c>
    </row>
    <row r="82" customFormat="false" ht="21" hidden="false" customHeight="true" outlineLevel="0" collapsed="false">
      <c r="A82" s="91" t="str">
        <f aca="false">IF(名簿!$D82="","",名簿!$B82&amp;"")</f>
        <v/>
      </c>
      <c r="B82" s="91" t="str">
        <f aca="false">IF(名簿!$D82="","",名簿!$C82)</f>
        <v/>
      </c>
      <c r="C82" s="59" t="str">
        <f aca="false">IF(名簿!$D82="","",名簿!$D82&amp;IF(名簿!$F82="転出","（転出）",""))</f>
        <v/>
      </c>
      <c r="D82" s="149"/>
      <c r="E82" s="61" t="str">
        <f aca="false">IF(OR($C82="",名簿!$F82="転出"),"",IF($C$2="学級ごと",$A82,IF($C$2="前の単元と同じ",単元16!$E82&amp;"",$D82&amp;"")))</f>
        <v/>
      </c>
      <c r="F82" s="150"/>
      <c r="G82" s="150"/>
      <c r="H82" s="150"/>
      <c r="I82" s="151"/>
      <c r="J82" s="41" t="str">
        <f aca="false">IF($E82="","",$E82&amp;"|"&amp;COUNTIF($E$5:$E82,$E82))</f>
        <v/>
      </c>
      <c r="K82" s="40" t="str">
        <f aca="false">IF($I82="","",LEN($I82))</f>
        <v/>
      </c>
      <c r="L82" s="13"/>
      <c r="M82" s="13"/>
      <c r="N82" s="13"/>
      <c r="O82" s="13"/>
      <c r="P82" s="152"/>
      <c r="Q82" s="149"/>
      <c r="R82" s="152"/>
      <c r="S82" s="152"/>
      <c r="T82" s="62" t="str">
        <f aca="false">IF(OR($C82="",R82=""),"",IF(R82/IF($R$2="",100,$R$2)&gt;=設定!$I$28,設定!$G$8,IF(R82/IF($R$2="",100,$R$2)&lt;設定!$I$29,設定!$G$10,設定!$G$9)))</f>
        <v/>
      </c>
      <c r="U82" s="62" t="str">
        <f aca="false">IF(OR($C82="",S82=""),"",IF(S82/IF($S$2="",100,$S$2)&gt;=設定!$I$28,設定!$G$8,IF(S82/IF($S$2="",100,$S$2)&lt;設定!$I$29,設定!$G$10,設定!$G$9)))</f>
        <v/>
      </c>
    </row>
    <row r="83" customFormat="false" ht="21" hidden="false" customHeight="true" outlineLevel="0" collapsed="false">
      <c r="A83" s="91" t="str">
        <f aca="false">IF(名簿!$D83="","",名簿!$B83&amp;"")</f>
        <v/>
      </c>
      <c r="B83" s="91" t="str">
        <f aca="false">IF(名簿!$D83="","",名簿!$C83)</f>
        <v/>
      </c>
      <c r="C83" s="59" t="str">
        <f aca="false">IF(名簿!$D83="","",名簿!$D83&amp;IF(名簿!$F83="転出","（転出）",""))</f>
        <v/>
      </c>
      <c r="D83" s="149"/>
      <c r="E83" s="61" t="str">
        <f aca="false">IF(OR($C83="",名簿!$F83="転出"),"",IF($C$2="学級ごと",$A83,IF($C$2="前の単元と同じ",単元16!$E83&amp;"",$D83&amp;"")))</f>
        <v/>
      </c>
      <c r="F83" s="150"/>
      <c r="G83" s="150"/>
      <c r="H83" s="150"/>
      <c r="I83" s="151"/>
      <c r="J83" s="41" t="str">
        <f aca="false">IF($E83="","",$E83&amp;"|"&amp;COUNTIF($E$5:$E83,$E83))</f>
        <v/>
      </c>
      <c r="K83" s="40" t="str">
        <f aca="false">IF($I83="","",LEN($I83))</f>
        <v/>
      </c>
      <c r="L83" s="13"/>
      <c r="M83" s="13"/>
      <c r="N83" s="13"/>
      <c r="O83" s="13"/>
      <c r="P83" s="152"/>
      <c r="Q83" s="149"/>
      <c r="R83" s="152"/>
      <c r="S83" s="152"/>
      <c r="T83" s="62" t="str">
        <f aca="false">IF(OR($C83="",R83=""),"",IF(R83/IF($R$2="",100,$R$2)&gt;=設定!$I$28,設定!$G$8,IF(R83/IF($R$2="",100,$R$2)&lt;設定!$I$29,設定!$G$10,設定!$G$9)))</f>
        <v/>
      </c>
      <c r="U83" s="62" t="str">
        <f aca="false">IF(OR($C83="",S83=""),"",IF(S83/IF($S$2="",100,$S$2)&gt;=設定!$I$28,設定!$G$8,IF(S83/IF($S$2="",100,$S$2)&lt;設定!$I$29,設定!$G$10,設定!$G$9)))</f>
        <v/>
      </c>
    </row>
    <row r="84" customFormat="false" ht="21" hidden="false" customHeight="true" outlineLevel="0" collapsed="false">
      <c r="A84" s="91" t="str">
        <f aca="false">IF(名簿!$D84="","",名簿!$B84&amp;"")</f>
        <v/>
      </c>
      <c r="B84" s="91" t="str">
        <f aca="false">IF(名簿!$D84="","",名簿!$C84)</f>
        <v/>
      </c>
      <c r="C84" s="59" t="str">
        <f aca="false">IF(名簿!$D84="","",名簿!$D84&amp;IF(名簿!$F84="転出","（転出）",""))</f>
        <v/>
      </c>
      <c r="D84" s="149"/>
      <c r="E84" s="61" t="str">
        <f aca="false">IF(OR($C84="",名簿!$F84="転出"),"",IF($C$2="学級ごと",$A84,IF($C$2="前の単元と同じ",単元16!$E84&amp;"",$D84&amp;"")))</f>
        <v/>
      </c>
      <c r="F84" s="150"/>
      <c r="G84" s="150"/>
      <c r="H84" s="150"/>
      <c r="I84" s="151"/>
      <c r="J84" s="41" t="str">
        <f aca="false">IF($E84="","",$E84&amp;"|"&amp;COUNTIF($E$5:$E84,$E84))</f>
        <v/>
      </c>
      <c r="K84" s="40" t="str">
        <f aca="false">IF($I84="","",LEN($I84))</f>
        <v/>
      </c>
      <c r="L84" s="13"/>
      <c r="M84" s="13"/>
      <c r="N84" s="13"/>
      <c r="O84" s="13"/>
      <c r="P84" s="152"/>
      <c r="Q84" s="149"/>
      <c r="R84" s="152"/>
      <c r="S84" s="152"/>
      <c r="T84" s="62" t="str">
        <f aca="false">IF(OR($C84="",R84=""),"",IF(R84/IF($R$2="",100,$R$2)&gt;=設定!$I$28,設定!$G$8,IF(R84/IF($R$2="",100,$R$2)&lt;設定!$I$29,設定!$G$10,設定!$G$9)))</f>
        <v/>
      </c>
      <c r="U84" s="62" t="str">
        <f aca="false">IF(OR($C84="",S84=""),"",IF(S84/IF($S$2="",100,$S$2)&gt;=設定!$I$28,設定!$G$8,IF(S84/IF($S$2="",100,$S$2)&lt;設定!$I$29,設定!$G$10,設定!$G$9)))</f>
        <v/>
      </c>
    </row>
    <row r="85" customFormat="false" ht="21" hidden="false" customHeight="true" outlineLevel="0" collapsed="false">
      <c r="A85" s="91" t="str">
        <f aca="false">IF(名簿!$D85="","",名簿!$B85&amp;"")</f>
        <v/>
      </c>
      <c r="B85" s="91" t="str">
        <f aca="false">IF(名簿!$D85="","",名簿!$C85)</f>
        <v/>
      </c>
      <c r="C85" s="59" t="str">
        <f aca="false">IF(名簿!$D85="","",名簿!$D85&amp;IF(名簿!$F85="転出","（転出）",""))</f>
        <v/>
      </c>
      <c r="D85" s="149"/>
      <c r="E85" s="61" t="str">
        <f aca="false">IF(OR($C85="",名簿!$F85="転出"),"",IF($C$2="学級ごと",$A85,IF($C$2="前の単元と同じ",単元16!$E85&amp;"",$D85&amp;"")))</f>
        <v/>
      </c>
      <c r="F85" s="150"/>
      <c r="G85" s="150"/>
      <c r="H85" s="150"/>
      <c r="I85" s="151"/>
      <c r="J85" s="41" t="str">
        <f aca="false">IF($E85="","",$E85&amp;"|"&amp;COUNTIF($E$5:$E85,$E85))</f>
        <v/>
      </c>
      <c r="K85" s="40" t="str">
        <f aca="false">IF($I85="","",LEN($I85))</f>
        <v/>
      </c>
      <c r="L85" s="13"/>
      <c r="M85" s="13"/>
      <c r="N85" s="13"/>
      <c r="O85" s="13"/>
      <c r="P85" s="152"/>
      <c r="Q85" s="149"/>
      <c r="R85" s="152"/>
      <c r="S85" s="152"/>
      <c r="T85" s="62" t="str">
        <f aca="false">IF(OR($C85="",R85=""),"",IF(R85/IF($R$2="",100,$R$2)&gt;=設定!$I$28,設定!$G$8,IF(R85/IF($R$2="",100,$R$2)&lt;設定!$I$29,設定!$G$10,設定!$G$9)))</f>
        <v/>
      </c>
      <c r="U85" s="62" t="str">
        <f aca="false">IF(OR($C85="",S85=""),"",IF(S85/IF($S$2="",100,$S$2)&gt;=設定!$I$28,設定!$G$8,IF(S85/IF($S$2="",100,$S$2)&lt;設定!$I$29,設定!$G$10,設定!$G$9)))</f>
        <v/>
      </c>
    </row>
    <row r="86" customFormat="false" ht="21" hidden="false" customHeight="true" outlineLevel="0" collapsed="false">
      <c r="A86" s="91" t="str">
        <f aca="false">IF(名簿!$D86="","",名簿!$B86&amp;"")</f>
        <v/>
      </c>
      <c r="B86" s="91" t="str">
        <f aca="false">IF(名簿!$D86="","",名簿!$C86)</f>
        <v/>
      </c>
      <c r="C86" s="59" t="str">
        <f aca="false">IF(名簿!$D86="","",名簿!$D86&amp;IF(名簿!$F86="転出","（転出）",""))</f>
        <v/>
      </c>
      <c r="D86" s="149"/>
      <c r="E86" s="61" t="str">
        <f aca="false">IF(OR($C86="",名簿!$F86="転出"),"",IF($C$2="学級ごと",$A86,IF($C$2="前の単元と同じ",単元16!$E86&amp;"",$D86&amp;"")))</f>
        <v/>
      </c>
      <c r="F86" s="150"/>
      <c r="G86" s="150"/>
      <c r="H86" s="150"/>
      <c r="I86" s="151"/>
      <c r="J86" s="41" t="str">
        <f aca="false">IF($E86="","",$E86&amp;"|"&amp;COUNTIF($E$5:$E86,$E86))</f>
        <v/>
      </c>
      <c r="K86" s="40" t="str">
        <f aca="false">IF($I86="","",LEN($I86))</f>
        <v/>
      </c>
      <c r="L86" s="13"/>
      <c r="M86" s="13"/>
      <c r="N86" s="13"/>
      <c r="O86" s="13"/>
      <c r="P86" s="152"/>
      <c r="Q86" s="149"/>
      <c r="R86" s="152"/>
      <c r="S86" s="152"/>
      <c r="T86" s="62" t="str">
        <f aca="false">IF(OR($C86="",R86=""),"",IF(R86/IF($R$2="",100,$R$2)&gt;=設定!$I$28,設定!$G$8,IF(R86/IF($R$2="",100,$R$2)&lt;設定!$I$29,設定!$G$10,設定!$G$9)))</f>
        <v/>
      </c>
      <c r="U86" s="62" t="str">
        <f aca="false">IF(OR($C86="",S86=""),"",IF(S86/IF($S$2="",100,$S$2)&gt;=設定!$I$28,設定!$G$8,IF(S86/IF($S$2="",100,$S$2)&lt;設定!$I$29,設定!$G$10,設定!$G$9)))</f>
        <v/>
      </c>
    </row>
    <row r="87" customFormat="false" ht="21" hidden="false" customHeight="true" outlineLevel="0" collapsed="false">
      <c r="A87" s="91" t="str">
        <f aca="false">IF(名簿!$D87="","",名簿!$B87&amp;"")</f>
        <v/>
      </c>
      <c r="B87" s="91" t="str">
        <f aca="false">IF(名簿!$D87="","",名簿!$C87)</f>
        <v/>
      </c>
      <c r="C87" s="59" t="str">
        <f aca="false">IF(名簿!$D87="","",名簿!$D87&amp;IF(名簿!$F87="転出","（転出）",""))</f>
        <v/>
      </c>
      <c r="D87" s="149"/>
      <c r="E87" s="61" t="str">
        <f aca="false">IF(OR($C87="",名簿!$F87="転出"),"",IF($C$2="学級ごと",$A87,IF($C$2="前の単元と同じ",単元16!$E87&amp;"",$D87&amp;"")))</f>
        <v/>
      </c>
      <c r="F87" s="150"/>
      <c r="G87" s="150"/>
      <c r="H87" s="150"/>
      <c r="I87" s="151"/>
      <c r="J87" s="41" t="str">
        <f aca="false">IF($E87="","",$E87&amp;"|"&amp;COUNTIF($E$5:$E87,$E87))</f>
        <v/>
      </c>
      <c r="K87" s="40" t="str">
        <f aca="false">IF($I87="","",LEN($I87))</f>
        <v/>
      </c>
      <c r="L87" s="13"/>
      <c r="M87" s="13"/>
      <c r="N87" s="13"/>
      <c r="O87" s="13"/>
      <c r="P87" s="152"/>
      <c r="Q87" s="149"/>
      <c r="R87" s="152"/>
      <c r="S87" s="152"/>
      <c r="T87" s="62" t="str">
        <f aca="false">IF(OR($C87="",R87=""),"",IF(R87/IF($R$2="",100,$R$2)&gt;=設定!$I$28,設定!$G$8,IF(R87/IF($R$2="",100,$R$2)&lt;設定!$I$29,設定!$G$10,設定!$G$9)))</f>
        <v/>
      </c>
      <c r="U87" s="62" t="str">
        <f aca="false">IF(OR($C87="",S87=""),"",IF(S87/IF($S$2="",100,$S$2)&gt;=設定!$I$28,設定!$G$8,IF(S87/IF($S$2="",100,$S$2)&lt;設定!$I$29,設定!$G$10,設定!$G$9)))</f>
        <v/>
      </c>
    </row>
    <row r="88" customFormat="false" ht="21" hidden="false" customHeight="true" outlineLevel="0" collapsed="false">
      <c r="A88" s="91" t="str">
        <f aca="false">IF(名簿!$D88="","",名簿!$B88&amp;"")</f>
        <v/>
      </c>
      <c r="B88" s="91" t="str">
        <f aca="false">IF(名簿!$D88="","",名簿!$C88)</f>
        <v/>
      </c>
      <c r="C88" s="59" t="str">
        <f aca="false">IF(名簿!$D88="","",名簿!$D88&amp;IF(名簿!$F88="転出","（転出）",""))</f>
        <v/>
      </c>
      <c r="D88" s="149"/>
      <c r="E88" s="61" t="str">
        <f aca="false">IF(OR($C88="",名簿!$F88="転出"),"",IF($C$2="学級ごと",$A88,IF($C$2="前の単元と同じ",単元16!$E88&amp;"",$D88&amp;"")))</f>
        <v/>
      </c>
      <c r="F88" s="150"/>
      <c r="G88" s="150"/>
      <c r="H88" s="150"/>
      <c r="I88" s="151"/>
      <c r="J88" s="41" t="str">
        <f aca="false">IF($E88="","",$E88&amp;"|"&amp;COUNTIF($E$5:$E88,$E88))</f>
        <v/>
      </c>
      <c r="K88" s="40" t="str">
        <f aca="false">IF($I88="","",LEN($I88))</f>
        <v/>
      </c>
      <c r="L88" s="13"/>
      <c r="M88" s="13"/>
      <c r="N88" s="13"/>
      <c r="O88" s="13"/>
      <c r="P88" s="152"/>
      <c r="Q88" s="149"/>
      <c r="R88" s="152"/>
      <c r="S88" s="152"/>
      <c r="T88" s="62" t="str">
        <f aca="false">IF(OR($C88="",R88=""),"",IF(R88/IF($R$2="",100,$R$2)&gt;=設定!$I$28,設定!$G$8,IF(R88/IF($R$2="",100,$R$2)&lt;設定!$I$29,設定!$G$10,設定!$G$9)))</f>
        <v/>
      </c>
      <c r="U88" s="62" t="str">
        <f aca="false">IF(OR($C88="",S88=""),"",IF(S88/IF($S$2="",100,$S$2)&gt;=設定!$I$28,設定!$G$8,IF(S88/IF($S$2="",100,$S$2)&lt;設定!$I$29,設定!$G$10,設定!$G$9)))</f>
        <v/>
      </c>
    </row>
    <row r="89" customFormat="false" ht="21" hidden="false" customHeight="true" outlineLevel="0" collapsed="false">
      <c r="A89" s="91" t="str">
        <f aca="false">IF(名簿!$D89="","",名簿!$B89&amp;"")</f>
        <v/>
      </c>
      <c r="B89" s="91" t="str">
        <f aca="false">IF(名簿!$D89="","",名簿!$C89)</f>
        <v/>
      </c>
      <c r="C89" s="59" t="str">
        <f aca="false">IF(名簿!$D89="","",名簿!$D89&amp;IF(名簿!$F89="転出","（転出）",""))</f>
        <v/>
      </c>
      <c r="D89" s="149"/>
      <c r="E89" s="61" t="str">
        <f aca="false">IF(OR($C89="",名簿!$F89="転出"),"",IF($C$2="学級ごと",$A89,IF($C$2="前の単元と同じ",単元16!$E89&amp;"",$D89&amp;"")))</f>
        <v/>
      </c>
      <c r="F89" s="150"/>
      <c r="G89" s="150"/>
      <c r="H89" s="150"/>
      <c r="I89" s="151"/>
      <c r="J89" s="41" t="str">
        <f aca="false">IF($E89="","",$E89&amp;"|"&amp;COUNTIF($E$5:$E89,$E89))</f>
        <v/>
      </c>
      <c r="K89" s="40" t="str">
        <f aca="false">IF($I89="","",LEN($I89))</f>
        <v/>
      </c>
      <c r="L89" s="13"/>
      <c r="M89" s="13"/>
      <c r="N89" s="13"/>
      <c r="O89" s="13"/>
      <c r="P89" s="152"/>
      <c r="Q89" s="149"/>
      <c r="R89" s="152"/>
      <c r="S89" s="152"/>
      <c r="T89" s="62" t="str">
        <f aca="false">IF(OR($C89="",R89=""),"",IF(R89/IF($R$2="",100,$R$2)&gt;=設定!$I$28,設定!$G$8,IF(R89/IF($R$2="",100,$R$2)&lt;設定!$I$29,設定!$G$10,設定!$G$9)))</f>
        <v/>
      </c>
      <c r="U89" s="62" t="str">
        <f aca="false">IF(OR($C89="",S89=""),"",IF(S89/IF($S$2="",100,$S$2)&gt;=設定!$I$28,設定!$G$8,IF(S89/IF($S$2="",100,$S$2)&lt;設定!$I$29,設定!$G$10,設定!$G$9)))</f>
        <v/>
      </c>
    </row>
    <row r="90" customFormat="false" ht="21" hidden="false" customHeight="true" outlineLevel="0" collapsed="false">
      <c r="A90" s="91" t="str">
        <f aca="false">IF(名簿!$D90="","",名簿!$B90&amp;"")</f>
        <v/>
      </c>
      <c r="B90" s="91" t="str">
        <f aca="false">IF(名簿!$D90="","",名簿!$C90)</f>
        <v/>
      </c>
      <c r="C90" s="59" t="str">
        <f aca="false">IF(名簿!$D90="","",名簿!$D90&amp;IF(名簿!$F90="転出","（転出）",""))</f>
        <v/>
      </c>
      <c r="D90" s="149"/>
      <c r="E90" s="61" t="str">
        <f aca="false">IF(OR($C90="",名簿!$F90="転出"),"",IF($C$2="学級ごと",$A90,IF($C$2="前の単元と同じ",単元16!$E90&amp;"",$D90&amp;"")))</f>
        <v/>
      </c>
      <c r="F90" s="150"/>
      <c r="G90" s="150"/>
      <c r="H90" s="150"/>
      <c r="I90" s="151"/>
      <c r="J90" s="41" t="str">
        <f aca="false">IF($E90="","",$E90&amp;"|"&amp;COUNTIF($E$5:$E90,$E90))</f>
        <v/>
      </c>
      <c r="K90" s="40" t="str">
        <f aca="false">IF($I90="","",LEN($I90))</f>
        <v/>
      </c>
      <c r="L90" s="13"/>
      <c r="M90" s="13"/>
      <c r="N90" s="13"/>
      <c r="O90" s="13"/>
      <c r="P90" s="152"/>
      <c r="Q90" s="149"/>
      <c r="R90" s="152"/>
      <c r="S90" s="152"/>
      <c r="T90" s="62" t="str">
        <f aca="false">IF(OR($C90="",R90=""),"",IF(R90/IF($R$2="",100,$R$2)&gt;=設定!$I$28,設定!$G$8,IF(R90/IF($R$2="",100,$R$2)&lt;設定!$I$29,設定!$G$10,設定!$G$9)))</f>
        <v/>
      </c>
      <c r="U90" s="62" t="str">
        <f aca="false">IF(OR($C90="",S90=""),"",IF(S90/IF($S$2="",100,$S$2)&gt;=設定!$I$28,設定!$G$8,IF(S90/IF($S$2="",100,$S$2)&lt;設定!$I$29,設定!$G$10,設定!$G$9)))</f>
        <v/>
      </c>
    </row>
    <row r="91" customFormat="false" ht="21" hidden="false" customHeight="true" outlineLevel="0" collapsed="false">
      <c r="A91" s="91" t="str">
        <f aca="false">IF(名簿!$D91="","",名簿!$B91&amp;"")</f>
        <v/>
      </c>
      <c r="B91" s="91" t="str">
        <f aca="false">IF(名簿!$D91="","",名簿!$C91)</f>
        <v/>
      </c>
      <c r="C91" s="59" t="str">
        <f aca="false">IF(名簿!$D91="","",名簿!$D91&amp;IF(名簿!$F91="転出","（転出）",""))</f>
        <v/>
      </c>
      <c r="D91" s="149"/>
      <c r="E91" s="61" t="str">
        <f aca="false">IF(OR($C91="",名簿!$F91="転出"),"",IF($C$2="学級ごと",$A91,IF($C$2="前の単元と同じ",単元16!$E91&amp;"",$D91&amp;"")))</f>
        <v/>
      </c>
      <c r="F91" s="150"/>
      <c r="G91" s="150"/>
      <c r="H91" s="150"/>
      <c r="I91" s="151"/>
      <c r="J91" s="41" t="str">
        <f aca="false">IF($E91="","",$E91&amp;"|"&amp;COUNTIF($E$5:$E91,$E91))</f>
        <v/>
      </c>
      <c r="K91" s="40" t="str">
        <f aca="false">IF($I91="","",LEN($I91))</f>
        <v/>
      </c>
      <c r="L91" s="13"/>
      <c r="M91" s="13"/>
      <c r="N91" s="13"/>
      <c r="O91" s="13"/>
      <c r="P91" s="152"/>
      <c r="Q91" s="149"/>
      <c r="R91" s="152"/>
      <c r="S91" s="152"/>
      <c r="T91" s="62" t="str">
        <f aca="false">IF(OR($C91="",R91=""),"",IF(R91/IF($R$2="",100,$R$2)&gt;=設定!$I$28,設定!$G$8,IF(R91/IF($R$2="",100,$R$2)&lt;設定!$I$29,設定!$G$10,設定!$G$9)))</f>
        <v/>
      </c>
      <c r="U91" s="62" t="str">
        <f aca="false">IF(OR($C91="",S91=""),"",IF(S91/IF($S$2="",100,$S$2)&gt;=設定!$I$28,設定!$G$8,IF(S91/IF($S$2="",100,$S$2)&lt;設定!$I$29,設定!$G$10,設定!$G$9)))</f>
        <v/>
      </c>
    </row>
    <row r="92" customFormat="false" ht="21" hidden="false" customHeight="true" outlineLevel="0" collapsed="false">
      <c r="A92" s="91" t="str">
        <f aca="false">IF(名簿!$D92="","",名簿!$B92&amp;"")</f>
        <v/>
      </c>
      <c r="B92" s="91" t="str">
        <f aca="false">IF(名簿!$D92="","",名簿!$C92)</f>
        <v/>
      </c>
      <c r="C92" s="59" t="str">
        <f aca="false">IF(名簿!$D92="","",名簿!$D92&amp;IF(名簿!$F92="転出","（転出）",""))</f>
        <v/>
      </c>
      <c r="D92" s="149"/>
      <c r="E92" s="61" t="str">
        <f aca="false">IF(OR($C92="",名簿!$F92="転出"),"",IF($C$2="学級ごと",$A92,IF($C$2="前の単元と同じ",単元16!$E92&amp;"",$D92&amp;"")))</f>
        <v/>
      </c>
      <c r="F92" s="150"/>
      <c r="G92" s="150"/>
      <c r="H92" s="150"/>
      <c r="I92" s="151"/>
      <c r="J92" s="41" t="str">
        <f aca="false">IF($E92="","",$E92&amp;"|"&amp;COUNTIF($E$5:$E92,$E92))</f>
        <v/>
      </c>
      <c r="K92" s="40" t="str">
        <f aca="false">IF($I92="","",LEN($I92))</f>
        <v/>
      </c>
      <c r="L92" s="13"/>
      <c r="M92" s="13"/>
      <c r="N92" s="13"/>
      <c r="O92" s="13"/>
      <c r="P92" s="152"/>
      <c r="Q92" s="149"/>
      <c r="R92" s="152"/>
      <c r="S92" s="152"/>
      <c r="T92" s="62" t="str">
        <f aca="false">IF(OR($C92="",R92=""),"",IF(R92/IF($R$2="",100,$R$2)&gt;=設定!$I$28,設定!$G$8,IF(R92/IF($R$2="",100,$R$2)&lt;設定!$I$29,設定!$G$10,設定!$G$9)))</f>
        <v/>
      </c>
      <c r="U92" s="62" t="str">
        <f aca="false">IF(OR($C92="",S92=""),"",IF(S92/IF($S$2="",100,$S$2)&gt;=設定!$I$28,設定!$G$8,IF(S92/IF($S$2="",100,$S$2)&lt;設定!$I$29,設定!$G$10,設定!$G$9)))</f>
        <v/>
      </c>
    </row>
    <row r="93" customFormat="false" ht="21" hidden="false" customHeight="true" outlineLevel="0" collapsed="false">
      <c r="A93" s="91" t="str">
        <f aca="false">IF(名簿!$D93="","",名簿!$B93&amp;"")</f>
        <v/>
      </c>
      <c r="B93" s="91" t="str">
        <f aca="false">IF(名簿!$D93="","",名簿!$C93)</f>
        <v/>
      </c>
      <c r="C93" s="59" t="str">
        <f aca="false">IF(名簿!$D93="","",名簿!$D93&amp;IF(名簿!$F93="転出","（転出）",""))</f>
        <v/>
      </c>
      <c r="D93" s="149"/>
      <c r="E93" s="61" t="str">
        <f aca="false">IF(OR($C93="",名簿!$F93="転出"),"",IF($C$2="学級ごと",$A93,IF($C$2="前の単元と同じ",単元16!$E93&amp;"",$D93&amp;"")))</f>
        <v/>
      </c>
      <c r="F93" s="150"/>
      <c r="G93" s="150"/>
      <c r="H93" s="150"/>
      <c r="I93" s="151"/>
      <c r="J93" s="41" t="str">
        <f aca="false">IF($E93="","",$E93&amp;"|"&amp;COUNTIF($E$5:$E93,$E93))</f>
        <v/>
      </c>
      <c r="K93" s="40" t="str">
        <f aca="false">IF($I93="","",LEN($I93))</f>
        <v/>
      </c>
      <c r="L93" s="13"/>
      <c r="M93" s="13"/>
      <c r="N93" s="13"/>
      <c r="O93" s="13"/>
      <c r="P93" s="152"/>
      <c r="Q93" s="149"/>
      <c r="R93" s="152"/>
      <c r="S93" s="152"/>
      <c r="T93" s="62" t="str">
        <f aca="false">IF(OR($C93="",R93=""),"",IF(R93/IF($R$2="",100,$R$2)&gt;=設定!$I$28,設定!$G$8,IF(R93/IF($R$2="",100,$R$2)&lt;設定!$I$29,設定!$G$10,設定!$G$9)))</f>
        <v/>
      </c>
      <c r="U93" s="62" t="str">
        <f aca="false">IF(OR($C93="",S93=""),"",IF(S93/IF($S$2="",100,$S$2)&gt;=設定!$I$28,設定!$G$8,IF(S93/IF($S$2="",100,$S$2)&lt;設定!$I$29,設定!$G$10,設定!$G$9)))</f>
        <v/>
      </c>
    </row>
    <row r="94" customFormat="false" ht="21" hidden="false" customHeight="true" outlineLevel="0" collapsed="false">
      <c r="A94" s="91" t="str">
        <f aca="false">IF(名簿!$D94="","",名簿!$B94&amp;"")</f>
        <v/>
      </c>
      <c r="B94" s="91" t="str">
        <f aca="false">IF(名簿!$D94="","",名簿!$C94)</f>
        <v/>
      </c>
      <c r="C94" s="59" t="str">
        <f aca="false">IF(名簿!$D94="","",名簿!$D94&amp;IF(名簿!$F94="転出","（転出）",""))</f>
        <v/>
      </c>
      <c r="D94" s="149"/>
      <c r="E94" s="61" t="str">
        <f aca="false">IF(OR($C94="",名簿!$F94="転出"),"",IF($C$2="学級ごと",$A94,IF($C$2="前の単元と同じ",単元16!$E94&amp;"",$D94&amp;"")))</f>
        <v/>
      </c>
      <c r="F94" s="150"/>
      <c r="G94" s="150"/>
      <c r="H94" s="150"/>
      <c r="I94" s="151"/>
      <c r="J94" s="41" t="str">
        <f aca="false">IF($E94="","",$E94&amp;"|"&amp;COUNTIF($E$5:$E94,$E94))</f>
        <v/>
      </c>
      <c r="K94" s="40" t="str">
        <f aca="false">IF($I94="","",LEN($I94))</f>
        <v/>
      </c>
      <c r="L94" s="13"/>
      <c r="M94" s="13"/>
      <c r="N94" s="13"/>
      <c r="O94" s="13"/>
      <c r="P94" s="152"/>
      <c r="Q94" s="149"/>
      <c r="R94" s="152"/>
      <c r="S94" s="152"/>
      <c r="T94" s="62" t="str">
        <f aca="false">IF(OR($C94="",R94=""),"",IF(R94/IF($R$2="",100,$R$2)&gt;=設定!$I$28,設定!$G$8,IF(R94/IF($R$2="",100,$R$2)&lt;設定!$I$29,設定!$G$10,設定!$G$9)))</f>
        <v/>
      </c>
      <c r="U94" s="62" t="str">
        <f aca="false">IF(OR($C94="",S94=""),"",IF(S94/IF($S$2="",100,$S$2)&gt;=設定!$I$28,設定!$G$8,IF(S94/IF($S$2="",100,$S$2)&lt;設定!$I$29,設定!$G$10,設定!$G$9)))</f>
        <v/>
      </c>
    </row>
    <row r="95" customFormat="false" ht="21" hidden="false" customHeight="true" outlineLevel="0" collapsed="false">
      <c r="A95" s="91" t="str">
        <f aca="false">IF(名簿!$D95="","",名簿!$B95&amp;"")</f>
        <v/>
      </c>
      <c r="B95" s="91" t="str">
        <f aca="false">IF(名簿!$D95="","",名簿!$C95)</f>
        <v/>
      </c>
      <c r="C95" s="59" t="str">
        <f aca="false">IF(名簿!$D95="","",名簿!$D95&amp;IF(名簿!$F95="転出","（転出）",""))</f>
        <v/>
      </c>
      <c r="D95" s="149"/>
      <c r="E95" s="61" t="str">
        <f aca="false">IF(OR($C95="",名簿!$F95="転出"),"",IF($C$2="学級ごと",$A95,IF($C$2="前の単元と同じ",単元16!$E95&amp;"",$D95&amp;"")))</f>
        <v/>
      </c>
      <c r="F95" s="150"/>
      <c r="G95" s="150"/>
      <c r="H95" s="150"/>
      <c r="I95" s="151"/>
      <c r="J95" s="41" t="str">
        <f aca="false">IF($E95="","",$E95&amp;"|"&amp;COUNTIF($E$5:$E95,$E95))</f>
        <v/>
      </c>
      <c r="K95" s="40" t="str">
        <f aca="false">IF($I95="","",LEN($I95))</f>
        <v/>
      </c>
      <c r="L95" s="13"/>
      <c r="M95" s="13"/>
      <c r="N95" s="13"/>
      <c r="O95" s="13"/>
      <c r="P95" s="152"/>
      <c r="Q95" s="149"/>
      <c r="R95" s="152"/>
      <c r="S95" s="152"/>
      <c r="T95" s="62" t="str">
        <f aca="false">IF(OR($C95="",R95=""),"",IF(R95/IF($R$2="",100,$R$2)&gt;=設定!$I$28,設定!$G$8,IF(R95/IF($R$2="",100,$R$2)&lt;設定!$I$29,設定!$G$10,設定!$G$9)))</f>
        <v/>
      </c>
      <c r="U95" s="62" t="str">
        <f aca="false">IF(OR($C95="",S95=""),"",IF(S95/IF($S$2="",100,$S$2)&gt;=設定!$I$28,設定!$G$8,IF(S95/IF($S$2="",100,$S$2)&lt;設定!$I$29,設定!$G$10,設定!$G$9)))</f>
        <v/>
      </c>
    </row>
    <row r="96" customFormat="false" ht="21" hidden="false" customHeight="true" outlineLevel="0" collapsed="false">
      <c r="A96" s="91" t="str">
        <f aca="false">IF(名簿!$D96="","",名簿!$B96&amp;"")</f>
        <v/>
      </c>
      <c r="B96" s="91" t="str">
        <f aca="false">IF(名簿!$D96="","",名簿!$C96)</f>
        <v/>
      </c>
      <c r="C96" s="59" t="str">
        <f aca="false">IF(名簿!$D96="","",名簿!$D96&amp;IF(名簿!$F96="転出","（転出）",""))</f>
        <v/>
      </c>
      <c r="D96" s="149"/>
      <c r="E96" s="61" t="str">
        <f aca="false">IF(OR($C96="",名簿!$F96="転出"),"",IF($C$2="学級ごと",$A96,IF($C$2="前の単元と同じ",単元16!$E96&amp;"",$D96&amp;"")))</f>
        <v/>
      </c>
      <c r="F96" s="150"/>
      <c r="G96" s="150"/>
      <c r="H96" s="150"/>
      <c r="I96" s="151"/>
      <c r="J96" s="41" t="str">
        <f aca="false">IF($E96="","",$E96&amp;"|"&amp;COUNTIF($E$5:$E96,$E96))</f>
        <v/>
      </c>
      <c r="K96" s="40" t="str">
        <f aca="false">IF($I96="","",LEN($I96))</f>
        <v/>
      </c>
      <c r="L96" s="13"/>
      <c r="M96" s="13"/>
      <c r="N96" s="13"/>
      <c r="O96" s="13"/>
      <c r="P96" s="152"/>
      <c r="Q96" s="149"/>
      <c r="R96" s="152"/>
      <c r="S96" s="152"/>
      <c r="T96" s="62" t="str">
        <f aca="false">IF(OR($C96="",R96=""),"",IF(R96/IF($R$2="",100,$R$2)&gt;=設定!$I$28,設定!$G$8,IF(R96/IF($R$2="",100,$R$2)&lt;設定!$I$29,設定!$G$10,設定!$G$9)))</f>
        <v/>
      </c>
      <c r="U96" s="62" t="str">
        <f aca="false">IF(OR($C96="",S96=""),"",IF(S96/IF($S$2="",100,$S$2)&gt;=設定!$I$28,設定!$G$8,IF(S96/IF($S$2="",100,$S$2)&lt;設定!$I$29,設定!$G$10,設定!$G$9)))</f>
        <v/>
      </c>
    </row>
    <row r="97" customFormat="false" ht="21" hidden="false" customHeight="true" outlineLevel="0" collapsed="false">
      <c r="A97" s="91" t="str">
        <f aca="false">IF(名簿!$D97="","",名簿!$B97&amp;"")</f>
        <v/>
      </c>
      <c r="B97" s="91" t="str">
        <f aca="false">IF(名簿!$D97="","",名簿!$C97)</f>
        <v/>
      </c>
      <c r="C97" s="59" t="str">
        <f aca="false">IF(名簿!$D97="","",名簿!$D97&amp;IF(名簿!$F97="転出","（転出）",""))</f>
        <v/>
      </c>
      <c r="D97" s="149"/>
      <c r="E97" s="61" t="str">
        <f aca="false">IF(OR($C97="",名簿!$F97="転出"),"",IF($C$2="学級ごと",$A97,IF($C$2="前の単元と同じ",単元16!$E97&amp;"",$D97&amp;"")))</f>
        <v/>
      </c>
      <c r="F97" s="150"/>
      <c r="G97" s="150"/>
      <c r="H97" s="150"/>
      <c r="I97" s="151"/>
      <c r="J97" s="41" t="str">
        <f aca="false">IF($E97="","",$E97&amp;"|"&amp;COUNTIF($E$5:$E97,$E97))</f>
        <v/>
      </c>
      <c r="K97" s="40" t="str">
        <f aca="false">IF($I97="","",LEN($I97))</f>
        <v/>
      </c>
      <c r="L97" s="13"/>
      <c r="M97" s="13"/>
      <c r="N97" s="13"/>
      <c r="O97" s="13"/>
      <c r="P97" s="152"/>
      <c r="Q97" s="149"/>
      <c r="R97" s="152"/>
      <c r="S97" s="152"/>
      <c r="T97" s="62" t="str">
        <f aca="false">IF(OR($C97="",R97=""),"",IF(R97/IF($R$2="",100,$R$2)&gt;=設定!$I$28,設定!$G$8,IF(R97/IF($R$2="",100,$R$2)&lt;設定!$I$29,設定!$G$10,設定!$G$9)))</f>
        <v/>
      </c>
      <c r="U97" s="62" t="str">
        <f aca="false">IF(OR($C97="",S97=""),"",IF(S97/IF($S$2="",100,$S$2)&gt;=設定!$I$28,設定!$G$8,IF(S97/IF($S$2="",100,$S$2)&lt;設定!$I$29,設定!$G$10,設定!$G$9)))</f>
        <v/>
      </c>
    </row>
    <row r="98" customFormat="false" ht="21" hidden="false" customHeight="true" outlineLevel="0" collapsed="false">
      <c r="A98" s="91" t="str">
        <f aca="false">IF(名簿!$D98="","",名簿!$B98&amp;"")</f>
        <v/>
      </c>
      <c r="B98" s="91" t="str">
        <f aca="false">IF(名簿!$D98="","",名簿!$C98)</f>
        <v/>
      </c>
      <c r="C98" s="59" t="str">
        <f aca="false">IF(名簿!$D98="","",名簿!$D98&amp;IF(名簿!$F98="転出","（転出）",""))</f>
        <v/>
      </c>
      <c r="D98" s="149"/>
      <c r="E98" s="61" t="str">
        <f aca="false">IF(OR($C98="",名簿!$F98="転出"),"",IF($C$2="学級ごと",$A98,IF($C$2="前の単元と同じ",単元16!$E98&amp;"",$D98&amp;"")))</f>
        <v/>
      </c>
      <c r="F98" s="150"/>
      <c r="G98" s="150"/>
      <c r="H98" s="150"/>
      <c r="I98" s="151"/>
      <c r="J98" s="41" t="str">
        <f aca="false">IF($E98="","",$E98&amp;"|"&amp;COUNTIF($E$5:$E98,$E98))</f>
        <v/>
      </c>
      <c r="K98" s="40" t="str">
        <f aca="false">IF($I98="","",LEN($I98))</f>
        <v/>
      </c>
      <c r="L98" s="13"/>
      <c r="M98" s="13"/>
      <c r="N98" s="13"/>
      <c r="O98" s="13"/>
      <c r="P98" s="152"/>
      <c r="Q98" s="149"/>
      <c r="R98" s="152"/>
      <c r="S98" s="152"/>
      <c r="T98" s="62" t="str">
        <f aca="false">IF(OR($C98="",R98=""),"",IF(R98/IF($R$2="",100,$R$2)&gt;=設定!$I$28,設定!$G$8,IF(R98/IF($R$2="",100,$R$2)&lt;設定!$I$29,設定!$G$10,設定!$G$9)))</f>
        <v/>
      </c>
      <c r="U98" s="62" t="str">
        <f aca="false">IF(OR($C98="",S98=""),"",IF(S98/IF($S$2="",100,$S$2)&gt;=設定!$I$28,設定!$G$8,IF(S98/IF($S$2="",100,$S$2)&lt;設定!$I$29,設定!$G$10,設定!$G$9)))</f>
        <v/>
      </c>
    </row>
    <row r="99" customFormat="false" ht="21" hidden="false" customHeight="true" outlineLevel="0" collapsed="false">
      <c r="A99" s="91" t="str">
        <f aca="false">IF(名簿!$D99="","",名簿!$B99&amp;"")</f>
        <v/>
      </c>
      <c r="B99" s="91" t="str">
        <f aca="false">IF(名簿!$D99="","",名簿!$C99)</f>
        <v/>
      </c>
      <c r="C99" s="59" t="str">
        <f aca="false">IF(名簿!$D99="","",名簿!$D99&amp;IF(名簿!$F99="転出","（転出）",""))</f>
        <v/>
      </c>
      <c r="D99" s="149"/>
      <c r="E99" s="61" t="str">
        <f aca="false">IF(OR($C99="",名簿!$F99="転出"),"",IF($C$2="学級ごと",$A99,IF($C$2="前の単元と同じ",単元16!$E99&amp;"",$D99&amp;"")))</f>
        <v/>
      </c>
      <c r="F99" s="150"/>
      <c r="G99" s="150"/>
      <c r="H99" s="150"/>
      <c r="I99" s="151"/>
      <c r="J99" s="41" t="str">
        <f aca="false">IF($E99="","",$E99&amp;"|"&amp;COUNTIF($E$5:$E99,$E99))</f>
        <v/>
      </c>
      <c r="K99" s="40" t="str">
        <f aca="false">IF($I99="","",LEN($I99))</f>
        <v/>
      </c>
      <c r="L99" s="13"/>
      <c r="M99" s="13"/>
      <c r="N99" s="13"/>
      <c r="O99" s="13"/>
      <c r="P99" s="152"/>
      <c r="Q99" s="149"/>
      <c r="R99" s="152"/>
      <c r="S99" s="152"/>
      <c r="T99" s="62" t="str">
        <f aca="false">IF(OR($C99="",R99=""),"",IF(R99/IF($R$2="",100,$R$2)&gt;=設定!$I$28,設定!$G$8,IF(R99/IF($R$2="",100,$R$2)&lt;設定!$I$29,設定!$G$10,設定!$G$9)))</f>
        <v/>
      </c>
      <c r="U99" s="62" t="str">
        <f aca="false">IF(OR($C99="",S99=""),"",IF(S99/IF($S$2="",100,$S$2)&gt;=設定!$I$28,設定!$G$8,IF(S99/IF($S$2="",100,$S$2)&lt;設定!$I$29,設定!$G$10,設定!$G$9)))</f>
        <v/>
      </c>
    </row>
    <row r="100" customFormat="false" ht="21" hidden="false" customHeight="true" outlineLevel="0" collapsed="false">
      <c r="A100" s="91" t="str">
        <f aca="false">IF(名簿!$D100="","",名簿!$B100&amp;"")</f>
        <v/>
      </c>
      <c r="B100" s="91" t="str">
        <f aca="false">IF(名簿!$D100="","",名簿!$C100)</f>
        <v/>
      </c>
      <c r="C100" s="59" t="str">
        <f aca="false">IF(名簿!$D100="","",名簿!$D100&amp;IF(名簿!$F100="転出","（転出）",""))</f>
        <v/>
      </c>
      <c r="D100" s="149"/>
      <c r="E100" s="61" t="str">
        <f aca="false">IF(OR($C100="",名簿!$F100="転出"),"",IF($C$2="学級ごと",$A100,IF($C$2="前の単元と同じ",単元16!$E100&amp;"",$D100&amp;"")))</f>
        <v/>
      </c>
      <c r="F100" s="150"/>
      <c r="G100" s="150"/>
      <c r="H100" s="150"/>
      <c r="I100" s="151"/>
      <c r="J100" s="41" t="str">
        <f aca="false">IF($E100="","",$E100&amp;"|"&amp;COUNTIF($E$5:$E100,$E100))</f>
        <v/>
      </c>
      <c r="K100" s="40" t="str">
        <f aca="false">IF($I100="","",LEN($I100))</f>
        <v/>
      </c>
      <c r="L100" s="13"/>
      <c r="M100" s="13"/>
      <c r="N100" s="13"/>
      <c r="O100" s="13"/>
      <c r="P100" s="152"/>
      <c r="Q100" s="149"/>
      <c r="R100" s="152"/>
      <c r="S100" s="152"/>
      <c r="T100" s="62" t="str">
        <f aca="false">IF(OR($C100="",R100=""),"",IF(R100/IF($R$2="",100,$R$2)&gt;=設定!$I$28,設定!$G$8,IF(R100/IF($R$2="",100,$R$2)&lt;設定!$I$29,設定!$G$10,設定!$G$9)))</f>
        <v/>
      </c>
      <c r="U100" s="62" t="str">
        <f aca="false">IF(OR($C100="",S100=""),"",IF(S100/IF($S$2="",100,$S$2)&gt;=設定!$I$28,設定!$G$8,IF(S100/IF($S$2="",100,$S$2)&lt;設定!$I$29,設定!$G$10,設定!$G$9)))</f>
        <v/>
      </c>
    </row>
    <row r="101" customFormat="false" ht="21" hidden="false" customHeight="true" outlineLevel="0" collapsed="false">
      <c r="A101" s="91" t="str">
        <f aca="false">IF(名簿!$D101="","",名簿!$B101&amp;"")</f>
        <v/>
      </c>
      <c r="B101" s="91" t="str">
        <f aca="false">IF(名簿!$D101="","",名簿!$C101)</f>
        <v/>
      </c>
      <c r="C101" s="59" t="str">
        <f aca="false">IF(名簿!$D101="","",名簿!$D101&amp;IF(名簿!$F101="転出","（転出）",""))</f>
        <v/>
      </c>
      <c r="D101" s="149"/>
      <c r="E101" s="61" t="str">
        <f aca="false">IF(OR($C101="",名簿!$F101="転出"),"",IF($C$2="学級ごと",$A101,IF($C$2="前の単元と同じ",単元16!$E101&amp;"",$D101&amp;"")))</f>
        <v/>
      </c>
      <c r="F101" s="150"/>
      <c r="G101" s="150"/>
      <c r="H101" s="150"/>
      <c r="I101" s="151"/>
      <c r="J101" s="41" t="str">
        <f aca="false">IF($E101="","",$E101&amp;"|"&amp;COUNTIF($E$5:$E101,$E101))</f>
        <v/>
      </c>
      <c r="K101" s="40" t="str">
        <f aca="false">IF($I101="","",LEN($I101))</f>
        <v/>
      </c>
      <c r="L101" s="13"/>
      <c r="M101" s="13"/>
      <c r="N101" s="13"/>
      <c r="O101" s="13"/>
      <c r="P101" s="152"/>
      <c r="Q101" s="149"/>
      <c r="R101" s="152"/>
      <c r="S101" s="152"/>
      <c r="T101" s="62" t="str">
        <f aca="false">IF(OR($C101="",R101=""),"",IF(R101/IF($R$2="",100,$R$2)&gt;=設定!$I$28,設定!$G$8,IF(R101/IF($R$2="",100,$R$2)&lt;設定!$I$29,設定!$G$10,設定!$G$9)))</f>
        <v/>
      </c>
      <c r="U101" s="62" t="str">
        <f aca="false">IF(OR($C101="",S101=""),"",IF(S101/IF($S$2="",100,$S$2)&gt;=設定!$I$28,設定!$G$8,IF(S101/IF($S$2="",100,$S$2)&lt;設定!$I$29,設定!$G$10,設定!$G$9)))</f>
        <v/>
      </c>
    </row>
    <row r="102" customFormat="false" ht="21" hidden="false" customHeight="true" outlineLevel="0" collapsed="false">
      <c r="A102" s="91" t="str">
        <f aca="false">IF(名簿!$D102="","",名簿!$B102&amp;"")</f>
        <v/>
      </c>
      <c r="B102" s="91" t="str">
        <f aca="false">IF(名簿!$D102="","",名簿!$C102)</f>
        <v/>
      </c>
      <c r="C102" s="59" t="str">
        <f aca="false">IF(名簿!$D102="","",名簿!$D102&amp;IF(名簿!$F102="転出","（転出）",""))</f>
        <v/>
      </c>
      <c r="D102" s="149"/>
      <c r="E102" s="61" t="str">
        <f aca="false">IF(OR($C102="",名簿!$F102="転出"),"",IF($C$2="学級ごと",$A102,IF($C$2="前の単元と同じ",単元16!$E102&amp;"",$D102&amp;"")))</f>
        <v/>
      </c>
      <c r="F102" s="150"/>
      <c r="G102" s="150"/>
      <c r="H102" s="150"/>
      <c r="I102" s="151"/>
      <c r="J102" s="41" t="str">
        <f aca="false">IF($E102="","",$E102&amp;"|"&amp;COUNTIF($E$5:$E102,$E102))</f>
        <v/>
      </c>
      <c r="K102" s="40" t="str">
        <f aca="false">IF($I102="","",LEN($I102))</f>
        <v/>
      </c>
      <c r="L102" s="13"/>
      <c r="M102" s="13"/>
      <c r="N102" s="13"/>
      <c r="O102" s="13"/>
      <c r="P102" s="152"/>
      <c r="Q102" s="149"/>
      <c r="R102" s="152"/>
      <c r="S102" s="152"/>
      <c r="T102" s="62" t="str">
        <f aca="false">IF(OR($C102="",R102=""),"",IF(R102/IF($R$2="",100,$R$2)&gt;=設定!$I$28,設定!$G$8,IF(R102/IF($R$2="",100,$R$2)&lt;設定!$I$29,設定!$G$10,設定!$G$9)))</f>
        <v/>
      </c>
      <c r="U102" s="62" t="str">
        <f aca="false">IF(OR($C102="",S102=""),"",IF(S102/IF($S$2="",100,$S$2)&gt;=設定!$I$28,設定!$G$8,IF(S102/IF($S$2="",100,$S$2)&lt;設定!$I$29,設定!$G$10,設定!$G$9)))</f>
        <v/>
      </c>
    </row>
    <row r="103" customFormat="false" ht="21" hidden="false" customHeight="true" outlineLevel="0" collapsed="false">
      <c r="A103" s="91" t="str">
        <f aca="false">IF(名簿!$D103="","",名簿!$B103&amp;"")</f>
        <v/>
      </c>
      <c r="B103" s="91" t="str">
        <f aca="false">IF(名簿!$D103="","",名簿!$C103)</f>
        <v/>
      </c>
      <c r="C103" s="59" t="str">
        <f aca="false">IF(名簿!$D103="","",名簿!$D103&amp;IF(名簿!$F103="転出","（転出）",""))</f>
        <v/>
      </c>
      <c r="D103" s="149"/>
      <c r="E103" s="61" t="str">
        <f aca="false">IF(OR($C103="",名簿!$F103="転出"),"",IF($C$2="学級ごと",$A103,IF($C$2="前の単元と同じ",単元16!$E103&amp;"",$D103&amp;"")))</f>
        <v/>
      </c>
      <c r="F103" s="150"/>
      <c r="G103" s="150"/>
      <c r="H103" s="150"/>
      <c r="I103" s="151"/>
      <c r="J103" s="41" t="str">
        <f aca="false">IF($E103="","",$E103&amp;"|"&amp;COUNTIF($E$5:$E103,$E103))</f>
        <v/>
      </c>
      <c r="K103" s="40" t="str">
        <f aca="false">IF($I103="","",LEN($I103))</f>
        <v/>
      </c>
      <c r="L103" s="13"/>
      <c r="M103" s="13"/>
      <c r="N103" s="13"/>
      <c r="O103" s="13"/>
      <c r="P103" s="152"/>
      <c r="Q103" s="149"/>
      <c r="R103" s="152"/>
      <c r="S103" s="152"/>
      <c r="T103" s="62" t="str">
        <f aca="false">IF(OR($C103="",R103=""),"",IF(R103/IF($R$2="",100,$R$2)&gt;=設定!$I$28,設定!$G$8,IF(R103/IF($R$2="",100,$R$2)&lt;設定!$I$29,設定!$G$10,設定!$G$9)))</f>
        <v/>
      </c>
      <c r="U103" s="62" t="str">
        <f aca="false">IF(OR($C103="",S103=""),"",IF(S103/IF($S$2="",100,$S$2)&gt;=設定!$I$28,設定!$G$8,IF(S103/IF($S$2="",100,$S$2)&lt;設定!$I$29,設定!$G$10,設定!$G$9)))</f>
        <v/>
      </c>
    </row>
    <row r="104" customFormat="false" ht="21" hidden="false" customHeight="true" outlineLevel="0" collapsed="false">
      <c r="A104" s="91" t="str">
        <f aca="false">IF(名簿!$D104="","",名簿!$B104&amp;"")</f>
        <v/>
      </c>
      <c r="B104" s="91" t="str">
        <f aca="false">IF(名簿!$D104="","",名簿!$C104)</f>
        <v/>
      </c>
      <c r="C104" s="59" t="str">
        <f aca="false">IF(名簿!$D104="","",名簿!$D104&amp;IF(名簿!$F104="転出","（転出）",""))</f>
        <v/>
      </c>
      <c r="D104" s="149"/>
      <c r="E104" s="61" t="str">
        <f aca="false">IF(OR($C104="",名簿!$F104="転出"),"",IF($C$2="学級ごと",$A104,IF($C$2="前の単元と同じ",単元16!$E104&amp;"",$D104&amp;"")))</f>
        <v/>
      </c>
      <c r="F104" s="150"/>
      <c r="G104" s="150"/>
      <c r="H104" s="150"/>
      <c r="I104" s="151"/>
      <c r="J104" s="41" t="str">
        <f aca="false">IF($E104="","",$E104&amp;"|"&amp;COUNTIF($E$5:$E104,$E104))</f>
        <v/>
      </c>
      <c r="K104" s="40" t="str">
        <f aca="false">IF($I104="","",LEN($I104))</f>
        <v/>
      </c>
      <c r="L104" s="13"/>
      <c r="M104" s="13"/>
      <c r="N104" s="13"/>
      <c r="O104" s="13"/>
      <c r="P104" s="152"/>
      <c r="Q104" s="149"/>
      <c r="R104" s="152"/>
      <c r="S104" s="152"/>
      <c r="T104" s="62" t="str">
        <f aca="false">IF(OR($C104="",R104=""),"",IF(R104/IF($R$2="",100,$R$2)&gt;=設定!$I$28,設定!$G$8,IF(R104/IF($R$2="",100,$R$2)&lt;設定!$I$29,設定!$G$10,設定!$G$9)))</f>
        <v/>
      </c>
      <c r="U104" s="62" t="str">
        <f aca="false">IF(OR($C104="",S104=""),"",IF(S104/IF($S$2="",100,$S$2)&gt;=設定!$I$28,設定!$G$8,IF(S104/IF($S$2="",100,$S$2)&lt;設定!$I$29,設定!$G$10,設定!$G$9)))</f>
        <v/>
      </c>
    </row>
    <row r="105" customFormat="false" ht="21" hidden="false" customHeight="true" outlineLevel="0" collapsed="false">
      <c r="A105" s="91" t="str">
        <f aca="false">IF(名簿!$D105="","",名簿!$B105&amp;"")</f>
        <v/>
      </c>
      <c r="B105" s="91" t="str">
        <f aca="false">IF(名簿!$D105="","",名簿!$C105)</f>
        <v/>
      </c>
      <c r="C105" s="59" t="str">
        <f aca="false">IF(名簿!$D105="","",名簿!$D105&amp;IF(名簿!$F105="転出","（転出）",""))</f>
        <v/>
      </c>
      <c r="D105" s="149"/>
      <c r="E105" s="61" t="str">
        <f aca="false">IF(OR($C105="",名簿!$F105="転出"),"",IF($C$2="学級ごと",$A105,IF($C$2="前の単元と同じ",単元16!$E105&amp;"",$D105&amp;"")))</f>
        <v/>
      </c>
      <c r="F105" s="150"/>
      <c r="G105" s="150"/>
      <c r="H105" s="150"/>
      <c r="I105" s="151"/>
      <c r="J105" s="41" t="str">
        <f aca="false">IF($E105="","",$E105&amp;"|"&amp;COUNTIF($E$5:$E105,$E105))</f>
        <v/>
      </c>
      <c r="K105" s="40" t="str">
        <f aca="false">IF($I105="","",LEN($I105))</f>
        <v/>
      </c>
      <c r="L105" s="13"/>
      <c r="M105" s="13"/>
      <c r="N105" s="13"/>
      <c r="O105" s="13"/>
      <c r="P105" s="152"/>
      <c r="Q105" s="149"/>
      <c r="R105" s="152"/>
      <c r="S105" s="152"/>
      <c r="T105" s="62" t="str">
        <f aca="false">IF(OR($C105="",R105=""),"",IF(R105/IF($R$2="",100,$R$2)&gt;=設定!$I$28,設定!$G$8,IF(R105/IF($R$2="",100,$R$2)&lt;設定!$I$29,設定!$G$10,設定!$G$9)))</f>
        <v/>
      </c>
      <c r="U105" s="62" t="str">
        <f aca="false">IF(OR($C105="",S105=""),"",IF(S105/IF($S$2="",100,$S$2)&gt;=設定!$I$28,設定!$G$8,IF(S105/IF($S$2="",100,$S$2)&lt;設定!$I$29,設定!$G$10,設定!$G$9)))</f>
        <v/>
      </c>
    </row>
    <row r="106" customFormat="false" ht="21" hidden="false" customHeight="true" outlineLevel="0" collapsed="false">
      <c r="A106" s="91" t="str">
        <f aca="false">IF(名簿!$D106="","",名簿!$B106&amp;"")</f>
        <v/>
      </c>
      <c r="B106" s="91" t="str">
        <f aca="false">IF(名簿!$D106="","",名簿!$C106)</f>
        <v/>
      </c>
      <c r="C106" s="59" t="str">
        <f aca="false">IF(名簿!$D106="","",名簿!$D106&amp;IF(名簿!$F106="転出","（転出）",""))</f>
        <v/>
      </c>
      <c r="D106" s="149"/>
      <c r="E106" s="61" t="str">
        <f aca="false">IF(OR($C106="",名簿!$F106="転出"),"",IF($C$2="学級ごと",$A106,IF($C$2="前の単元と同じ",単元16!$E106&amp;"",$D106&amp;"")))</f>
        <v/>
      </c>
      <c r="F106" s="150"/>
      <c r="G106" s="150"/>
      <c r="H106" s="150"/>
      <c r="I106" s="151"/>
      <c r="J106" s="41" t="str">
        <f aca="false">IF($E106="","",$E106&amp;"|"&amp;COUNTIF($E$5:$E106,$E106))</f>
        <v/>
      </c>
      <c r="K106" s="40" t="str">
        <f aca="false">IF($I106="","",LEN($I106))</f>
        <v/>
      </c>
      <c r="L106" s="13"/>
      <c r="M106" s="13"/>
      <c r="N106" s="13"/>
      <c r="O106" s="13"/>
      <c r="P106" s="152"/>
      <c r="Q106" s="149"/>
      <c r="R106" s="152"/>
      <c r="S106" s="152"/>
      <c r="T106" s="62" t="str">
        <f aca="false">IF(OR($C106="",R106=""),"",IF(R106/IF($R$2="",100,$R$2)&gt;=設定!$I$28,設定!$G$8,IF(R106/IF($R$2="",100,$R$2)&lt;設定!$I$29,設定!$G$10,設定!$G$9)))</f>
        <v/>
      </c>
      <c r="U106" s="62" t="str">
        <f aca="false">IF(OR($C106="",S106=""),"",IF(S106/IF($S$2="",100,$S$2)&gt;=設定!$I$28,設定!$G$8,IF(S106/IF($S$2="",100,$S$2)&lt;設定!$I$29,設定!$G$10,設定!$G$9)))</f>
        <v/>
      </c>
    </row>
    <row r="107" customFormat="false" ht="21" hidden="false" customHeight="true" outlineLevel="0" collapsed="false">
      <c r="A107" s="91" t="str">
        <f aca="false">IF(名簿!$D107="","",名簿!$B107&amp;"")</f>
        <v/>
      </c>
      <c r="B107" s="91" t="str">
        <f aca="false">IF(名簿!$D107="","",名簿!$C107)</f>
        <v/>
      </c>
      <c r="C107" s="59" t="str">
        <f aca="false">IF(名簿!$D107="","",名簿!$D107&amp;IF(名簿!$F107="転出","（転出）",""))</f>
        <v/>
      </c>
      <c r="D107" s="149"/>
      <c r="E107" s="61" t="str">
        <f aca="false">IF(OR($C107="",名簿!$F107="転出"),"",IF($C$2="学級ごと",$A107,IF($C$2="前の単元と同じ",単元16!$E107&amp;"",$D107&amp;"")))</f>
        <v/>
      </c>
      <c r="F107" s="150"/>
      <c r="G107" s="150"/>
      <c r="H107" s="150"/>
      <c r="I107" s="151"/>
      <c r="J107" s="41" t="str">
        <f aca="false">IF($E107="","",$E107&amp;"|"&amp;COUNTIF($E$5:$E107,$E107))</f>
        <v/>
      </c>
      <c r="K107" s="40" t="str">
        <f aca="false">IF($I107="","",LEN($I107))</f>
        <v/>
      </c>
      <c r="L107" s="13"/>
      <c r="M107" s="13"/>
      <c r="N107" s="13"/>
      <c r="O107" s="13"/>
      <c r="P107" s="152"/>
      <c r="Q107" s="149"/>
      <c r="R107" s="152"/>
      <c r="S107" s="152"/>
      <c r="T107" s="62" t="str">
        <f aca="false">IF(OR($C107="",R107=""),"",IF(R107/IF($R$2="",100,$R$2)&gt;=設定!$I$28,設定!$G$8,IF(R107/IF($R$2="",100,$R$2)&lt;設定!$I$29,設定!$G$10,設定!$G$9)))</f>
        <v/>
      </c>
      <c r="U107" s="62" t="str">
        <f aca="false">IF(OR($C107="",S107=""),"",IF(S107/IF($S$2="",100,$S$2)&gt;=設定!$I$28,設定!$G$8,IF(S107/IF($S$2="",100,$S$2)&lt;設定!$I$29,設定!$G$10,設定!$G$9)))</f>
        <v/>
      </c>
    </row>
    <row r="108" customFormat="false" ht="21" hidden="false" customHeight="true" outlineLevel="0" collapsed="false">
      <c r="A108" s="91" t="str">
        <f aca="false">IF(名簿!$D108="","",名簿!$B108&amp;"")</f>
        <v/>
      </c>
      <c r="B108" s="91" t="str">
        <f aca="false">IF(名簿!$D108="","",名簿!$C108)</f>
        <v/>
      </c>
      <c r="C108" s="59" t="str">
        <f aca="false">IF(名簿!$D108="","",名簿!$D108&amp;IF(名簿!$F108="転出","（転出）",""))</f>
        <v/>
      </c>
      <c r="D108" s="149"/>
      <c r="E108" s="61" t="str">
        <f aca="false">IF(OR($C108="",名簿!$F108="転出"),"",IF($C$2="学級ごと",$A108,IF($C$2="前の単元と同じ",単元16!$E108&amp;"",$D108&amp;"")))</f>
        <v/>
      </c>
      <c r="F108" s="150"/>
      <c r="G108" s="150"/>
      <c r="H108" s="150"/>
      <c r="I108" s="151"/>
      <c r="J108" s="41" t="str">
        <f aca="false">IF($E108="","",$E108&amp;"|"&amp;COUNTIF($E$5:$E108,$E108))</f>
        <v/>
      </c>
      <c r="K108" s="40" t="str">
        <f aca="false">IF($I108="","",LEN($I108))</f>
        <v/>
      </c>
      <c r="L108" s="13"/>
      <c r="M108" s="13"/>
      <c r="N108" s="13"/>
      <c r="O108" s="13"/>
      <c r="P108" s="152"/>
      <c r="Q108" s="149"/>
      <c r="R108" s="152"/>
      <c r="S108" s="152"/>
      <c r="T108" s="62" t="str">
        <f aca="false">IF(OR($C108="",R108=""),"",IF(R108/IF($R$2="",100,$R$2)&gt;=設定!$I$28,設定!$G$8,IF(R108/IF($R$2="",100,$R$2)&lt;設定!$I$29,設定!$G$10,設定!$G$9)))</f>
        <v/>
      </c>
      <c r="U108" s="62" t="str">
        <f aca="false">IF(OR($C108="",S108=""),"",IF(S108/IF($S$2="",100,$S$2)&gt;=設定!$I$28,設定!$G$8,IF(S108/IF($S$2="",100,$S$2)&lt;設定!$I$29,設定!$G$10,設定!$G$9)))</f>
        <v/>
      </c>
    </row>
    <row r="109" customFormat="false" ht="21" hidden="false" customHeight="true" outlineLevel="0" collapsed="false">
      <c r="A109" s="91" t="str">
        <f aca="false">IF(名簿!$D109="","",名簿!$B109&amp;"")</f>
        <v/>
      </c>
      <c r="B109" s="91" t="str">
        <f aca="false">IF(名簿!$D109="","",名簿!$C109)</f>
        <v/>
      </c>
      <c r="C109" s="59" t="str">
        <f aca="false">IF(名簿!$D109="","",名簿!$D109&amp;IF(名簿!$F109="転出","（転出）",""))</f>
        <v/>
      </c>
      <c r="D109" s="149"/>
      <c r="E109" s="61" t="str">
        <f aca="false">IF(OR($C109="",名簿!$F109="転出"),"",IF($C$2="学級ごと",$A109,IF($C$2="前の単元と同じ",単元16!$E109&amp;"",$D109&amp;"")))</f>
        <v/>
      </c>
      <c r="F109" s="150"/>
      <c r="G109" s="150"/>
      <c r="H109" s="150"/>
      <c r="I109" s="151"/>
      <c r="J109" s="41" t="str">
        <f aca="false">IF($E109="","",$E109&amp;"|"&amp;COUNTIF($E$5:$E109,$E109))</f>
        <v/>
      </c>
      <c r="K109" s="40" t="str">
        <f aca="false">IF($I109="","",LEN($I109))</f>
        <v/>
      </c>
      <c r="L109" s="13"/>
      <c r="M109" s="13"/>
      <c r="N109" s="13"/>
      <c r="O109" s="13"/>
      <c r="P109" s="152"/>
      <c r="Q109" s="149"/>
      <c r="R109" s="152"/>
      <c r="S109" s="152"/>
      <c r="T109" s="62" t="str">
        <f aca="false">IF(OR($C109="",R109=""),"",IF(R109/IF($R$2="",100,$R$2)&gt;=設定!$I$28,設定!$G$8,IF(R109/IF($R$2="",100,$R$2)&lt;設定!$I$29,設定!$G$10,設定!$G$9)))</f>
        <v/>
      </c>
      <c r="U109" s="62" t="str">
        <f aca="false">IF(OR($C109="",S109=""),"",IF(S109/IF($S$2="",100,$S$2)&gt;=設定!$I$28,設定!$G$8,IF(S109/IF($S$2="",100,$S$2)&lt;設定!$I$29,設定!$G$10,設定!$G$9)))</f>
        <v/>
      </c>
    </row>
    <row r="110" customFormat="false" ht="21" hidden="false" customHeight="true" outlineLevel="0" collapsed="false">
      <c r="A110" s="91" t="str">
        <f aca="false">IF(名簿!$D110="","",名簿!$B110&amp;"")</f>
        <v/>
      </c>
      <c r="B110" s="91" t="str">
        <f aca="false">IF(名簿!$D110="","",名簿!$C110)</f>
        <v/>
      </c>
      <c r="C110" s="59" t="str">
        <f aca="false">IF(名簿!$D110="","",名簿!$D110&amp;IF(名簿!$F110="転出","（転出）",""))</f>
        <v/>
      </c>
      <c r="D110" s="149"/>
      <c r="E110" s="61" t="str">
        <f aca="false">IF(OR($C110="",名簿!$F110="転出"),"",IF($C$2="学級ごと",$A110,IF($C$2="前の単元と同じ",単元16!$E110&amp;"",$D110&amp;"")))</f>
        <v/>
      </c>
      <c r="F110" s="150"/>
      <c r="G110" s="150"/>
      <c r="H110" s="150"/>
      <c r="I110" s="151"/>
      <c r="J110" s="41" t="str">
        <f aca="false">IF($E110="","",$E110&amp;"|"&amp;COUNTIF($E$5:$E110,$E110))</f>
        <v/>
      </c>
      <c r="K110" s="40" t="str">
        <f aca="false">IF($I110="","",LEN($I110))</f>
        <v/>
      </c>
      <c r="L110" s="13"/>
      <c r="M110" s="13"/>
      <c r="N110" s="13"/>
      <c r="O110" s="13"/>
      <c r="P110" s="152"/>
      <c r="Q110" s="149"/>
      <c r="R110" s="152"/>
      <c r="S110" s="152"/>
      <c r="T110" s="62" t="str">
        <f aca="false">IF(OR($C110="",R110=""),"",IF(R110/IF($R$2="",100,$R$2)&gt;=設定!$I$28,設定!$G$8,IF(R110/IF($R$2="",100,$R$2)&lt;設定!$I$29,設定!$G$10,設定!$G$9)))</f>
        <v/>
      </c>
      <c r="U110" s="62" t="str">
        <f aca="false">IF(OR($C110="",S110=""),"",IF(S110/IF($S$2="",100,$S$2)&gt;=設定!$I$28,設定!$G$8,IF(S110/IF($S$2="",100,$S$2)&lt;設定!$I$29,設定!$G$10,設定!$G$9)))</f>
        <v/>
      </c>
    </row>
    <row r="111" customFormat="false" ht="21" hidden="false" customHeight="true" outlineLevel="0" collapsed="false">
      <c r="A111" s="91" t="str">
        <f aca="false">IF(名簿!$D111="","",名簿!$B111&amp;"")</f>
        <v/>
      </c>
      <c r="B111" s="91" t="str">
        <f aca="false">IF(名簿!$D111="","",名簿!$C111)</f>
        <v/>
      </c>
      <c r="C111" s="59" t="str">
        <f aca="false">IF(名簿!$D111="","",名簿!$D111&amp;IF(名簿!$F111="転出","（転出）",""))</f>
        <v/>
      </c>
      <c r="D111" s="149"/>
      <c r="E111" s="61" t="str">
        <f aca="false">IF(OR($C111="",名簿!$F111="転出"),"",IF($C$2="学級ごと",$A111,IF($C$2="前の単元と同じ",単元16!$E111&amp;"",$D111&amp;"")))</f>
        <v/>
      </c>
      <c r="F111" s="150"/>
      <c r="G111" s="150"/>
      <c r="H111" s="150"/>
      <c r="I111" s="151"/>
      <c r="J111" s="41" t="str">
        <f aca="false">IF($E111="","",$E111&amp;"|"&amp;COUNTIF($E$5:$E111,$E111))</f>
        <v/>
      </c>
      <c r="K111" s="40" t="str">
        <f aca="false">IF($I111="","",LEN($I111))</f>
        <v/>
      </c>
      <c r="L111" s="13"/>
      <c r="M111" s="13"/>
      <c r="N111" s="13"/>
      <c r="O111" s="13"/>
      <c r="P111" s="152"/>
      <c r="Q111" s="149"/>
      <c r="R111" s="152"/>
      <c r="S111" s="152"/>
      <c r="T111" s="62" t="str">
        <f aca="false">IF(OR($C111="",R111=""),"",IF(R111/IF($R$2="",100,$R$2)&gt;=設定!$I$28,設定!$G$8,IF(R111/IF($R$2="",100,$R$2)&lt;設定!$I$29,設定!$G$10,設定!$G$9)))</f>
        <v/>
      </c>
      <c r="U111" s="62" t="str">
        <f aca="false">IF(OR($C111="",S111=""),"",IF(S111/IF($S$2="",100,$S$2)&gt;=設定!$I$28,設定!$G$8,IF(S111/IF($S$2="",100,$S$2)&lt;設定!$I$29,設定!$G$10,設定!$G$9)))</f>
        <v/>
      </c>
    </row>
    <row r="112" customFormat="false" ht="21" hidden="false" customHeight="true" outlineLevel="0" collapsed="false">
      <c r="A112" s="91" t="str">
        <f aca="false">IF(名簿!$D112="","",名簿!$B112&amp;"")</f>
        <v/>
      </c>
      <c r="B112" s="91" t="str">
        <f aca="false">IF(名簿!$D112="","",名簿!$C112)</f>
        <v/>
      </c>
      <c r="C112" s="59" t="str">
        <f aca="false">IF(名簿!$D112="","",名簿!$D112&amp;IF(名簿!$F112="転出","（転出）",""))</f>
        <v/>
      </c>
      <c r="D112" s="149"/>
      <c r="E112" s="61" t="str">
        <f aca="false">IF(OR($C112="",名簿!$F112="転出"),"",IF($C$2="学級ごと",$A112,IF($C$2="前の単元と同じ",単元16!$E112&amp;"",$D112&amp;"")))</f>
        <v/>
      </c>
      <c r="F112" s="150"/>
      <c r="G112" s="150"/>
      <c r="H112" s="150"/>
      <c r="I112" s="151"/>
      <c r="J112" s="41" t="str">
        <f aca="false">IF($E112="","",$E112&amp;"|"&amp;COUNTIF($E$5:$E112,$E112))</f>
        <v/>
      </c>
      <c r="K112" s="40" t="str">
        <f aca="false">IF($I112="","",LEN($I112))</f>
        <v/>
      </c>
      <c r="L112" s="13"/>
      <c r="M112" s="13"/>
      <c r="N112" s="13"/>
      <c r="O112" s="13"/>
      <c r="P112" s="152"/>
      <c r="Q112" s="149"/>
      <c r="R112" s="152"/>
      <c r="S112" s="152"/>
      <c r="T112" s="62" t="str">
        <f aca="false">IF(OR($C112="",R112=""),"",IF(R112/IF($R$2="",100,$R$2)&gt;=設定!$I$28,設定!$G$8,IF(R112/IF($R$2="",100,$R$2)&lt;設定!$I$29,設定!$G$10,設定!$G$9)))</f>
        <v/>
      </c>
      <c r="U112" s="62" t="str">
        <f aca="false">IF(OR($C112="",S112=""),"",IF(S112/IF($S$2="",100,$S$2)&gt;=設定!$I$28,設定!$G$8,IF(S112/IF($S$2="",100,$S$2)&lt;設定!$I$29,設定!$G$10,設定!$G$9)))</f>
        <v/>
      </c>
    </row>
    <row r="113" customFormat="false" ht="21" hidden="false" customHeight="true" outlineLevel="0" collapsed="false">
      <c r="A113" s="91" t="str">
        <f aca="false">IF(名簿!$D113="","",名簿!$B113&amp;"")</f>
        <v/>
      </c>
      <c r="B113" s="91" t="str">
        <f aca="false">IF(名簿!$D113="","",名簿!$C113)</f>
        <v/>
      </c>
      <c r="C113" s="59" t="str">
        <f aca="false">IF(名簿!$D113="","",名簿!$D113&amp;IF(名簿!$F113="転出","（転出）",""))</f>
        <v/>
      </c>
      <c r="D113" s="149"/>
      <c r="E113" s="61" t="str">
        <f aca="false">IF(OR($C113="",名簿!$F113="転出"),"",IF($C$2="学級ごと",$A113,IF($C$2="前の単元と同じ",単元16!$E113&amp;"",$D113&amp;"")))</f>
        <v/>
      </c>
      <c r="F113" s="150"/>
      <c r="G113" s="150"/>
      <c r="H113" s="150"/>
      <c r="I113" s="151"/>
      <c r="J113" s="41" t="str">
        <f aca="false">IF($E113="","",$E113&amp;"|"&amp;COUNTIF($E$5:$E113,$E113))</f>
        <v/>
      </c>
      <c r="K113" s="40" t="str">
        <f aca="false">IF($I113="","",LEN($I113))</f>
        <v/>
      </c>
      <c r="L113" s="13"/>
      <c r="M113" s="13"/>
      <c r="N113" s="13"/>
      <c r="O113" s="13"/>
      <c r="P113" s="152"/>
      <c r="Q113" s="149"/>
      <c r="R113" s="152"/>
      <c r="S113" s="152"/>
      <c r="T113" s="62" t="str">
        <f aca="false">IF(OR($C113="",R113=""),"",IF(R113/IF($R$2="",100,$R$2)&gt;=設定!$I$28,設定!$G$8,IF(R113/IF($R$2="",100,$R$2)&lt;設定!$I$29,設定!$G$10,設定!$G$9)))</f>
        <v/>
      </c>
      <c r="U113" s="62" t="str">
        <f aca="false">IF(OR($C113="",S113=""),"",IF(S113/IF($S$2="",100,$S$2)&gt;=設定!$I$28,設定!$G$8,IF(S113/IF($S$2="",100,$S$2)&lt;設定!$I$29,設定!$G$10,設定!$G$9)))</f>
        <v/>
      </c>
    </row>
    <row r="114" customFormat="false" ht="21" hidden="false" customHeight="true" outlineLevel="0" collapsed="false">
      <c r="A114" s="91" t="str">
        <f aca="false">IF(名簿!$D114="","",名簿!$B114&amp;"")</f>
        <v/>
      </c>
      <c r="B114" s="91" t="str">
        <f aca="false">IF(名簿!$D114="","",名簿!$C114)</f>
        <v/>
      </c>
      <c r="C114" s="59" t="str">
        <f aca="false">IF(名簿!$D114="","",名簿!$D114&amp;IF(名簿!$F114="転出","（転出）",""))</f>
        <v/>
      </c>
      <c r="D114" s="149"/>
      <c r="E114" s="61" t="str">
        <f aca="false">IF(OR($C114="",名簿!$F114="転出"),"",IF($C$2="学級ごと",$A114,IF($C$2="前の単元と同じ",単元16!$E114&amp;"",$D114&amp;"")))</f>
        <v/>
      </c>
      <c r="F114" s="150"/>
      <c r="G114" s="150"/>
      <c r="H114" s="150"/>
      <c r="I114" s="151"/>
      <c r="J114" s="41" t="str">
        <f aca="false">IF($E114="","",$E114&amp;"|"&amp;COUNTIF($E$5:$E114,$E114))</f>
        <v/>
      </c>
      <c r="K114" s="40" t="str">
        <f aca="false">IF($I114="","",LEN($I114))</f>
        <v/>
      </c>
      <c r="L114" s="13"/>
      <c r="M114" s="13"/>
      <c r="N114" s="13"/>
      <c r="O114" s="13"/>
      <c r="P114" s="152"/>
      <c r="Q114" s="149"/>
      <c r="R114" s="152"/>
      <c r="S114" s="152"/>
      <c r="T114" s="62" t="str">
        <f aca="false">IF(OR($C114="",R114=""),"",IF(R114/IF($R$2="",100,$R$2)&gt;=設定!$I$28,設定!$G$8,IF(R114/IF($R$2="",100,$R$2)&lt;設定!$I$29,設定!$G$10,設定!$G$9)))</f>
        <v/>
      </c>
      <c r="U114" s="62" t="str">
        <f aca="false">IF(OR($C114="",S114=""),"",IF(S114/IF($S$2="",100,$S$2)&gt;=設定!$I$28,設定!$G$8,IF(S114/IF($S$2="",100,$S$2)&lt;設定!$I$29,設定!$G$10,設定!$G$9)))</f>
        <v/>
      </c>
    </row>
    <row r="115" customFormat="false" ht="21" hidden="false" customHeight="true" outlineLevel="0" collapsed="false">
      <c r="A115" s="91" t="str">
        <f aca="false">IF(名簿!$D115="","",名簿!$B115&amp;"")</f>
        <v/>
      </c>
      <c r="B115" s="91" t="str">
        <f aca="false">IF(名簿!$D115="","",名簿!$C115)</f>
        <v/>
      </c>
      <c r="C115" s="59" t="str">
        <f aca="false">IF(名簿!$D115="","",名簿!$D115&amp;IF(名簿!$F115="転出","（転出）",""))</f>
        <v/>
      </c>
      <c r="D115" s="149"/>
      <c r="E115" s="61" t="str">
        <f aca="false">IF(OR($C115="",名簿!$F115="転出"),"",IF($C$2="学級ごと",$A115,IF($C$2="前の単元と同じ",単元16!$E115&amp;"",$D115&amp;"")))</f>
        <v/>
      </c>
      <c r="F115" s="150"/>
      <c r="G115" s="150"/>
      <c r="H115" s="150"/>
      <c r="I115" s="151"/>
      <c r="J115" s="41" t="str">
        <f aca="false">IF($E115="","",$E115&amp;"|"&amp;COUNTIF($E$5:$E115,$E115))</f>
        <v/>
      </c>
      <c r="K115" s="40" t="str">
        <f aca="false">IF($I115="","",LEN($I115))</f>
        <v/>
      </c>
      <c r="L115" s="13"/>
      <c r="M115" s="13"/>
      <c r="N115" s="13"/>
      <c r="O115" s="13"/>
      <c r="P115" s="152"/>
      <c r="Q115" s="149"/>
      <c r="R115" s="152"/>
      <c r="S115" s="152"/>
      <c r="T115" s="62" t="str">
        <f aca="false">IF(OR($C115="",R115=""),"",IF(R115/IF($R$2="",100,$R$2)&gt;=設定!$I$28,設定!$G$8,IF(R115/IF($R$2="",100,$R$2)&lt;設定!$I$29,設定!$G$10,設定!$G$9)))</f>
        <v/>
      </c>
      <c r="U115" s="62" t="str">
        <f aca="false">IF(OR($C115="",S115=""),"",IF(S115/IF($S$2="",100,$S$2)&gt;=設定!$I$28,設定!$G$8,IF(S115/IF($S$2="",100,$S$2)&lt;設定!$I$29,設定!$G$10,設定!$G$9)))</f>
        <v/>
      </c>
    </row>
    <row r="116" customFormat="false" ht="21" hidden="false" customHeight="true" outlineLevel="0" collapsed="false">
      <c r="A116" s="91" t="str">
        <f aca="false">IF(名簿!$D116="","",名簿!$B116&amp;"")</f>
        <v/>
      </c>
      <c r="B116" s="91" t="str">
        <f aca="false">IF(名簿!$D116="","",名簿!$C116)</f>
        <v/>
      </c>
      <c r="C116" s="59" t="str">
        <f aca="false">IF(名簿!$D116="","",名簿!$D116&amp;IF(名簿!$F116="転出","（転出）",""))</f>
        <v/>
      </c>
      <c r="D116" s="149"/>
      <c r="E116" s="61" t="str">
        <f aca="false">IF(OR($C116="",名簿!$F116="転出"),"",IF($C$2="学級ごと",$A116,IF($C$2="前の単元と同じ",単元16!$E116&amp;"",$D116&amp;"")))</f>
        <v/>
      </c>
      <c r="F116" s="150"/>
      <c r="G116" s="150"/>
      <c r="H116" s="150"/>
      <c r="I116" s="151"/>
      <c r="J116" s="41" t="str">
        <f aca="false">IF($E116="","",$E116&amp;"|"&amp;COUNTIF($E$5:$E116,$E116))</f>
        <v/>
      </c>
      <c r="K116" s="40" t="str">
        <f aca="false">IF($I116="","",LEN($I116))</f>
        <v/>
      </c>
      <c r="L116" s="13"/>
      <c r="M116" s="13"/>
      <c r="N116" s="13"/>
      <c r="O116" s="13"/>
      <c r="P116" s="152"/>
      <c r="Q116" s="149"/>
      <c r="R116" s="152"/>
      <c r="S116" s="152"/>
      <c r="T116" s="62" t="str">
        <f aca="false">IF(OR($C116="",R116=""),"",IF(R116/IF($R$2="",100,$R$2)&gt;=設定!$I$28,設定!$G$8,IF(R116/IF($R$2="",100,$R$2)&lt;設定!$I$29,設定!$G$10,設定!$G$9)))</f>
        <v/>
      </c>
      <c r="U116" s="62" t="str">
        <f aca="false">IF(OR($C116="",S116=""),"",IF(S116/IF($S$2="",100,$S$2)&gt;=設定!$I$28,設定!$G$8,IF(S116/IF($S$2="",100,$S$2)&lt;設定!$I$29,設定!$G$10,設定!$G$9)))</f>
        <v/>
      </c>
    </row>
    <row r="117" customFormat="false" ht="21" hidden="false" customHeight="true" outlineLevel="0" collapsed="false">
      <c r="A117" s="91" t="str">
        <f aca="false">IF(名簿!$D117="","",名簿!$B117&amp;"")</f>
        <v/>
      </c>
      <c r="B117" s="91" t="str">
        <f aca="false">IF(名簿!$D117="","",名簿!$C117)</f>
        <v/>
      </c>
      <c r="C117" s="59" t="str">
        <f aca="false">IF(名簿!$D117="","",名簿!$D117&amp;IF(名簿!$F117="転出","（転出）",""))</f>
        <v/>
      </c>
      <c r="D117" s="149"/>
      <c r="E117" s="61" t="str">
        <f aca="false">IF(OR($C117="",名簿!$F117="転出"),"",IF($C$2="学級ごと",$A117,IF($C$2="前の単元と同じ",単元16!$E117&amp;"",$D117&amp;"")))</f>
        <v/>
      </c>
      <c r="F117" s="150"/>
      <c r="G117" s="150"/>
      <c r="H117" s="150"/>
      <c r="I117" s="151"/>
      <c r="J117" s="41" t="str">
        <f aca="false">IF($E117="","",$E117&amp;"|"&amp;COUNTIF($E$5:$E117,$E117))</f>
        <v/>
      </c>
      <c r="K117" s="40" t="str">
        <f aca="false">IF($I117="","",LEN($I117))</f>
        <v/>
      </c>
      <c r="L117" s="13"/>
      <c r="M117" s="13"/>
      <c r="N117" s="13"/>
      <c r="O117" s="13"/>
      <c r="P117" s="152"/>
      <c r="Q117" s="149"/>
      <c r="R117" s="152"/>
      <c r="S117" s="152"/>
      <c r="T117" s="62" t="str">
        <f aca="false">IF(OR($C117="",R117=""),"",IF(R117/IF($R$2="",100,$R$2)&gt;=設定!$I$28,設定!$G$8,IF(R117/IF($R$2="",100,$R$2)&lt;設定!$I$29,設定!$G$10,設定!$G$9)))</f>
        <v/>
      </c>
      <c r="U117" s="62" t="str">
        <f aca="false">IF(OR($C117="",S117=""),"",IF(S117/IF($S$2="",100,$S$2)&gt;=設定!$I$28,設定!$G$8,IF(S117/IF($S$2="",100,$S$2)&lt;設定!$I$29,設定!$G$10,設定!$G$9)))</f>
        <v/>
      </c>
    </row>
    <row r="118" customFormat="false" ht="21" hidden="false" customHeight="true" outlineLevel="0" collapsed="false">
      <c r="A118" s="91" t="str">
        <f aca="false">IF(名簿!$D118="","",名簿!$B118&amp;"")</f>
        <v/>
      </c>
      <c r="B118" s="91" t="str">
        <f aca="false">IF(名簿!$D118="","",名簿!$C118)</f>
        <v/>
      </c>
      <c r="C118" s="59" t="str">
        <f aca="false">IF(名簿!$D118="","",名簿!$D118&amp;IF(名簿!$F118="転出","（転出）",""))</f>
        <v/>
      </c>
      <c r="D118" s="149"/>
      <c r="E118" s="61" t="str">
        <f aca="false">IF(OR($C118="",名簿!$F118="転出"),"",IF($C$2="学級ごと",$A118,IF($C$2="前の単元と同じ",単元16!$E118&amp;"",$D118&amp;"")))</f>
        <v/>
      </c>
      <c r="F118" s="150"/>
      <c r="G118" s="150"/>
      <c r="H118" s="150"/>
      <c r="I118" s="151"/>
      <c r="J118" s="41" t="str">
        <f aca="false">IF($E118="","",$E118&amp;"|"&amp;COUNTIF($E$5:$E118,$E118))</f>
        <v/>
      </c>
      <c r="K118" s="40" t="str">
        <f aca="false">IF($I118="","",LEN($I118))</f>
        <v/>
      </c>
      <c r="L118" s="13"/>
      <c r="M118" s="13"/>
      <c r="N118" s="13"/>
      <c r="O118" s="13"/>
      <c r="P118" s="152"/>
      <c r="Q118" s="149"/>
      <c r="R118" s="152"/>
      <c r="S118" s="152"/>
      <c r="T118" s="62" t="str">
        <f aca="false">IF(OR($C118="",R118=""),"",IF(R118/IF($R$2="",100,$R$2)&gt;=設定!$I$28,設定!$G$8,IF(R118/IF($R$2="",100,$R$2)&lt;設定!$I$29,設定!$G$10,設定!$G$9)))</f>
        <v/>
      </c>
      <c r="U118" s="62" t="str">
        <f aca="false">IF(OR($C118="",S118=""),"",IF(S118/IF($S$2="",100,$S$2)&gt;=設定!$I$28,設定!$G$8,IF(S118/IF($S$2="",100,$S$2)&lt;設定!$I$29,設定!$G$10,設定!$G$9)))</f>
        <v/>
      </c>
    </row>
    <row r="119" customFormat="false" ht="21" hidden="false" customHeight="true" outlineLevel="0" collapsed="false">
      <c r="A119" s="91" t="str">
        <f aca="false">IF(名簿!$D119="","",名簿!$B119&amp;"")</f>
        <v/>
      </c>
      <c r="B119" s="91" t="str">
        <f aca="false">IF(名簿!$D119="","",名簿!$C119)</f>
        <v/>
      </c>
      <c r="C119" s="59" t="str">
        <f aca="false">IF(名簿!$D119="","",名簿!$D119&amp;IF(名簿!$F119="転出","（転出）",""))</f>
        <v/>
      </c>
      <c r="D119" s="149"/>
      <c r="E119" s="61" t="str">
        <f aca="false">IF(OR($C119="",名簿!$F119="転出"),"",IF($C$2="学級ごと",$A119,IF($C$2="前の単元と同じ",単元16!$E119&amp;"",$D119&amp;"")))</f>
        <v/>
      </c>
      <c r="F119" s="150"/>
      <c r="G119" s="150"/>
      <c r="H119" s="150"/>
      <c r="I119" s="151"/>
      <c r="J119" s="41" t="str">
        <f aca="false">IF($E119="","",$E119&amp;"|"&amp;COUNTIF($E$5:$E119,$E119))</f>
        <v/>
      </c>
      <c r="K119" s="40" t="str">
        <f aca="false">IF($I119="","",LEN($I119))</f>
        <v/>
      </c>
      <c r="L119" s="13"/>
      <c r="M119" s="13"/>
      <c r="N119" s="13"/>
      <c r="O119" s="13"/>
      <c r="P119" s="152"/>
      <c r="Q119" s="149"/>
      <c r="R119" s="152"/>
      <c r="S119" s="152"/>
      <c r="T119" s="62" t="str">
        <f aca="false">IF(OR($C119="",R119=""),"",IF(R119/IF($R$2="",100,$R$2)&gt;=設定!$I$28,設定!$G$8,IF(R119/IF($R$2="",100,$R$2)&lt;設定!$I$29,設定!$G$10,設定!$G$9)))</f>
        <v/>
      </c>
      <c r="U119" s="62" t="str">
        <f aca="false">IF(OR($C119="",S119=""),"",IF(S119/IF($S$2="",100,$S$2)&gt;=設定!$I$28,設定!$G$8,IF(S119/IF($S$2="",100,$S$2)&lt;設定!$I$29,設定!$G$10,設定!$G$9)))</f>
        <v/>
      </c>
    </row>
    <row r="120" customFormat="false" ht="21" hidden="false" customHeight="true" outlineLevel="0" collapsed="false">
      <c r="A120" s="91" t="str">
        <f aca="false">IF(名簿!$D120="","",名簿!$B120&amp;"")</f>
        <v/>
      </c>
      <c r="B120" s="91" t="str">
        <f aca="false">IF(名簿!$D120="","",名簿!$C120)</f>
        <v/>
      </c>
      <c r="C120" s="59" t="str">
        <f aca="false">IF(名簿!$D120="","",名簿!$D120&amp;IF(名簿!$F120="転出","（転出）",""))</f>
        <v/>
      </c>
      <c r="D120" s="149"/>
      <c r="E120" s="61" t="str">
        <f aca="false">IF(OR($C120="",名簿!$F120="転出"),"",IF($C$2="学級ごと",$A120,IF($C$2="前の単元と同じ",単元16!$E120&amp;"",$D120&amp;"")))</f>
        <v/>
      </c>
      <c r="F120" s="150"/>
      <c r="G120" s="150"/>
      <c r="H120" s="150"/>
      <c r="I120" s="151"/>
      <c r="J120" s="41" t="str">
        <f aca="false">IF($E120="","",$E120&amp;"|"&amp;COUNTIF($E$5:$E120,$E120))</f>
        <v/>
      </c>
      <c r="K120" s="40" t="str">
        <f aca="false">IF($I120="","",LEN($I120))</f>
        <v/>
      </c>
      <c r="L120" s="13"/>
      <c r="M120" s="13"/>
      <c r="N120" s="13"/>
      <c r="O120" s="13"/>
      <c r="P120" s="152"/>
      <c r="Q120" s="149"/>
      <c r="R120" s="152"/>
      <c r="S120" s="152"/>
      <c r="T120" s="62" t="str">
        <f aca="false">IF(OR($C120="",R120=""),"",IF(R120/IF($R$2="",100,$R$2)&gt;=設定!$I$28,設定!$G$8,IF(R120/IF($R$2="",100,$R$2)&lt;設定!$I$29,設定!$G$10,設定!$G$9)))</f>
        <v/>
      </c>
      <c r="U120" s="62" t="str">
        <f aca="false">IF(OR($C120="",S120=""),"",IF(S120/IF($S$2="",100,$S$2)&gt;=設定!$I$28,設定!$G$8,IF(S120/IF($S$2="",100,$S$2)&lt;設定!$I$29,設定!$G$10,設定!$G$9)))</f>
        <v/>
      </c>
    </row>
    <row r="121" customFormat="false" ht="21" hidden="false" customHeight="true" outlineLevel="0" collapsed="false">
      <c r="A121" s="91" t="str">
        <f aca="false">IF(名簿!$D121="","",名簿!$B121&amp;"")</f>
        <v/>
      </c>
      <c r="B121" s="91" t="str">
        <f aca="false">IF(名簿!$D121="","",名簿!$C121)</f>
        <v/>
      </c>
      <c r="C121" s="59" t="str">
        <f aca="false">IF(名簿!$D121="","",名簿!$D121&amp;IF(名簿!$F121="転出","（転出）",""))</f>
        <v/>
      </c>
      <c r="D121" s="149"/>
      <c r="E121" s="61" t="str">
        <f aca="false">IF(OR($C121="",名簿!$F121="転出"),"",IF($C$2="学級ごと",$A121,IF($C$2="前の単元と同じ",単元16!$E121&amp;"",$D121&amp;"")))</f>
        <v/>
      </c>
      <c r="F121" s="150"/>
      <c r="G121" s="150"/>
      <c r="H121" s="150"/>
      <c r="I121" s="151"/>
      <c r="J121" s="41" t="str">
        <f aca="false">IF($E121="","",$E121&amp;"|"&amp;COUNTIF($E$5:$E121,$E121))</f>
        <v/>
      </c>
      <c r="K121" s="40" t="str">
        <f aca="false">IF($I121="","",LEN($I121))</f>
        <v/>
      </c>
      <c r="L121" s="13"/>
      <c r="M121" s="13"/>
      <c r="N121" s="13"/>
      <c r="O121" s="13"/>
      <c r="P121" s="152"/>
      <c r="Q121" s="149"/>
      <c r="R121" s="152"/>
      <c r="S121" s="152"/>
      <c r="T121" s="62" t="str">
        <f aca="false">IF(OR($C121="",R121=""),"",IF(R121/IF($R$2="",100,$R$2)&gt;=設定!$I$28,設定!$G$8,IF(R121/IF($R$2="",100,$R$2)&lt;設定!$I$29,設定!$G$10,設定!$G$9)))</f>
        <v/>
      </c>
      <c r="U121" s="62" t="str">
        <f aca="false">IF(OR($C121="",S121=""),"",IF(S121/IF($S$2="",100,$S$2)&gt;=設定!$I$28,設定!$G$8,IF(S121/IF($S$2="",100,$S$2)&lt;設定!$I$29,設定!$G$10,設定!$G$9)))</f>
        <v/>
      </c>
    </row>
    <row r="122" customFormat="false" ht="21" hidden="false" customHeight="true" outlineLevel="0" collapsed="false">
      <c r="A122" s="91" t="str">
        <f aca="false">IF(名簿!$D122="","",名簿!$B122&amp;"")</f>
        <v/>
      </c>
      <c r="B122" s="91" t="str">
        <f aca="false">IF(名簿!$D122="","",名簿!$C122)</f>
        <v/>
      </c>
      <c r="C122" s="59" t="str">
        <f aca="false">IF(名簿!$D122="","",名簿!$D122&amp;IF(名簿!$F122="転出","（転出）",""))</f>
        <v/>
      </c>
      <c r="D122" s="149"/>
      <c r="E122" s="61" t="str">
        <f aca="false">IF(OR($C122="",名簿!$F122="転出"),"",IF($C$2="学級ごと",$A122,IF($C$2="前の単元と同じ",単元16!$E122&amp;"",$D122&amp;"")))</f>
        <v/>
      </c>
      <c r="F122" s="150"/>
      <c r="G122" s="150"/>
      <c r="H122" s="150"/>
      <c r="I122" s="151"/>
      <c r="J122" s="41" t="str">
        <f aca="false">IF($E122="","",$E122&amp;"|"&amp;COUNTIF($E$5:$E122,$E122))</f>
        <v/>
      </c>
      <c r="K122" s="40" t="str">
        <f aca="false">IF($I122="","",LEN($I122))</f>
        <v/>
      </c>
      <c r="L122" s="13"/>
      <c r="M122" s="13"/>
      <c r="N122" s="13"/>
      <c r="O122" s="13"/>
      <c r="P122" s="152"/>
      <c r="Q122" s="149"/>
      <c r="R122" s="152"/>
      <c r="S122" s="152"/>
      <c r="T122" s="62" t="str">
        <f aca="false">IF(OR($C122="",R122=""),"",IF(R122/IF($R$2="",100,$R$2)&gt;=設定!$I$28,設定!$G$8,IF(R122/IF($R$2="",100,$R$2)&lt;設定!$I$29,設定!$G$10,設定!$G$9)))</f>
        <v/>
      </c>
      <c r="U122" s="62" t="str">
        <f aca="false">IF(OR($C122="",S122=""),"",IF(S122/IF($S$2="",100,$S$2)&gt;=設定!$I$28,設定!$G$8,IF(S122/IF($S$2="",100,$S$2)&lt;設定!$I$29,設定!$G$10,設定!$G$9)))</f>
        <v/>
      </c>
    </row>
    <row r="123" customFormat="false" ht="21" hidden="false" customHeight="true" outlineLevel="0" collapsed="false">
      <c r="A123" s="91" t="str">
        <f aca="false">IF(名簿!$D123="","",名簿!$B123&amp;"")</f>
        <v/>
      </c>
      <c r="B123" s="91" t="str">
        <f aca="false">IF(名簿!$D123="","",名簿!$C123)</f>
        <v/>
      </c>
      <c r="C123" s="59" t="str">
        <f aca="false">IF(名簿!$D123="","",名簿!$D123&amp;IF(名簿!$F123="転出","（転出）",""))</f>
        <v/>
      </c>
      <c r="D123" s="149"/>
      <c r="E123" s="61" t="str">
        <f aca="false">IF(OR($C123="",名簿!$F123="転出"),"",IF($C$2="学級ごと",$A123,IF($C$2="前の単元と同じ",単元16!$E123&amp;"",$D123&amp;"")))</f>
        <v/>
      </c>
      <c r="F123" s="150"/>
      <c r="G123" s="150"/>
      <c r="H123" s="150"/>
      <c r="I123" s="151"/>
      <c r="J123" s="41" t="str">
        <f aca="false">IF($E123="","",$E123&amp;"|"&amp;COUNTIF($E$5:$E123,$E123))</f>
        <v/>
      </c>
      <c r="K123" s="40" t="str">
        <f aca="false">IF($I123="","",LEN($I123))</f>
        <v/>
      </c>
      <c r="L123" s="13"/>
      <c r="M123" s="13"/>
      <c r="N123" s="13"/>
      <c r="O123" s="13"/>
      <c r="P123" s="152"/>
      <c r="Q123" s="149"/>
      <c r="R123" s="152"/>
      <c r="S123" s="152"/>
      <c r="T123" s="62" t="str">
        <f aca="false">IF(OR($C123="",R123=""),"",IF(R123/IF($R$2="",100,$R$2)&gt;=設定!$I$28,設定!$G$8,IF(R123/IF($R$2="",100,$R$2)&lt;設定!$I$29,設定!$G$10,設定!$G$9)))</f>
        <v/>
      </c>
      <c r="U123" s="62" t="str">
        <f aca="false">IF(OR($C123="",S123=""),"",IF(S123/IF($S$2="",100,$S$2)&gt;=設定!$I$28,設定!$G$8,IF(S123/IF($S$2="",100,$S$2)&lt;設定!$I$29,設定!$G$10,設定!$G$9)))</f>
        <v/>
      </c>
    </row>
    <row r="124" customFormat="false" ht="21" hidden="false" customHeight="true" outlineLevel="0" collapsed="false">
      <c r="A124" s="91" t="str">
        <f aca="false">IF(名簿!$D124="","",名簿!$B124&amp;"")</f>
        <v/>
      </c>
      <c r="B124" s="91" t="str">
        <f aca="false">IF(名簿!$D124="","",名簿!$C124)</f>
        <v/>
      </c>
      <c r="C124" s="59" t="str">
        <f aca="false">IF(名簿!$D124="","",名簿!$D124&amp;IF(名簿!$F124="転出","（転出）",""))</f>
        <v/>
      </c>
      <c r="D124" s="149"/>
      <c r="E124" s="61" t="str">
        <f aca="false">IF(OR($C124="",名簿!$F124="転出"),"",IF($C$2="学級ごと",$A124,IF($C$2="前の単元と同じ",単元16!$E124&amp;"",$D124&amp;"")))</f>
        <v/>
      </c>
      <c r="F124" s="150"/>
      <c r="G124" s="150"/>
      <c r="H124" s="150"/>
      <c r="I124" s="151"/>
      <c r="J124" s="41" t="str">
        <f aca="false">IF($E124="","",$E124&amp;"|"&amp;COUNTIF($E$5:$E124,$E124))</f>
        <v/>
      </c>
      <c r="K124" s="40" t="str">
        <f aca="false">IF($I124="","",LEN($I124))</f>
        <v/>
      </c>
      <c r="L124" s="13"/>
      <c r="M124" s="13"/>
      <c r="N124" s="13"/>
      <c r="O124" s="13"/>
      <c r="P124" s="152"/>
      <c r="Q124" s="149"/>
      <c r="R124" s="152"/>
      <c r="S124" s="152"/>
      <c r="T124" s="62" t="str">
        <f aca="false">IF(OR($C124="",R124=""),"",IF(R124/IF($R$2="",100,$R$2)&gt;=設定!$I$28,設定!$G$8,IF(R124/IF($R$2="",100,$R$2)&lt;設定!$I$29,設定!$G$10,設定!$G$9)))</f>
        <v/>
      </c>
      <c r="U124" s="62" t="str">
        <f aca="false">IF(OR($C124="",S124=""),"",IF(S124/IF($S$2="",100,$S$2)&gt;=設定!$I$28,設定!$G$8,IF(S124/IF($S$2="",100,$S$2)&lt;設定!$I$29,設定!$G$10,設定!$G$9)))</f>
        <v/>
      </c>
    </row>
    <row r="125" customFormat="false" ht="21" hidden="false" customHeight="true" outlineLevel="0" collapsed="false">
      <c r="A125" s="91" t="str">
        <f aca="false">IF(名簿!$D125="","",名簿!$B125&amp;"")</f>
        <v/>
      </c>
      <c r="B125" s="91" t="str">
        <f aca="false">IF(名簿!$D125="","",名簿!$C125)</f>
        <v/>
      </c>
      <c r="C125" s="59" t="str">
        <f aca="false">IF(名簿!$D125="","",名簿!$D125&amp;IF(名簿!$F125="転出","（転出）",""))</f>
        <v/>
      </c>
      <c r="D125" s="149"/>
      <c r="E125" s="61" t="str">
        <f aca="false">IF(OR($C125="",名簿!$F125="転出"),"",IF($C$2="学級ごと",$A125,IF($C$2="前の単元と同じ",単元16!$E125&amp;"",$D125&amp;"")))</f>
        <v/>
      </c>
      <c r="F125" s="150"/>
      <c r="G125" s="150"/>
      <c r="H125" s="150"/>
      <c r="I125" s="151"/>
      <c r="J125" s="41" t="str">
        <f aca="false">IF($E125="","",$E125&amp;"|"&amp;COUNTIF($E$5:$E125,$E125))</f>
        <v/>
      </c>
      <c r="K125" s="40" t="str">
        <f aca="false">IF($I125="","",LEN($I125))</f>
        <v/>
      </c>
      <c r="L125" s="13"/>
      <c r="M125" s="13"/>
      <c r="N125" s="13"/>
      <c r="O125" s="13"/>
      <c r="P125" s="152"/>
      <c r="Q125" s="149"/>
      <c r="R125" s="152"/>
      <c r="S125" s="152"/>
      <c r="T125" s="62" t="str">
        <f aca="false">IF(OR($C125="",R125=""),"",IF(R125/IF($R$2="",100,$R$2)&gt;=設定!$I$28,設定!$G$8,IF(R125/IF($R$2="",100,$R$2)&lt;設定!$I$29,設定!$G$10,設定!$G$9)))</f>
        <v/>
      </c>
      <c r="U125" s="62" t="str">
        <f aca="false">IF(OR($C125="",S125=""),"",IF(S125/IF($S$2="",100,$S$2)&gt;=設定!$I$28,設定!$G$8,IF(S125/IF($S$2="",100,$S$2)&lt;設定!$I$29,設定!$G$10,設定!$G$9)))</f>
        <v/>
      </c>
    </row>
    <row r="126" customFormat="false" ht="21" hidden="false" customHeight="true" outlineLevel="0" collapsed="false">
      <c r="A126" s="91" t="str">
        <f aca="false">IF(名簿!$D126="","",名簿!$B126&amp;"")</f>
        <v/>
      </c>
      <c r="B126" s="91" t="str">
        <f aca="false">IF(名簿!$D126="","",名簿!$C126)</f>
        <v/>
      </c>
      <c r="C126" s="59" t="str">
        <f aca="false">IF(名簿!$D126="","",名簿!$D126&amp;IF(名簿!$F126="転出","（転出）",""))</f>
        <v/>
      </c>
      <c r="D126" s="149"/>
      <c r="E126" s="61" t="str">
        <f aca="false">IF(OR($C126="",名簿!$F126="転出"),"",IF($C$2="学級ごと",$A126,IF($C$2="前の単元と同じ",単元16!$E126&amp;"",$D126&amp;"")))</f>
        <v/>
      </c>
      <c r="F126" s="150"/>
      <c r="G126" s="150"/>
      <c r="H126" s="150"/>
      <c r="I126" s="151"/>
      <c r="J126" s="41" t="str">
        <f aca="false">IF($E126="","",$E126&amp;"|"&amp;COUNTIF($E$5:$E126,$E126))</f>
        <v/>
      </c>
      <c r="K126" s="40" t="str">
        <f aca="false">IF($I126="","",LEN($I126))</f>
        <v/>
      </c>
      <c r="L126" s="13"/>
      <c r="M126" s="13"/>
      <c r="N126" s="13"/>
      <c r="O126" s="13"/>
      <c r="P126" s="152"/>
      <c r="Q126" s="149"/>
      <c r="R126" s="152"/>
      <c r="S126" s="152"/>
      <c r="T126" s="62" t="str">
        <f aca="false">IF(OR($C126="",R126=""),"",IF(R126/IF($R$2="",100,$R$2)&gt;=設定!$I$28,設定!$G$8,IF(R126/IF($R$2="",100,$R$2)&lt;設定!$I$29,設定!$G$10,設定!$G$9)))</f>
        <v/>
      </c>
      <c r="U126" s="62" t="str">
        <f aca="false">IF(OR($C126="",S126=""),"",IF(S126/IF($S$2="",100,$S$2)&gt;=設定!$I$28,設定!$G$8,IF(S126/IF($S$2="",100,$S$2)&lt;設定!$I$29,設定!$G$10,設定!$G$9)))</f>
        <v/>
      </c>
    </row>
    <row r="127" customFormat="false" ht="21" hidden="false" customHeight="true" outlineLevel="0" collapsed="false">
      <c r="A127" s="91" t="str">
        <f aca="false">IF(名簿!$D127="","",名簿!$B127&amp;"")</f>
        <v/>
      </c>
      <c r="B127" s="91" t="str">
        <f aca="false">IF(名簿!$D127="","",名簿!$C127)</f>
        <v/>
      </c>
      <c r="C127" s="59" t="str">
        <f aca="false">IF(名簿!$D127="","",名簿!$D127&amp;IF(名簿!$F127="転出","（転出）",""))</f>
        <v/>
      </c>
      <c r="D127" s="149"/>
      <c r="E127" s="61" t="str">
        <f aca="false">IF(OR($C127="",名簿!$F127="転出"),"",IF($C$2="学級ごと",$A127,IF($C$2="前の単元と同じ",単元16!$E127&amp;"",$D127&amp;"")))</f>
        <v/>
      </c>
      <c r="F127" s="150"/>
      <c r="G127" s="150"/>
      <c r="H127" s="150"/>
      <c r="I127" s="151"/>
      <c r="J127" s="41" t="str">
        <f aca="false">IF($E127="","",$E127&amp;"|"&amp;COUNTIF($E$5:$E127,$E127))</f>
        <v/>
      </c>
      <c r="K127" s="40" t="str">
        <f aca="false">IF($I127="","",LEN($I127))</f>
        <v/>
      </c>
      <c r="L127" s="13"/>
      <c r="M127" s="13"/>
      <c r="N127" s="13"/>
      <c r="O127" s="13"/>
      <c r="P127" s="152"/>
      <c r="Q127" s="149"/>
      <c r="R127" s="152"/>
      <c r="S127" s="152"/>
      <c r="T127" s="62" t="str">
        <f aca="false">IF(OR($C127="",R127=""),"",IF(R127/IF($R$2="",100,$R$2)&gt;=設定!$I$28,設定!$G$8,IF(R127/IF($R$2="",100,$R$2)&lt;設定!$I$29,設定!$G$10,設定!$G$9)))</f>
        <v/>
      </c>
      <c r="U127" s="62" t="str">
        <f aca="false">IF(OR($C127="",S127=""),"",IF(S127/IF($S$2="",100,$S$2)&gt;=設定!$I$28,設定!$G$8,IF(S127/IF($S$2="",100,$S$2)&lt;設定!$I$29,設定!$G$10,設定!$G$9)))</f>
        <v/>
      </c>
    </row>
    <row r="128" customFormat="false" ht="21" hidden="false" customHeight="true" outlineLevel="0" collapsed="false">
      <c r="A128" s="91" t="str">
        <f aca="false">IF(名簿!$D128="","",名簿!$B128&amp;"")</f>
        <v/>
      </c>
      <c r="B128" s="91" t="str">
        <f aca="false">IF(名簿!$D128="","",名簿!$C128)</f>
        <v/>
      </c>
      <c r="C128" s="59" t="str">
        <f aca="false">IF(名簿!$D128="","",名簿!$D128&amp;IF(名簿!$F128="転出","（転出）",""))</f>
        <v/>
      </c>
      <c r="D128" s="149"/>
      <c r="E128" s="61" t="str">
        <f aca="false">IF(OR($C128="",名簿!$F128="転出"),"",IF($C$2="学級ごと",$A128,IF($C$2="前の単元と同じ",単元16!$E128&amp;"",$D128&amp;"")))</f>
        <v/>
      </c>
      <c r="F128" s="150"/>
      <c r="G128" s="150"/>
      <c r="H128" s="150"/>
      <c r="I128" s="151"/>
      <c r="J128" s="41" t="str">
        <f aca="false">IF($E128="","",$E128&amp;"|"&amp;COUNTIF($E$5:$E128,$E128))</f>
        <v/>
      </c>
      <c r="K128" s="40" t="str">
        <f aca="false">IF($I128="","",LEN($I128))</f>
        <v/>
      </c>
      <c r="L128" s="13"/>
      <c r="M128" s="13"/>
      <c r="N128" s="13"/>
      <c r="O128" s="13"/>
      <c r="P128" s="152"/>
      <c r="Q128" s="149"/>
      <c r="R128" s="152"/>
      <c r="S128" s="152"/>
      <c r="T128" s="62" t="str">
        <f aca="false">IF(OR($C128="",R128=""),"",IF(R128/IF($R$2="",100,$R$2)&gt;=設定!$I$28,設定!$G$8,IF(R128/IF($R$2="",100,$R$2)&lt;設定!$I$29,設定!$G$10,設定!$G$9)))</f>
        <v/>
      </c>
      <c r="U128" s="62" t="str">
        <f aca="false">IF(OR($C128="",S128=""),"",IF(S128/IF($S$2="",100,$S$2)&gt;=設定!$I$28,設定!$G$8,IF(S128/IF($S$2="",100,$S$2)&lt;設定!$I$29,設定!$G$10,設定!$G$9)))</f>
        <v/>
      </c>
    </row>
    <row r="129" customFormat="false" ht="21" hidden="false" customHeight="true" outlineLevel="0" collapsed="false">
      <c r="A129" s="91" t="str">
        <f aca="false">IF(名簿!$D129="","",名簿!$B129&amp;"")</f>
        <v/>
      </c>
      <c r="B129" s="91" t="str">
        <f aca="false">IF(名簿!$D129="","",名簿!$C129)</f>
        <v/>
      </c>
      <c r="C129" s="59" t="str">
        <f aca="false">IF(名簿!$D129="","",名簿!$D129&amp;IF(名簿!$F129="転出","（転出）",""))</f>
        <v/>
      </c>
      <c r="D129" s="149"/>
      <c r="E129" s="61" t="str">
        <f aca="false">IF(OR($C129="",名簿!$F129="転出"),"",IF($C$2="学級ごと",$A129,IF($C$2="前の単元と同じ",単元16!$E129&amp;"",$D129&amp;"")))</f>
        <v/>
      </c>
      <c r="F129" s="150"/>
      <c r="G129" s="150"/>
      <c r="H129" s="150"/>
      <c r="I129" s="151"/>
      <c r="J129" s="41" t="str">
        <f aca="false">IF($E129="","",$E129&amp;"|"&amp;COUNTIF($E$5:$E129,$E129))</f>
        <v/>
      </c>
      <c r="K129" s="40" t="str">
        <f aca="false">IF($I129="","",LEN($I129))</f>
        <v/>
      </c>
      <c r="L129" s="13"/>
      <c r="M129" s="13"/>
      <c r="N129" s="13"/>
      <c r="O129" s="13"/>
      <c r="P129" s="152"/>
      <c r="Q129" s="149"/>
      <c r="R129" s="152"/>
      <c r="S129" s="152"/>
      <c r="T129" s="62" t="str">
        <f aca="false">IF(OR($C129="",R129=""),"",IF(R129/IF($R$2="",100,$R$2)&gt;=設定!$I$28,設定!$G$8,IF(R129/IF($R$2="",100,$R$2)&lt;設定!$I$29,設定!$G$10,設定!$G$9)))</f>
        <v/>
      </c>
      <c r="U129" s="62" t="str">
        <f aca="false">IF(OR($C129="",S129=""),"",IF(S129/IF($S$2="",100,$S$2)&gt;=設定!$I$28,設定!$G$8,IF(S129/IF($S$2="",100,$S$2)&lt;設定!$I$29,設定!$G$10,設定!$G$9)))</f>
        <v/>
      </c>
    </row>
    <row r="130" customFormat="false" ht="21" hidden="false" customHeight="true" outlineLevel="0" collapsed="false">
      <c r="A130" s="91" t="str">
        <f aca="false">IF(名簿!$D130="","",名簿!$B130&amp;"")</f>
        <v/>
      </c>
      <c r="B130" s="91" t="str">
        <f aca="false">IF(名簿!$D130="","",名簿!$C130)</f>
        <v/>
      </c>
      <c r="C130" s="59" t="str">
        <f aca="false">IF(名簿!$D130="","",名簿!$D130&amp;IF(名簿!$F130="転出","（転出）",""))</f>
        <v/>
      </c>
      <c r="D130" s="149"/>
      <c r="E130" s="61" t="str">
        <f aca="false">IF(OR($C130="",名簿!$F130="転出"),"",IF($C$2="学級ごと",$A130,IF($C$2="前の単元と同じ",単元16!$E130&amp;"",$D130&amp;"")))</f>
        <v/>
      </c>
      <c r="F130" s="150"/>
      <c r="G130" s="150"/>
      <c r="H130" s="150"/>
      <c r="I130" s="151"/>
      <c r="J130" s="41" t="str">
        <f aca="false">IF($E130="","",$E130&amp;"|"&amp;COUNTIF($E$5:$E130,$E130))</f>
        <v/>
      </c>
      <c r="K130" s="40" t="str">
        <f aca="false">IF($I130="","",LEN($I130))</f>
        <v/>
      </c>
      <c r="L130" s="13"/>
      <c r="M130" s="13"/>
      <c r="N130" s="13"/>
      <c r="O130" s="13"/>
      <c r="P130" s="152"/>
      <c r="Q130" s="149"/>
      <c r="R130" s="152"/>
      <c r="S130" s="152"/>
      <c r="T130" s="62" t="str">
        <f aca="false">IF(OR($C130="",R130=""),"",IF(R130/IF($R$2="",100,$R$2)&gt;=設定!$I$28,設定!$G$8,IF(R130/IF($R$2="",100,$R$2)&lt;設定!$I$29,設定!$G$10,設定!$G$9)))</f>
        <v/>
      </c>
      <c r="U130" s="62" t="str">
        <f aca="false">IF(OR($C130="",S130=""),"",IF(S130/IF($S$2="",100,$S$2)&gt;=設定!$I$28,設定!$G$8,IF(S130/IF($S$2="",100,$S$2)&lt;設定!$I$29,設定!$G$10,設定!$G$9)))</f>
        <v/>
      </c>
    </row>
    <row r="131" customFormat="false" ht="21" hidden="false" customHeight="true" outlineLevel="0" collapsed="false">
      <c r="A131" s="91" t="str">
        <f aca="false">IF(名簿!$D131="","",名簿!$B131&amp;"")</f>
        <v/>
      </c>
      <c r="B131" s="91" t="str">
        <f aca="false">IF(名簿!$D131="","",名簿!$C131)</f>
        <v/>
      </c>
      <c r="C131" s="59" t="str">
        <f aca="false">IF(名簿!$D131="","",名簿!$D131&amp;IF(名簿!$F131="転出","（転出）",""))</f>
        <v/>
      </c>
      <c r="D131" s="149"/>
      <c r="E131" s="61" t="str">
        <f aca="false">IF(OR($C131="",名簿!$F131="転出"),"",IF($C$2="学級ごと",$A131,IF($C$2="前の単元と同じ",単元16!$E131&amp;"",$D131&amp;"")))</f>
        <v/>
      </c>
      <c r="F131" s="150"/>
      <c r="G131" s="150"/>
      <c r="H131" s="150"/>
      <c r="I131" s="151"/>
      <c r="J131" s="41" t="str">
        <f aca="false">IF($E131="","",$E131&amp;"|"&amp;COUNTIF($E$5:$E131,$E131))</f>
        <v/>
      </c>
      <c r="K131" s="40" t="str">
        <f aca="false">IF($I131="","",LEN($I131))</f>
        <v/>
      </c>
      <c r="L131" s="13"/>
      <c r="M131" s="13"/>
      <c r="N131" s="13"/>
      <c r="O131" s="13"/>
      <c r="P131" s="152"/>
      <c r="Q131" s="149"/>
      <c r="R131" s="152"/>
      <c r="S131" s="152"/>
      <c r="T131" s="62" t="str">
        <f aca="false">IF(OR($C131="",R131=""),"",IF(R131/IF($R$2="",100,$R$2)&gt;=設定!$I$28,設定!$G$8,IF(R131/IF($R$2="",100,$R$2)&lt;設定!$I$29,設定!$G$10,設定!$G$9)))</f>
        <v/>
      </c>
      <c r="U131" s="62" t="str">
        <f aca="false">IF(OR($C131="",S131=""),"",IF(S131/IF($S$2="",100,$S$2)&gt;=設定!$I$28,設定!$G$8,IF(S131/IF($S$2="",100,$S$2)&lt;設定!$I$29,設定!$G$10,設定!$G$9)))</f>
        <v/>
      </c>
    </row>
    <row r="132" customFormat="false" ht="21" hidden="false" customHeight="true" outlineLevel="0" collapsed="false">
      <c r="A132" s="91" t="str">
        <f aca="false">IF(名簿!$D132="","",名簿!$B132&amp;"")</f>
        <v/>
      </c>
      <c r="B132" s="91" t="str">
        <f aca="false">IF(名簿!$D132="","",名簿!$C132)</f>
        <v/>
      </c>
      <c r="C132" s="59" t="str">
        <f aca="false">IF(名簿!$D132="","",名簿!$D132&amp;IF(名簿!$F132="転出","（転出）",""))</f>
        <v/>
      </c>
      <c r="D132" s="149"/>
      <c r="E132" s="61" t="str">
        <f aca="false">IF(OR($C132="",名簿!$F132="転出"),"",IF($C$2="学級ごと",$A132,IF($C$2="前の単元と同じ",単元16!$E132&amp;"",$D132&amp;"")))</f>
        <v/>
      </c>
      <c r="F132" s="150"/>
      <c r="G132" s="150"/>
      <c r="H132" s="150"/>
      <c r="I132" s="151"/>
      <c r="J132" s="41" t="str">
        <f aca="false">IF($E132="","",$E132&amp;"|"&amp;COUNTIF($E$5:$E132,$E132))</f>
        <v/>
      </c>
      <c r="K132" s="40" t="str">
        <f aca="false">IF($I132="","",LEN($I132))</f>
        <v/>
      </c>
      <c r="L132" s="13"/>
      <c r="M132" s="13"/>
      <c r="N132" s="13"/>
      <c r="O132" s="13"/>
      <c r="P132" s="152"/>
      <c r="Q132" s="149"/>
      <c r="R132" s="152"/>
      <c r="S132" s="152"/>
      <c r="T132" s="62" t="str">
        <f aca="false">IF(OR($C132="",R132=""),"",IF(R132/IF($R$2="",100,$R$2)&gt;=設定!$I$28,設定!$G$8,IF(R132/IF($R$2="",100,$R$2)&lt;設定!$I$29,設定!$G$10,設定!$G$9)))</f>
        <v/>
      </c>
      <c r="U132" s="62" t="str">
        <f aca="false">IF(OR($C132="",S132=""),"",IF(S132/IF($S$2="",100,$S$2)&gt;=設定!$I$28,設定!$G$8,IF(S132/IF($S$2="",100,$S$2)&lt;設定!$I$29,設定!$G$10,設定!$G$9)))</f>
        <v/>
      </c>
    </row>
    <row r="133" customFormat="false" ht="21" hidden="false" customHeight="true" outlineLevel="0" collapsed="false">
      <c r="A133" s="91" t="str">
        <f aca="false">IF(名簿!$D133="","",名簿!$B133&amp;"")</f>
        <v/>
      </c>
      <c r="B133" s="91" t="str">
        <f aca="false">IF(名簿!$D133="","",名簿!$C133)</f>
        <v/>
      </c>
      <c r="C133" s="59" t="str">
        <f aca="false">IF(名簿!$D133="","",名簿!$D133&amp;IF(名簿!$F133="転出","（転出）",""))</f>
        <v/>
      </c>
      <c r="D133" s="149"/>
      <c r="E133" s="61" t="str">
        <f aca="false">IF(OR($C133="",名簿!$F133="転出"),"",IF($C$2="学級ごと",$A133,IF($C$2="前の単元と同じ",単元16!$E133&amp;"",$D133&amp;"")))</f>
        <v/>
      </c>
      <c r="F133" s="150"/>
      <c r="G133" s="150"/>
      <c r="H133" s="150"/>
      <c r="I133" s="151"/>
      <c r="J133" s="41" t="str">
        <f aca="false">IF($E133="","",$E133&amp;"|"&amp;COUNTIF($E$5:$E133,$E133))</f>
        <v/>
      </c>
      <c r="K133" s="40" t="str">
        <f aca="false">IF($I133="","",LEN($I133))</f>
        <v/>
      </c>
      <c r="L133" s="13"/>
      <c r="M133" s="13"/>
      <c r="N133" s="13"/>
      <c r="O133" s="13"/>
      <c r="P133" s="152"/>
      <c r="Q133" s="149"/>
      <c r="R133" s="152"/>
      <c r="S133" s="152"/>
      <c r="T133" s="62" t="str">
        <f aca="false">IF(OR($C133="",R133=""),"",IF(R133/IF($R$2="",100,$R$2)&gt;=設定!$I$28,設定!$G$8,IF(R133/IF($R$2="",100,$R$2)&lt;設定!$I$29,設定!$G$10,設定!$G$9)))</f>
        <v/>
      </c>
      <c r="U133" s="62" t="str">
        <f aca="false">IF(OR($C133="",S133=""),"",IF(S133/IF($S$2="",100,$S$2)&gt;=設定!$I$28,設定!$G$8,IF(S133/IF($S$2="",100,$S$2)&lt;設定!$I$29,設定!$G$10,設定!$G$9)))</f>
        <v/>
      </c>
    </row>
    <row r="134" customFormat="false" ht="21" hidden="false" customHeight="true" outlineLevel="0" collapsed="false">
      <c r="A134" s="91" t="str">
        <f aca="false">IF(名簿!$D134="","",名簿!$B134&amp;"")</f>
        <v/>
      </c>
      <c r="B134" s="91" t="str">
        <f aca="false">IF(名簿!$D134="","",名簿!$C134)</f>
        <v/>
      </c>
      <c r="C134" s="59" t="str">
        <f aca="false">IF(名簿!$D134="","",名簿!$D134&amp;IF(名簿!$F134="転出","（転出）",""))</f>
        <v/>
      </c>
      <c r="D134" s="149"/>
      <c r="E134" s="61" t="str">
        <f aca="false">IF(OR($C134="",名簿!$F134="転出"),"",IF($C$2="学級ごと",$A134,IF($C$2="前の単元と同じ",単元16!$E134&amp;"",$D134&amp;"")))</f>
        <v/>
      </c>
      <c r="F134" s="150"/>
      <c r="G134" s="150"/>
      <c r="H134" s="150"/>
      <c r="I134" s="151"/>
      <c r="J134" s="41" t="str">
        <f aca="false">IF($E134="","",$E134&amp;"|"&amp;COUNTIF($E$5:$E134,$E134))</f>
        <v/>
      </c>
      <c r="K134" s="40" t="str">
        <f aca="false">IF($I134="","",LEN($I134))</f>
        <v/>
      </c>
      <c r="L134" s="13"/>
      <c r="M134" s="13"/>
      <c r="N134" s="13"/>
      <c r="O134" s="13"/>
      <c r="P134" s="152"/>
      <c r="Q134" s="149"/>
      <c r="R134" s="152"/>
      <c r="S134" s="152"/>
      <c r="T134" s="62" t="str">
        <f aca="false">IF(OR($C134="",R134=""),"",IF(R134/IF($R$2="",100,$R$2)&gt;=設定!$I$28,設定!$G$8,IF(R134/IF($R$2="",100,$R$2)&lt;設定!$I$29,設定!$G$10,設定!$G$9)))</f>
        <v/>
      </c>
      <c r="U134" s="62" t="str">
        <f aca="false">IF(OR($C134="",S134=""),"",IF(S134/IF($S$2="",100,$S$2)&gt;=設定!$I$28,設定!$G$8,IF(S134/IF($S$2="",100,$S$2)&lt;設定!$I$29,設定!$G$10,設定!$G$9)))</f>
        <v/>
      </c>
    </row>
    <row r="135" customFormat="false" ht="21" hidden="false" customHeight="true" outlineLevel="0" collapsed="false">
      <c r="A135" s="91" t="str">
        <f aca="false">IF(名簿!$D135="","",名簿!$B135&amp;"")</f>
        <v/>
      </c>
      <c r="B135" s="91" t="str">
        <f aca="false">IF(名簿!$D135="","",名簿!$C135)</f>
        <v/>
      </c>
      <c r="C135" s="59" t="str">
        <f aca="false">IF(名簿!$D135="","",名簿!$D135&amp;IF(名簿!$F135="転出","（転出）",""))</f>
        <v/>
      </c>
      <c r="D135" s="149"/>
      <c r="E135" s="61" t="str">
        <f aca="false">IF(OR($C135="",名簿!$F135="転出"),"",IF($C$2="学級ごと",$A135,IF($C$2="前の単元と同じ",単元16!$E135&amp;"",$D135&amp;"")))</f>
        <v/>
      </c>
      <c r="F135" s="150"/>
      <c r="G135" s="150"/>
      <c r="H135" s="150"/>
      <c r="I135" s="151"/>
      <c r="J135" s="41" t="str">
        <f aca="false">IF($E135="","",$E135&amp;"|"&amp;COUNTIF($E$5:$E135,$E135))</f>
        <v/>
      </c>
      <c r="K135" s="40" t="str">
        <f aca="false">IF($I135="","",LEN($I135))</f>
        <v/>
      </c>
      <c r="L135" s="13"/>
      <c r="M135" s="13"/>
      <c r="N135" s="13"/>
      <c r="O135" s="13"/>
      <c r="P135" s="152"/>
      <c r="Q135" s="149"/>
      <c r="R135" s="152"/>
      <c r="S135" s="152"/>
      <c r="T135" s="62" t="str">
        <f aca="false">IF(OR($C135="",R135=""),"",IF(R135/IF($R$2="",100,$R$2)&gt;=設定!$I$28,設定!$G$8,IF(R135/IF($R$2="",100,$R$2)&lt;設定!$I$29,設定!$G$10,設定!$G$9)))</f>
        <v/>
      </c>
      <c r="U135" s="62" t="str">
        <f aca="false">IF(OR($C135="",S135=""),"",IF(S135/IF($S$2="",100,$S$2)&gt;=設定!$I$28,設定!$G$8,IF(S135/IF($S$2="",100,$S$2)&lt;設定!$I$29,設定!$G$10,設定!$G$9)))</f>
        <v/>
      </c>
    </row>
    <row r="136" customFormat="false" ht="21" hidden="false" customHeight="true" outlineLevel="0" collapsed="false">
      <c r="A136" s="91" t="str">
        <f aca="false">IF(名簿!$D136="","",名簿!$B136&amp;"")</f>
        <v/>
      </c>
      <c r="B136" s="91" t="str">
        <f aca="false">IF(名簿!$D136="","",名簿!$C136)</f>
        <v/>
      </c>
      <c r="C136" s="59" t="str">
        <f aca="false">IF(名簿!$D136="","",名簿!$D136&amp;IF(名簿!$F136="転出","（転出）",""))</f>
        <v/>
      </c>
      <c r="D136" s="149"/>
      <c r="E136" s="61" t="str">
        <f aca="false">IF(OR($C136="",名簿!$F136="転出"),"",IF($C$2="学級ごと",$A136,IF($C$2="前の単元と同じ",単元16!$E136&amp;"",$D136&amp;"")))</f>
        <v/>
      </c>
      <c r="F136" s="150"/>
      <c r="G136" s="150"/>
      <c r="H136" s="150"/>
      <c r="I136" s="151"/>
      <c r="J136" s="41" t="str">
        <f aca="false">IF($E136="","",$E136&amp;"|"&amp;COUNTIF($E$5:$E136,$E136))</f>
        <v/>
      </c>
      <c r="K136" s="40" t="str">
        <f aca="false">IF($I136="","",LEN($I136))</f>
        <v/>
      </c>
      <c r="L136" s="13"/>
      <c r="M136" s="13"/>
      <c r="N136" s="13"/>
      <c r="O136" s="13"/>
      <c r="P136" s="152"/>
      <c r="Q136" s="149"/>
      <c r="R136" s="152"/>
      <c r="S136" s="152"/>
      <c r="T136" s="62" t="str">
        <f aca="false">IF(OR($C136="",R136=""),"",IF(R136/IF($R$2="",100,$R$2)&gt;=設定!$I$28,設定!$G$8,IF(R136/IF($R$2="",100,$R$2)&lt;設定!$I$29,設定!$G$10,設定!$G$9)))</f>
        <v/>
      </c>
      <c r="U136" s="62" t="str">
        <f aca="false">IF(OR($C136="",S136=""),"",IF(S136/IF($S$2="",100,$S$2)&gt;=設定!$I$28,設定!$G$8,IF(S136/IF($S$2="",100,$S$2)&lt;設定!$I$29,設定!$G$10,設定!$G$9)))</f>
        <v/>
      </c>
    </row>
    <row r="137" customFormat="false" ht="21" hidden="false" customHeight="true" outlineLevel="0" collapsed="false">
      <c r="A137" s="91" t="str">
        <f aca="false">IF(名簿!$D137="","",名簿!$B137&amp;"")</f>
        <v/>
      </c>
      <c r="B137" s="91" t="str">
        <f aca="false">IF(名簿!$D137="","",名簿!$C137)</f>
        <v/>
      </c>
      <c r="C137" s="59" t="str">
        <f aca="false">IF(名簿!$D137="","",名簿!$D137&amp;IF(名簿!$F137="転出","（転出）",""))</f>
        <v/>
      </c>
      <c r="D137" s="149"/>
      <c r="E137" s="61" t="str">
        <f aca="false">IF(OR($C137="",名簿!$F137="転出"),"",IF($C$2="学級ごと",$A137,IF($C$2="前の単元と同じ",単元16!$E137&amp;"",$D137&amp;"")))</f>
        <v/>
      </c>
      <c r="F137" s="150"/>
      <c r="G137" s="150"/>
      <c r="H137" s="150"/>
      <c r="I137" s="151"/>
      <c r="J137" s="41" t="str">
        <f aca="false">IF($E137="","",$E137&amp;"|"&amp;COUNTIF($E$5:$E137,$E137))</f>
        <v/>
      </c>
      <c r="K137" s="40" t="str">
        <f aca="false">IF($I137="","",LEN($I137))</f>
        <v/>
      </c>
      <c r="L137" s="13"/>
      <c r="M137" s="13"/>
      <c r="N137" s="13"/>
      <c r="O137" s="13"/>
      <c r="P137" s="152"/>
      <c r="Q137" s="149"/>
      <c r="R137" s="152"/>
      <c r="S137" s="152"/>
      <c r="T137" s="62" t="str">
        <f aca="false">IF(OR($C137="",R137=""),"",IF(R137/IF($R$2="",100,$R$2)&gt;=設定!$I$28,設定!$G$8,IF(R137/IF($R$2="",100,$R$2)&lt;設定!$I$29,設定!$G$10,設定!$G$9)))</f>
        <v/>
      </c>
      <c r="U137" s="62" t="str">
        <f aca="false">IF(OR($C137="",S137=""),"",IF(S137/IF($S$2="",100,$S$2)&gt;=設定!$I$28,設定!$G$8,IF(S137/IF($S$2="",100,$S$2)&lt;設定!$I$29,設定!$G$10,設定!$G$9)))</f>
        <v/>
      </c>
    </row>
    <row r="138" customFormat="false" ht="21" hidden="false" customHeight="true" outlineLevel="0" collapsed="false">
      <c r="A138" s="91" t="str">
        <f aca="false">IF(名簿!$D138="","",名簿!$B138&amp;"")</f>
        <v/>
      </c>
      <c r="B138" s="91" t="str">
        <f aca="false">IF(名簿!$D138="","",名簿!$C138)</f>
        <v/>
      </c>
      <c r="C138" s="59" t="str">
        <f aca="false">IF(名簿!$D138="","",名簿!$D138&amp;IF(名簿!$F138="転出","（転出）",""))</f>
        <v/>
      </c>
      <c r="D138" s="149"/>
      <c r="E138" s="61" t="str">
        <f aca="false">IF(OR($C138="",名簿!$F138="転出"),"",IF($C$2="学級ごと",$A138,IF($C$2="前の単元と同じ",単元16!$E138&amp;"",$D138&amp;"")))</f>
        <v/>
      </c>
      <c r="F138" s="150"/>
      <c r="G138" s="150"/>
      <c r="H138" s="150"/>
      <c r="I138" s="151"/>
      <c r="J138" s="41" t="str">
        <f aca="false">IF($E138="","",$E138&amp;"|"&amp;COUNTIF($E$5:$E138,$E138))</f>
        <v/>
      </c>
      <c r="K138" s="40" t="str">
        <f aca="false">IF($I138="","",LEN($I138))</f>
        <v/>
      </c>
      <c r="L138" s="13"/>
      <c r="M138" s="13"/>
      <c r="N138" s="13"/>
      <c r="O138" s="13"/>
      <c r="P138" s="152"/>
      <c r="Q138" s="149"/>
      <c r="R138" s="152"/>
      <c r="S138" s="152"/>
      <c r="T138" s="62" t="str">
        <f aca="false">IF(OR($C138="",R138=""),"",IF(R138/IF($R$2="",100,$R$2)&gt;=設定!$I$28,設定!$G$8,IF(R138/IF($R$2="",100,$R$2)&lt;設定!$I$29,設定!$G$10,設定!$G$9)))</f>
        <v/>
      </c>
      <c r="U138" s="62" t="str">
        <f aca="false">IF(OR($C138="",S138=""),"",IF(S138/IF($S$2="",100,$S$2)&gt;=設定!$I$28,設定!$G$8,IF(S138/IF($S$2="",100,$S$2)&lt;設定!$I$29,設定!$G$10,設定!$G$9)))</f>
        <v/>
      </c>
    </row>
    <row r="139" customFormat="false" ht="21" hidden="false" customHeight="true" outlineLevel="0" collapsed="false">
      <c r="A139" s="91" t="str">
        <f aca="false">IF(名簿!$D139="","",名簿!$B139&amp;"")</f>
        <v/>
      </c>
      <c r="B139" s="91" t="str">
        <f aca="false">IF(名簿!$D139="","",名簿!$C139)</f>
        <v/>
      </c>
      <c r="C139" s="59" t="str">
        <f aca="false">IF(名簿!$D139="","",名簿!$D139&amp;IF(名簿!$F139="転出","（転出）",""))</f>
        <v/>
      </c>
      <c r="D139" s="149"/>
      <c r="E139" s="61" t="str">
        <f aca="false">IF(OR($C139="",名簿!$F139="転出"),"",IF($C$2="学級ごと",$A139,IF($C$2="前の単元と同じ",単元16!$E139&amp;"",$D139&amp;"")))</f>
        <v/>
      </c>
      <c r="F139" s="150"/>
      <c r="G139" s="150"/>
      <c r="H139" s="150"/>
      <c r="I139" s="151"/>
      <c r="J139" s="41" t="str">
        <f aca="false">IF($E139="","",$E139&amp;"|"&amp;COUNTIF($E$5:$E139,$E139))</f>
        <v/>
      </c>
      <c r="K139" s="40" t="str">
        <f aca="false">IF($I139="","",LEN($I139))</f>
        <v/>
      </c>
      <c r="L139" s="13"/>
      <c r="M139" s="13"/>
      <c r="N139" s="13"/>
      <c r="O139" s="13"/>
      <c r="P139" s="152"/>
      <c r="Q139" s="149"/>
      <c r="R139" s="152"/>
      <c r="S139" s="152"/>
      <c r="T139" s="62" t="str">
        <f aca="false">IF(OR($C139="",R139=""),"",IF(R139/IF($R$2="",100,$R$2)&gt;=設定!$I$28,設定!$G$8,IF(R139/IF($R$2="",100,$R$2)&lt;設定!$I$29,設定!$G$10,設定!$G$9)))</f>
        <v/>
      </c>
      <c r="U139" s="62" t="str">
        <f aca="false">IF(OR($C139="",S139=""),"",IF(S139/IF($S$2="",100,$S$2)&gt;=設定!$I$28,設定!$G$8,IF(S139/IF($S$2="",100,$S$2)&lt;設定!$I$29,設定!$G$10,設定!$G$9)))</f>
        <v/>
      </c>
    </row>
    <row r="140" customFormat="false" ht="21" hidden="false" customHeight="true" outlineLevel="0" collapsed="false">
      <c r="A140" s="91" t="str">
        <f aca="false">IF(名簿!$D140="","",名簿!$B140&amp;"")</f>
        <v/>
      </c>
      <c r="B140" s="91" t="str">
        <f aca="false">IF(名簿!$D140="","",名簿!$C140)</f>
        <v/>
      </c>
      <c r="C140" s="59" t="str">
        <f aca="false">IF(名簿!$D140="","",名簿!$D140&amp;IF(名簿!$F140="転出","（転出）",""))</f>
        <v/>
      </c>
      <c r="D140" s="149"/>
      <c r="E140" s="61" t="str">
        <f aca="false">IF(OR($C140="",名簿!$F140="転出"),"",IF($C$2="学級ごと",$A140,IF($C$2="前の単元と同じ",単元16!$E140&amp;"",$D140&amp;"")))</f>
        <v/>
      </c>
      <c r="F140" s="150"/>
      <c r="G140" s="150"/>
      <c r="H140" s="150"/>
      <c r="I140" s="151"/>
      <c r="J140" s="41" t="str">
        <f aca="false">IF($E140="","",$E140&amp;"|"&amp;COUNTIF($E$5:$E140,$E140))</f>
        <v/>
      </c>
      <c r="K140" s="40" t="str">
        <f aca="false">IF($I140="","",LEN($I140))</f>
        <v/>
      </c>
      <c r="L140" s="13"/>
      <c r="M140" s="13"/>
      <c r="N140" s="13"/>
      <c r="O140" s="13"/>
      <c r="P140" s="152"/>
      <c r="Q140" s="149"/>
      <c r="R140" s="152"/>
      <c r="S140" s="152"/>
      <c r="T140" s="62" t="str">
        <f aca="false">IF(OR($C140="",R140=""),"",IF(R140/IF($R$2="",100,$R$2)&gt;=設定!$I$28,設定!$G$8,IF(R140/IF($R$2="",100,$R$2)&lt;設定!$I$29,設定!$G$10,設定!$G$9)))</f>
        <v/>
      </c>
      <c r="U140" s="62" t="str">
        <f aca="false">IF(OR($C140="",S140=""),"",IF(S140/IF($S$2="",100,$S$2)&gt;=設定!$I$28,設定!$G$8,IF(S140/IF($S$2="",100,$S$2)&lt;設定!$I$29,設定!$G$10,設定!$G$9)))</f>
        <v/>
      </c>
    </row>
    <row r="141" customFormat="false" ht="21" hidden="false" customHeight="true" outlineLevel="0" collapsed="false">
      <c r="A141" s="91" t="str">
        <f aca="false">IF(名簿!$D141="","",名簿!$B141&amp;"")</f>
        <v/>
      </c>
      <c r="B141" s="91" t="str">
        <f aca="false">IF(名簿!$D141="","",名簿!$C141)</f>
        <v/>
      </c>
      <c r="C141" s="59" t="str">
        <f aca="false">IF(名簿!$D141="","",名簿!$D141&amp;IF(名簿!$F141="転出","（転出）",""))</f>
        <v/>
      </c>
      <c r="D141" s="149"/>
      <c r="E141" s="61" t="str">
        <f aca="false">IF(OR($C141="",名簿!$F141="転出"),"",IF($C$2="学級ごと",$A141,IF($C$2="前の単元と同じ",単元16!$E141&amp;"",$D141&amp;"")))</f>
        <v/>
      </c>
      <c r="F141" s="150"/>
      <c r="G141" s="150"/>
      <c r="H141" s="150"/>
      <c r="I141" s="151"/>
      <c r="J141" s="41" t="str">
        <f aca="false">IF($E141="","",$E141&amp;"|"&amp;COUNTIF($E$5:$E141,$E141))</f>
        <v/>
      </c>
      <c r="K141" s="40" t="str">
        <f aca="false">IF($I141="","",LEN($I141))</f>
        <v/>
      </c>
      <c r="L141" s="13"/>
      <c r="M141" s="13"/>
      <c r="N141" s="13"/>
      <c r="O141" s="13"/>
      <c r="P141" s="152"/>
      <c r="Q141" s="149"/>
      <c r="R141" s="152"/>
      <c r="S141" s="152"/>
      <c r="T141" s="62" t="str">
        <f aca="false">IF(OR($C141="",R141=""),"",IF(R141/IF($R$2="",100,$R$2)&gt;=設定!$I$28,設定!$G$8,IF(R141/IF($R$2="",100,$R$2)&lt;設定!$I$29,設定!$G$10,設定!$G$9)))</f>
        <v/>
      </c>
      <c r="U141" s="62" t="str">
        <f aca="false">IF(OR($C141="",S141=""),"",IF(S141/IF($S$2="",100,$S$2)&gt;=設定!$I$28,設定!$G$8,IF(S141/IF($S$2="",100,$S$2)&lt;設定!$I$29,設定!$G$10,設定!$G$9)))</f>
        <v/>
      </c>
    </row>
    <row r="142" customFormat="false" ht="21" hidden="false" customHeight="true" outlineLevel="0" collapsed="false">
      <c r="A142" s="91" t="str">
        <f aca="false">IF(名簿!$D142="","",名簿!$B142&amp;"")</f>
        <v/>
      </c>
      <c r="B142" s="91" t="str">
        <f aca="false">IF(名簿!$D142="","",名簿!$C142)</f>
        <v/>
      </c>
      <c r="C142" s="59" t="str">
        <f aca="false">IF(名簿!$D142="","",名簿!$D142&amp;IF(名簿!$F142="転出","（転出）",""))</f>
        <v/>
      </c>
      <c r="D142" s="149"/>
      <c r="E142" s="61" t="str">
        <f aca="false">IF(OR($C142="",名簿!$F142="転出"),"",IF($C$2="学級ごと",$A142,IF($C$2="前の単元と同じ",単元16!$E142&amp;"",$D142&amp;"")))</f>
        <v/>
      </c>
      <c r="F142" s="150"/>
      <c r="G142" s="150"/>
      <c r="H142" s="150"/>
      <c r="I142" s="151"/>
      <c r="J142" s="41" t="str">
        <f aca="false">IF($E142="","",$E142&amp;"|"&amp;COUNTIF($E$5:$E142,$E142))</f>
        <v/>
      </c>
      <c r="K142" s="40" t="str">
        <f aca="false">IF($I142="","",LEN($I142))</f>
        <v/>
      </c>
      <c r="L142" s="13"/>
      <c r="M142" s="13"/>
      <c r="N142" s="13"/>
      <c r="O142" s="13"/>
      <c r="P142" s="152"/>
      <c r="Q142" s="149"/>
      <c r="R142" s="152"/>
      <c r="S142" s="152"/>
      <c r="T142" s="62" t="str">
        <f aca="false">IF(OR($C142="",R142=""),"",IF(R142/IF($R$2="",100,$R$2)&gt;=設定!$I$28,設定!$G$8,IF(R142/IF($R$2="",100,$R$2)&lt;設定!$I$29,設定!$G$10,設定!$G$9)))</f>
        <v/>
      </c>
      <c r="U142" s="62" t="str">
        <f aca="false">IF(OR($C142="",S142=""),"",IF(S142/IF($S$2="",100,$S$2)&gt;=設定!$I$28,設定!$G$8,IF(S142/IF($S$2="",100,$S$2)&lt;設定!$I$29,設定!$G$10,設定!$G$9)))</f>
        <v/>
      </c>
    </row>
    <row r="143" customFormat="false" ht="21" hidden="false" customHeight="true" outlineLevel="0" collapsed="false">
      <c r="A143" s="91" t="str">
        <f aca="false">IF(名簿!$D143="","",名簿!$B143&amp;"")</f>
        <v/>
      </c>
      <c r="B143" s="91" t="str">
        <f aca="false">IF(名簿!$D143="","",名簿!$C143)</f>
        <v/>
      </c>
      <c r="C143" s="59" t="str">
        <f aca="false">IF(名簿!$D143="","",名簿!$D143&amp;IF(名簿!$F143="転出","（転出）",""))</f>
        <v/>
      </c>
      <c r="D143" s="149"/>
      <c r="E143" s="61" t="str">
        <f aca="false">IF(OR($C143="",名簿!$F143="転出"),"",IF($C$2="学級ごと",$A143,IF($C$2="前の単元と同じ",単元16!$E143&amp;"",$D143&amp;"")))</f>
        <v/>
      </c>
      <c r="F143" s="150"/>
      <c r="G143" s="150"/>
      <c r="H143" s="150"/>
      <c r="I143" s="151"/>
      <c r="J143" s="41" t="str">
        <f aca="false">IF($E143="","",$E143&amp;"|"&amp;COUNTIF($E$5:$E143,$E143))</f>
        <v/>
      </c>
      <c r="K143" s="40" t="str">
        <f aca="false">IF($I143="","",LEN($I143))</f>
        <v/>
      </c>
      <c r="L143" s="13"/>
      <c r="M143" s="13"/>
      <c r="N143" s="13"/>
      <c r="O143" s="13"/>
      <c r="P143" s="152"/>
      <c r="Q143" s="149"/>
      <c r="R143" s="152"/>
      <c r="S143" s="152"/>
      <c r="T143" s="62" t="str">
        <f aca="false">IF(OR($C143="",R143=""),"",IF(R143/IF($R$2="",100,$R$2)&gt;=設定!$I$28,設定!$G$8,IF(R143/IF($R$2="",100,$R$2)&lt;設定!$I$29,設定!$G$10,設定!$G$9)))</f>
        <v/>
      </c>
      <c r="U143" s="62" t="str">
        <f aca="false">IF(OR($C143="",S143=""),"",IF(S143/IF($S$2="",100,$S$2)&gt;=設定!$I$28,設定!$G$8,IF(S143/IF($S$2="",100,$S$2)&lt;設定!$I$29,設定!$G$10,設定!$G$9)))</f>
        <v/>
      </c>
    </row>
    <row r="144" customFormat="false" ht="21" hidden="false" customHeight="true" outlineLevel="0" collapsed="false">
      <c r="A144" s="91" t="str">
        <f aca="false">IF(名簿!$D144="","",名簿!$B144&amp;"")</f>
        <v/>
      </c>
      <c r="B144" s="91" t="str">
        <f aca="false">IF(名簿!$D144="","",名簿!$C144)</f>
        <v/>
      </c>
      <c r="C144" s="59" t="str">
        <f aca="false">IF(名簿!$D144="","",名簿!$D144&amp;IF(名簿!$F144="転出","（転出）",""))</f>
        <v/>
      </c>
      <c r="D144" s="149"/>
      <c r="E144" s="61" t="str">
        <f aca="false">IF(OR($C144="",名簿!$F144="転出"),"",IF($C$2="学級ごと",$A144,IF($C$2="前の単元と同じ",単元16!$E144&amp;"",$D144&amp;"")))</f>
        <v/>
      </c>
      <c r="F144" s="150"/>
      <c r="G144" s="150"/>
      <c r="H144" s="150"/>
      <c r="I144" s="151"/>
      <c r="J144" s="41" t="str">
        <f aca="false">IF($E144="","",$E144&amp;"|"&amp;COUNTIF($E$5:$E144,$E144))</f>
        <v/>
      </c>
      <c r="K144" s="40" t="str">
        <f aca="false">IF($I144="","",LEN($I144))</f>
        <v/>
      </c>
      <c r="L144" s="13"/>
      <c r="M144" s="13"/>
      <c r="N144" s="13"/>
      <c r="O144" s="13"/>
      <c r="P144" s="152"/>
      <c r="Q144" s="149"/>
      <c r="R144" s="152"/>
      <c r="S144" s="152"/>
      <c r="T144" s="62" t="str">
        <f aca="false">IF(OR($C144="",R144=""),"",IF(R144/IF($R$2="",100,$R$2)&gt;=設定!$I$28,設定!$G$8,IF(R144/IF($R$2="",100,$R$2)&lt;設定!$I$29,設定!$G$10,設定!$G$9)))</f>
        <v/>
      </c>
      <c r="U144" s="62" t="str">
        <f aca="false">IF(OR($C144="",S144=""),"",IF(S144/IF($S$2="",100,$S$2)&gt;=設定!$I$28,設定!$G$8,IF(S144/IF($S$2="",100,$S$2)&lt;設定!$I$29,設定!$G$10,設定!$G$9)))</f>
        <v/>
      </c>
    </row>
    <row r="145" customFormat="false" ht="21" hidden="false" customHeight="true" outlineLevel="0" collapsed="false">
      <c r="A145" s="91" t="str">
        <f aca="false">IF(名簿!$D145="","",名簿!$B145&amp;"")</f>
        <v/>
      </c>
      <c r="B145" s="91" t="str">
        <f aca="false">IF(名簿!$D145="","",名簿!$C145)</f>
        <v/>
      </c>
      <c r="C145" s="59" t="str">
        <f aca="false">IF(名簿!$D145="","",名簿!$D145&amp;IF(名簿!$F145="転出","（転出）",""))</f>
        <v/>
      </c>
      <c r="D145" s="149"/>
      <c r="E145" s="61" t="str">
        <f aca="false">IF(OR($C145="",名簿!$F145="転出"),"",IF($C$2="学級ごと",$A145,IF($C$2="前の単元と同じ",単元16!$E145&amp;"",$D145&amp;"")))</f>
        <v/>
      </c>
      <c r="F145" s="150"/>
      <c r="G145" s="150"/>
      <c r="H145" s="150"/>
      <c r="I145" s="151"/>
      <c r="J145" s="41" t="str">
        <f aca="false">IF($E145="","",$E145&amp;"|"&amp;COUNTIF($E$5:$E145,$E145))</f>
        <v/>
      </c>
      <c r="K145" s="40" t="str">
        <f aca="false">IF($I145="","",LEN($I145))</f>
        <v/>
      </c>
      <c r="L145" s="13"/>
      <c r="M145" s="13"/>
      <c r="N145" s="13"/>
      <c r="O145" s="13"/>
      <c r="P145" s="152"/>
      <c r="Q145" s="149"/>
      <c r="R145" s="152"/>
      <c r="S145" s="152"/>
      <c r="T145" s="62" t="str">
        <f aca="false">IF(OR($C145="",R145=""),"",IF(R145/IF($R$2="",100,$R$2)&gt;=設定!$I$28,設定!$G$8,IF(R145/IF($R$2="",100,$R$2)&lt;設定!$I$29,設定!$G$10,設定!$G$9)))</f>
        <v/>
      </c>
      <c r="U145" s="62" t="str">
        <f aca="false">IF(OR($C145="",S145=""),"",IF(S145/IF($S$2="",100,$S$2)&gt;=設定!$I$28,設定!$G$8,IF(S145/IF($S$2="",100,$S$2)&lt;設定!$I$29,設定!$G$10,設定!$G$9)))</f>
        <v/>
      </c>
    </row>
    <row r="146" customFormat="false" ht="21" hidden="false" customHeight="true" outlineLevel="0" collapsed="false">
      <c r="A146" s="91" t="str">
        <f aca="false">IF(名簿!$D146="","",名簿!$B146&amp;"")</f>
        <v/>
      </c>
      <c r="B146" s="91" t="str">
        <f aca="false">IF(名簿!$D146="","",名簿!$C146)</f>
        <v/>
      </c>
      <c r="C146" s="59" t="str">
        <f aca="false">IF(名簿!$D146="","",名簿!$D146&amp;IF(名簿!$F146="転出","（転出）",""))</f>
        <v/>
      </c>
      <c r="D146" s="149"/>
      <c r="E146" s="61" t="str">
        <f aca="false">IF(OR($C146="",名簿!$F146="転出"),"",IF($C$2="学級ごと",$A146,IF($C$2="前の単元と同じ",単元16!$E146&amp;"",$D146&amp;"")))</f>
        <v/>
      </c>
      <c r="F146" s="150"/>
      <c r="G146" s="150"/>
      <c r="H146" s="150"/>
      <c r="I146" s="151"/>
      <c r="J146" s="41" t="str">
        <f aca="false">IF($E146="","",$E146&amp;"|"&amp;COUNTIF($E$5:$E146,$E146))</f>
        <v/>
      </c>
      <c r="K146" s="40" t="str">
        <f aca="false">IF($I146="","",LEN($I146))</f>
        <v/>
      </c>
      <c r="L146" s="13"/>
      <c r="M146" s="13"/>
      <c r="N146" s="13"/>
      <c r="O146" s="13"/>
      <c r="P146" s="152"/>
      <c r="Q146" s="149"/>
      <c r="R146" s="152"/>
      <c r="S146" s="152"/>
      <c r="T146" s="62" t="str">
        <f aca="false">IF(OR($C146="",R146=""),"",IF(R146/IF($R$2="",100,$R$2)&gt;=設定!$I$28,設定!$G$8,IF(R146/IF($R$2="",100,$R$2)&lt;設定!$I$29,設定!$G$10,設定!$G$9)))</f>
        <v/>
      </c>
      <c r="U146" s="62" t="str">
        <f aca="false">IF(OR($C146="",S146=""),"",IF(S146/IF($S$2="",100,$S$2)&gt;=設定!$I$28,設定!$G$8,IF(S146/IF($S$2="",100,$S$2)&lt;設定!$I$29,設定!$G$10,設定!$G$9)))</f>
        <v/>
      </c>
    </row>
    <row r="147" customFormat="false" ht="21" hidden="false" customHeight="true" outlineLevel="0" collapsed="false">
      <c r="A147" s="91" t="str">
        <f aca="false">IF(名簿!$D147="","",名簿!$B147&amp;"")</f>
        <v/>
      </c>
      <c r="B147" s="91" t="str">
        <f aca="false">IF(名簿!$D147="","",名簿!$C147)</f>
        <v/>
      </c>
      <c r="C147" s="59" t="str">
        <f aca="false">IF(名簿!$D147="","",名簿!$D147&amp;IF(名簿!$F147="転出","（転出）",""))</f>
        <v/>
      </c>
      <c r="D147" s="149"/>
      <c r="E147" s="61" t="str">
        <f aca="false">IF(OR($C147="",名簿!$F147="転出"),"",IF($C$2="学級ごと",$A147,IF($C$2="前の単元と同じ",単元16!$E147&amp;"",$D147&amp;"")))</f>
        <v/>
      </c>
      <c r="F147" s="150"/>
      <c r="G147" s="150"/>
      <c r="H147" s="150"/>
      <c r="I147" s="151"/>
      <c r="J147" s="41" t="str">
        <f aca="false">IF($E147="","",$E147&amp;"|"&amp;COUNTIF($E$5:$E147,$E147))</f>
        <v/>
      </c>
      <c r="K147" s="40" t="str">
        <f aca="false">IF($I147="","",LEN($I147))</f>
        <v/>
      </c>
      <c r="L147" s="13"/>
      <c r="M147" s="13"/>
      <c r="N147" s="13"/>
      <c r="O147" s="13"/>
      <c r="P147" s="152"/>
      <c r="Q147" s="149"/>
      <c r="R147" s="152"/>
      <c r="S147" s="152"/>
      <c r="T147" s="62" t="str">
        <f aca="false">IF(OR($C147="",R147=""),"",IF(R147/IF($R$2="",100,$R$2)&gt;=設定!$I$28,設定!$G$8,IF(R147/IF($R$2="",100,$R$2)&lt;設定!$I$29,設定!$G$10,設定!$G$9)))</f>
        <v/>
      </c>
      <c r="U147" s="62" t="str">
        <f aca="false">IF(OR($C147="",S147=""),"",IF(S147/IF($S$2="",100,$S$2)&gt;=設定!$I$28,設定!$G$8,IF(S147/IF($S$2="",100,$S$2)&lt;設定!$I$29,設定!$G$10,設定!$G$9)))</f>
        <v/>
      </c>
    </row>
    <row r="148" customFormat="false" ht="21" hidden="false" customHeight="true" outlineLevel="0" collapsed="false">
      <c r="A148" s="91" t="str">
        <f aca="false">IF(名簿!$D148="","",名簿!$B148&amp;"")</f>
        <v/>
      </c>
      <c r="B148" s="91" t="str">
        <f aca="false">IF(名簿!$D148="","",名簿!$C148)</f>
        <v/>
      </c>
      <c r="C148" s="59" t="str">
        <f aca="false">IF(名簿!$D148="","",名簿!$D148&amp;IF(名簿!$F148="転出","（転出）",""))</f>
        <v/>
      </c>
      <c r="D148" s="149"/>
      <c r="E148" s="61" t="str">
        <f aca="false">IF(OR($C148="",名簿!$F148="転出"),"",IF($C$2="学級ごと",$A148,IF($C$2="前の単元と同じ",単元16!$E148&amp;"",$D148&amp;"")))</f>
        <v/>
      </c>
      <c r="F148" s="150"/>
      <c r="G148" s="150"/>
      <c r="H148" s="150"/>
      <c r="I148" s="151"/>
      <c r="J148" s="41" t="str">
        <f aca="false">IF($E148="","",$E148&amp;"|"&amp;COUNTIF($E$5:$E148,$E148))</f>
        <v/>
      </c>
      <c r="K148" s="40" t="str">
        <f aca="false">IF($I148="","",LEN($I148))</f>
        <v/>
      </c>
      <c r="L148" s="13"/>
      <c r="M148" s="13"/>
      <c r="N148" s="13"/>
      <c r="O148" s="13"/>
      <c r="P148" s="152"/>
      <c r="Q148" s="149"/>
      <c r="R148" s="152"/>
      <c r="S148" s="152"/>
      <c r="T148" s="62" t="str">
        <f aca="false">IF(OR($C148="",R148=""),"",IF(R148/IF($R$2="",100,$R$2)&gt;=設定!$I$28,設定!$G$8,IF(R148/IF($R$2="",100,$R$2)&lt;設定!$I$29,設定!$G$10,設定!$G$9)))</f>
        <v/>
      </c>
      <c r="U148" s="62" t="str">
        <f aca="false">IF(OR($C148="",S148=""),"",IF(S148/IF($S$2="",100,$S$2)&gt;=設定!$I$28,設定!$G$8,IF(S148/IF($S$2="",100,$S$2)&lt;設定!$I$29,設定!$G$10,設定!$G$9)))</f>
        <v/>
      </c>
    </row>
    <row r="149" customFormat="false" ht="21" hidden="false" customHeight="true" outlineLevel="0" collapsed="false">
      <c r="A149" s="91" t="str">
        <f aca="false">IF(名簿!$D149="","",名簿!$B149&amp;"")</f>
        <v/>
      </c>
      <c r="B149" s="91" t="str">
        <f aca="false">IF(名簿!$D149="","",名簿!$C149)</f>
        <v/>
      </c>
      <c r="C149" s="59" t="str">
        <f aca="false">IF(名簿!$D149="","",名簿!$D149&amp;IF(名簿!$F149="転出","（転出）",""))</f>
        <v/>
      </c>
      <c r="D149" s="149"/>
      <c r="E149" s="61" t="str">
        <f aca="false">IF(OR($C149="",名簿!$F149="転出"),"",IF($C$2="学級ごと",$A149,IF($C$2="前の単元と同じ",単元16!$E149&amp;"",$D149&amp;"")))</f>
        <v/>
      </c>
      <c r="F149" s="150"/>
      <c r="G149" s="150"/>
      <c r="H149" s="150"/>
      <c r="I149" s="151"/>
      <c r="J149" s="41" t="str">
        <f aca="false">IF($E149="","",$E149&amp;"|"&amp;COUNTIF($E$5:$E149,$E149))</f>
        <v/>
      </c>
      <c r="K149" s="40" t="str">
        <f aca="false">IF($I149="","",LEN($I149))</f>
        <v/>
      </c>
      <c r="L149" s="13"/>
      <c r="M149" s="13"/>
      <c r="N149" s="13"/>
      <c r="O149" s="13"/>
      <c r="P149" s="152"/>
      <c r="Q149" s="149"/>
      <c r="R149" s="152"/>
      <c r="S149" s="152"/>
      <c r="T149" s="62" t="str">
        <f aca="false">IF(OR($C149="",R149=""),"",IF(R149/IF($R$2="",100,$R$2)&gt;=設定!$I$28,設定!$G$8,IF(R149/IF($R$2="",100,$R$2)&lt;設定!$I$29,設定!$G$10,設定!$G$9)))</f>
        <v/>
      </c>
      <c r="U149" s="62" t="str">
        <f aca="false">IF(OR($C149="",S149=""),"",IF(S149/IF($S$2="",100,$S$2)&gt;=設定!$I$28,設定!$G$8,IF(S149/IF($S$2="",100,$S$2)&lt;設定!$I$29,設定!$G$10,設定!$G$9)))</f>
        <v/>
      </c>
    </row>
    <row r="150" customFormat="false" ht="21" hidden="false" customHeight="true" outlineLevel="0" collapsed="false">
      <c r="A150" s="91" t="str">
        <f aca="false">IF(名簿!$D150="","",名簿!$B150&amp;"")</f>
        <v/>
      </c>
      <c r="B150" s="91" t="str">
        <f aca="false">IF(名簿!$D150="","",名簿!$C150)</f>
        <v/>
      </c>
      <c r="C150" s="59" t="str">
        <f aca="false">IF(名簿!$D150="","",名簿!$D150&amp;IF(名簿!$F150="転出","（転出）",""))</f>
        <v/>
      </c>
      <c r="D150" s="149"/>
      <c r="E150" s="61" t="str">
        <f aca="false">IF(OR($C150="",名簿!$F150="転出"),"",IF($C$2="学級ごと",$A150,IF($C$2="前の単元と同じ",単元16!$E150&amp;"",$D150&amp;"")))</f>
        <v/>
      </c>
      <c r="F150" s="150"/>
      <c r="G150" s="150"/>
      <c r="H150" s="150"/>
      <c r="I150" s="151"/>
      <c r="J150" s="41" t="str">
        <f aca="false">IF($E150="","",$E150&amp;"|"&amp;COUNTIF($E$5:$E150,$E150))</f>
        <v/>
      </c>
      <c r="K150" s="40" t="str">
        <f aca="false">IF($I150="","",LEN($I150))</f>
        <v/>
      </c>
      <c r="L150" s="13"/>
      <c r="M150" s="13"/>
      <c r="N150" s="13"/>
      <c r="O150" s="13"/>
      <c r="P150" s="152"/>
      <c r="Q150" s="149"/>
      <c r="R150" s="152"/>
      <c r="S150" s="152"/>
      <c r="T150" s="62" t="str">
        <f aca="false">IF(OR($C150="",R150=""),"",IF(R150/IF($R$2="",100,$R$2)&gt;=設定!$I$28,設定!$G$8,IF(R150/IF($R$2="",100,$R$2)&lt;設定!$I$29,設定!$G$10,設定!$G$9)))</f>
        <v/>
      </c>
      <c r="U150" s="62" t="str">
        <f aca="false">IF(OR($C150="",S150=""),"",IF(S150/IF($S$2="",100,$S$2)&gt;=設定!$I$28,設定!$G$8,IF(S150/IF($S$2="",100,$S$2)&lt;設定!$I$29,設定!$G$10,設定!$G$9)))</f>
        <v/>
      </c>
    </row>
    <row r="151" customFormat="false" ht="21" hidden="false" customHeight="true" outlineLevel="0" collapsed="false">
      <c r="A151" s="91" t="str">
        <f aca="false">IF(名簿!$D151="","",名簿!$B151&amp;"")</f>
        <v/>
      </c>
      <c r="B151" s="91" t="str">
        <f aca="false">IF(名簿!$D151="","",名簿!$C151)</f>
        <v/>
      </c>
      <c r="C151" s="59" t="str">
        <f aca="false">IF(名簿!$D151="","",名簿!$D151&amp;IF(名簿!$F151="転出","（転出）",""))</f>
        <v/>
      </c>
      <c r="D151" s="149"/>
      <c r="E151" s="61" t="str">
        <f aca="false">IF(OR($C151="",名簿!$F151="転出"),"",IF($C$2="学級ごと",$A151,IF($C$2="前の単元と同じ",単元16!$E151&amp;"",$D151&amp;"")))</f>
        <v/>
      </c>
      <c r="F151" s="150"/>
      <c r="G151" s="150"/>
      <c r="H151" s="150"/>
      <c r="I151" s="151"/>
      <c r="J151" s="41" t="str">
        <f aca="false">IF($E151="","",$E151&amp;"|"&amp;COUNTIF($E$5:$E151,$E151))</f>
        <v/>
      </c>
      <c r="K151" s="40" t="str">
        <f aca="false">IF($I151="","",LEN($I151))</f>
        <v/>
      </c>
      <c r="L151" s="13"/>
      <c r="M151" s="13"/>
      <c r="N151" s="13"/>
      <c r="O151" s="13"/>
      <c r="P151" s="152"/>
      <c r="Q151" s="149"/>
      <c r="R151" s="152"/>
      <c r="S151" s="152"/>
      <c r="T151" s="62" t="str">
        <f aca="false">IF(OR($C151="",R151=""),"",IF(R151/IF($R$2="",100,$R$2)&gt;=設定!$I$28,設定!$G$8,IF(R151/IF($R$2="",100,$R$2)&lt;設定!$I$29,設定!$G$10,設定!$G$9)))</f>
        <v/>
      </c>
      <c r="U151" s="62" t="str">
        <f aca="false">IF(OR($C151="",S151=""),"",IF(S151/IF($S$2="",100,$S$2)&gt;=設定!$I$28,設定!$G$8,IF(S151/IF($S$2="",100,$S$2)&lt;設定!$I$29,設定!$G$10,設定!$G$9)))</f>
        <v/>
      </c>
    </row>
    <row r="152" customFormat="false" ht="21" hidden="false" customHeight="true" outlineLevel="0" collapsed="false">
      <c r="A152" s="91" t="str">
        <f aca="false">IF(名簿!$D152="","",名簿!$B152&amp;"")</f>
        <v/>
      </c>
      <c r="B152" s="91" t="str">
        <f aca="false">IF(名簿!$D152="","",名簿!$C152)</f>
        <v/>
      </c>
      <c r="C152" s="59" t="str">
        <f aca="false">IF(名簿!$D152="","",名簿!$D152&amp;IF(名簿!$F152="転出","（転出）",""))</f>
        <v/>
      </c>
      <c r="D152" s="149"/>
      <c r="E152" s="61" t="str">
        <f aca="false">IF(OR($C152="",名簿!$F152="転出"),"",IF($C$2="学級ごと",$A152,IF($C$2="前の単元と同じ",単元16!$E152&amp;"",$D152&amp;"")))</f>
        <v/>
      </c>
      <c r="F152" s="150"/>
      <c r="G152" s="150"/>
      <c r="H152" s="150"/>
      <c r="I152" s="151"/>
      <c r="J152" s="41" t="str">
        <f aca="false">IF($E152="","",$E152&amp;"|"&amp;COUNTIF($E$5:$E152,$E152))</f>
        <v/>
      </c>
      <c r="K152" s="40" t="str">
        <f aca="false">IF($I152="","",LEN($I152))</f>
        <v/>
      </c>
      <c r="L152" s="13"/>
      <c r="M152" s="13"/>
      <c r="N152" s="13"/>
      <c r="O152" s="13"/>
      <c r="P152" s="152"/>
      <c r="Q152" s="149"/>
      <c r="R152" s="152"/>
      <c r="S152" s="152"/>
      <c r="T152" s="62" t="str">
        <f aca="false">IF(OR($C152="",R152=""),"",IF(R152/IF($R$2="",100,$R$2)&gt;=設定!$I$28,設定!$G$8,IF(R152/IF($R$2="",100,$R$2)&lt;設定!$I$29,設定!$G$10,設定!$G$9)))</f>
        <v/>
      </c>
      <c r="U152" s="62" t="str">
        <f aca="false">IF(OR($C152="",S152=""),"",IF(S152/IF($S$2="",100,$S$2)&gt;=設定!$I$28,設定!$G$8,IF(S152/IF($S$2="",100,$S$2)&lt;設定!$I$29,設定!$G$10,設定!$G$9)))</f>
        <v/>
      </c>
    </row>
    <row r="153" customFormat="false" ht="21" hidden="false" customHeight="true" outlineLevel="0" collapsed="false">
      <c r="A153" s="91" t="str">
        <f aca="false">IF(名簿!$D153="","",名簿!$B153&amp;"")</f>
        <v/>
      </c>
      <c r="B153" s="91" t="str">
        <f aca="false">IF(名簿!$D153="","",名簿!$C153)</f>
        <v/>
      </c>
      <c r="C153" s="59" t="str">
        <f aca="false">IF(名簿!$D153="","",名簿!$D153&amp;IF(名簿!$F153="転出","（転出）",""))</f>
        <v/>
      </c>
      <c r="D153" s="149"/>
      <c r="E153" s="61" t="str">
        <f aca="false">IF(OR($C153="",名簿!$F153="転出"),"",IF($C$2="学級ごと",$A153,IF($C$2="前の単元と同じ",単元16!$E153&amp;"",$D153&amp;"")))</f>
        <v/>
      </c>
      <c r="F153" s="150"/>
      <c r="G153" s="150"/>
      <c r="H153" s="150"/>
      <c r="I153" s="151"/>
      <c r="J153" s="41" t="str">
        <f aca="false">IF($E153="","",$E153&amp;"|"&amp;COUNTIF($E$5:$E153,$E153))</f>
        <v/>
      </c>
      <c r="K153" s="40" t="str">
        <f aca="false">IF($I153="","",LEN($I153))</f>
        <v/>
      </c>
      <c r="L153" s="13"/>
      <c r="M153" s="13"/>
      <c r="N153" s="13"/>
      <c r="O153" s="13"/>
      <c r="P153" s="152"/>
      <c r="Q153" s="149"/>
      <c r="R153" s="152"/>
      <c r="S153" s="152"/>
      <c r="T153" s="62" t="str">
        <f aca="false">IF(OR($C153="",R153=""),"",IF(R153/IF($R$2="",100,$R$2)&gt;=設定!$I$28,設定!$G$8,IF(R153/IF($R$2="",100,$R$2)&lt;設定!$I$29,設定!$G$10,設定!$G$9)))</f>
        <v/>
      </c>
      <c r="U153" s="62" t="str">
        <f aca="false">IF(OR($C153="",S153=""),"",IF(S153/IF($S$2="",100,$S$2)&gt;=設定!$I$28,設定!$G$8,IF(S153/IF($S$2="",100,$S$2)&lt;設定!$I$29,設定!$G$10,設定!$G$9)))</f>
        <v/>
      </c>
    </row>
    <row r="154" customFormat="false" ht="21" hidden="false" customHeight="true" outlineLevel="0" collapsed="false">
      <c r="A154" s="91" t="str">
        <f aca="false">IF(名簿!$D154="","",名簿!$B154&amp;"")</f>
        <v/>
      </c>
      <c r="B154" s="91" t="str">
        <f aca="false">IF(名簿!$D154="","",名簿!$C154)</f>
        <v/>
      </c>
      <c r="C154" s="59" t="str">
        <f aca="false">IF(名簿!$D154="","",名簿!$D154&amp;IF(名簿!$F154="転出","（転出）",""))</f>
        <v/>
      </c>
      <c r="D154" s="149"/>
      <c r="E154" s="61" t="str">
        <f aca="false">IF(OR($C154="",名簿!$F154="転出"),"",IF($C$2="学級ごと",$A154,IF($C$2="前の単元と同じ",単元16!$E154&amp;"",$D154&amp;"")))</f>
        <v/>
      </c>
      <c r="F154" s="150"/>
      <c r="G154" s="150"/>
      <c r="H154" s="150"/>
      <c r="I154" s="151"/>
      <c r="J154" s="41" t="str">
        <f aca="false">IF($E154="","",$E154&amp;"|"&amp;COUNTIF($E$5:$E154,$E154))</f>
        <v/>
      </c>
      <c r="K154" s="40" t="str">
        <f aca="false">IF($I154="","",LEN($I154))</f>
        <v/>
      </c>
      <c r="L154" s="13"/>
      <c r="M154" s="13"/>
      <c r="N154" s="13"/>
      <c r="O154" s="13"/>
      <c r="P154" s="152"/>
      <c r="Q154" s="149"/>
      <c r="R154" s="152"/>
      <c r="S154" s="152"/>
      <c r="T154" s="62" t="str">
        <f aca="false">IF(OR($C154="",R154=""),"",IF(R154/IF($R$2="",100,$R$2)&gt;=設定!$I$28,設定!$G$8,IF(R154/IF($R$2="",100,$R$2)&lt;設定!$I$29,設定!$G$10,設定!$G$9)))</f>
        <v/>
      </c>
      <c r="U154" s="62" t="str">
        <f aca="false">IF(OR($C154="",S154=""),"",IF(S154/IF($S$2="",100,$S$2)&gt;=設定!$I$28,設定!$G$8,IF(S154/IF($S$2="",100,$S$2)&lt;設定!$I$29,設定!$G$10,設定!$G$9)))</f>
        <v/>
      </c>
    </row>
    <row r="155" customFormat="false" ht="21" hidden="false" customHeight="true" outlineLevel="0" collapsed="false">
      <c r="A155" s="91" t="str">
        <f aca="false">IF(名簿!$D155="","",名簿!$B155&amp;"")</f>
        <v/>
      </c>
      <c r="B155" s="91" t="str">
        <f aca="false">IF(名簿!$D155="","",名簿!$C155)</f>
        <v/>
      </c>
      <c r="C155" s="59" t="str">
        <f aca="false">IF(名簿!$D155="","",名簿!$D155&amp;IF(名簿!$F155="転出","（転出）",""))</f>
        <v/>
      </c>
      <c r="D155" s="149"/>
      <c r="E155" s="61" t="str">
        <f aca="false">IF(OR($C155="",名簿!$F155="転出"),"",IF($C$2="学級ごと",$A155,IF($C$2="前の単元と同じ",単元16!$E155&amp;"",$D155&amp;"")))</f>
        <v/>
      </c>
      <c r="F155" s="150"/>
      <c r="G155" s="150"/>
      <c r="H155" s="150"/>
      <c r="I155" s="151"/>
      <c r="J155" s="41" t="str">
        <f aca="false">IF($E155="","",$E155&amp;"|"&amp;COUNTIF($E$5:$E155,$E155))</f>
        <v/>
      </c>
      <c r="K155" s="40" t="str">
        <f aca="false">IF($I155="","",LEN($I155))</f>
        <v/>
      </c>
      <c r="L155" s="13"/>
      <c r="M155" s="13"/>
      <c r="N155" s="13"/>
      <c r="O155" s="13"/>
      <c r="P155" s="152"/>
      <c r="Q155" s="149"/>
      <c r="R155" s="152"/>
      <c r="S155" s="152"/>
      <c r="T155" s="62" t="str">
        <f aca="false">IF(OR($C155="",R155=""),"",IF(R155/IF($R$2="",100,$R$2)&gt;=設定!$I$28,設定!$G$8,IF(R155/IF($R$2="",100,$R$2)&lt;設定!$I$29,設定!$G$10,設定!$G$9)))</f>
        <v/>
      </c>
      <c r="U155" s="62" t="str">
        <f aca="false">IF(OR($C155="",S155=""),"",IF(S155/IF($S$2="",100,$S$2)&gt;=設定!$I$28,設定!$G$8,IF(S155/IF($S$2="",100,$S$2)&lt;設定!$I$29,設定!$G$10,設定!$G$9)))</f>
        <v/>
      </c>
    </row>
    <row r="156" customFormat="false" ht="21" hidden="false" customHeight="true" outlineLevel="0" collapsed="false">
      <c r="A156" s="91" t="str">
        <f aca="false">IF(名簿!$D156="","",名簿!$B156&amp;"")</f>
        <v/>
      </c>
      <c r="B156" s="91" t="str">
        <f aca="false">IF(名簿!$D156="","",名簿!$C156)</f>
        <v/>
      </c>
      <c r="C156" s="59" t="str">
        <f aca="false">IF(名簿!$D156="","",名簿!$D156&amp;IF(名簿!$F156="転出","（転出）",""))</f>
        <v/>
      </c>
      <c r="D156" s="149"/>
      <c r="E156" s="61" t="str">
        <f aca="false">IF(OR($C156="",名簿!$F156="転出"),"",IF($C$2="学級ごと",$A156,IF($C$2="前の単元と同じ",単元16!$E156&amp;"",$D156&amp;"")))</f>
        <v/>
      </c>
      <c r="F156" s="150"/>
      <c r="G156" s="150"/>
      <c r="H156" s="150"/>
      <c r="I156" s="151"/>
      <c r="J156" s="41" t="str">
        <f aca="false">IF($E156="","",$E156&amp;"|"&amp;COUNTIF($E$5:$E156,$E156))</f>
        <v/>
      </c>
      <c r="K156" s="40" t="str">
        <f aca="false">IF($I156="","",LEN($I156))</f>
        <v/>
      </c>
      <c r="L156" s="13"/>
      <c r="M156" s="13"/>
      <c r="N156" s="13"/>
      <c r="O156" s="13"/>
      <c r="P156" s="152"/>
      <c r="Q156" s="149"/>
      <c r="R156" s="152"/>
      <c r="S156" s="152"/>
      <c r="T156" s="62" t="str">
        <f aca="false">IF(OR($C156="",R156=""),"",IF(R156/IF($R$2="",100,$R$2)&gt;=設定!$I$28,設定!$G$8,IF(R156/IF($R$2="",100,$R$2)&lt;設定!$I$29,設定!$G$10,設定!$G$9)))</f>
        <v/>
      </c>
      <c r="U156" s="62" t="str">
        <f aca="false">IF(OR($C156="",S156=""),"",IF(S156/IF($S$2="",100,$S$2)&gt;=設定!$I$28,設定!$G$8,IF(S156/IF($S$2="",100,$S$2)&lt;設定!$I$29,設定!$G$10,設定!$G$9)))</f>
        <v/>
      </c>
    </row>
    <row r="157" customFormat="false" ht="21" hidden="false" customHeight="true" outlineLevel="0" collapsed="false">
      <c r="A157" s="91" t="str">
        <f aca="false">IF(名簿!$D157="","",名簿!$B157&amp;"")</f>
        <v/>
      </c>
      <c r="B157" s="91" t="str">
        <f aca="false">IF(名簿!$D157="","",名簿!$C157)</f>
        <v/>
      </c>
      <c r="C157" s="59" t="str">
        <f aca="false">IF(名簿!$D157="","",名簿!$D157&amp;IF(名簿!$F157="転出","（転出）",""))</f>
        <v/>
      </c>
      <c r="D157" s="149"/>
      <c r="E157" s="61" t="str">
        <f aca="false">IF(OR($C157="",名簿!$F157="転出"),"",IF($C$2="学級ごと",$A157,IF($C$2="前の単元と同じ",単元16!$E157&amp;"",$D157&amp;"")))</f>
        <v/>
      </c>
      <c r="F157" s="150"/>
      <c r="G157" s="150"/>
      <c r="H157" s="150"/>
      <c r="I157" s="151"/>
      <c r="J157" s="41" t="str">
        <f aca="false">IF($E157="","",$E157&amp;"|"&amp;COUNTIF($E$5:$E157,$E157))</f>
        <v/>
      </c>
      <c r="K157" s="40" t="str">
        <f aca="false">IF($I157="","",LEN($I157))</f>
        <v/>
      </c>
      <c r="L157" s="13"/>
      <c r="M157" s="13"/>
      <c r="N157" s="13"/>
      <c r="O157" s="13"/>
      <c r="P157" s="152"/>
      <c r="Q157" s="149"/>
      <c r="R157" s="152"/>
      <c r="S157" s="152"/>
      <c r="T157" s="62" t="str">
        <f aca="false">IF(OR($C157="",R157=""),"",IF(R157/IF($R$2="",100,$R$2)&gt;=設定!$I$28,設定!$G$8,IF(R157/IF($R$2="",100,$R$2)&lt;設定!$I$29,設定!$G$10,設定!$G$9)))</f>
        <v/>
      </c>
      <c r="U157" s="62" t="str">
        <f aca="false">IF(OR($C157="",S157=""),"",IF(S157/IF($S$2="",100,$S$2)&gt;=設定!$I$28,設定!$G$8,IF(S157/IF($S$2="",100,$S$2)&lt;設定!$I$29,設定!$G$10,設定!$G$9)))</f>
        <v/>
      </c>
    </row>
    <row r="158" customFormat="false" ht="21" hidden="false" customHeight="true" outlineLevel="0" collapsed="false">
      <c r="A158" s="91" t="str">
        <f aca="false">IF(名簿!$D158="","",名簿!$B158&amp;"")</f>
        <v/>
      </c>
      <c r="B158" s="91" t="str">
        <f aca="false">IF(名簿!$D158="","",名簿!$C158)</f>
        <v/>
      </c>
      <c r="C158" s="59" t="str">
        <f aca="false">IF(名簿!$D158="","",名簿!$D158&amp;IF(名簿!$F158="転出","（転出）",""))</f>
        <v/>
      </c>
      <c r="D158" s="149"/>
      <c r="E158" s="61" t="str">
        <f aca="false">IF(OR($C158="",名簿!$F158="転出"),"",IF($C$2="学級ごと",$A158,IF($C$2="前の単元と同じ",単元16!$E158&amp;"",$D158&amp;"")))</f>
        <v/>
      </c>
      <c r="F158" s="150"/>
      <c r="G158" s="150"/>
      <c r="H158" s="150"/>
      <c r="I158" s="151"/>
      <c r="J158" s="41" t="str">
        <f aca="false">IF($E158="","",$E158&amp;"|"&amp;COUNTIF($E$5:$E158,$E158))</f>
        <v/>
      </c>
      <c r="K158" s="40" t="str">
        <f aca="false">IF($I158="","",LEN($I158))</f>
        <v/>
      </c>
      <c r="L158" s="13"/>
      <c r="M158" s="13"/>
      <c r="N158" s="13"/>
      <c r="O158" s="13"/>
      <c r="P158" s="152"/>
      <c r="Q158" s="149"/>
      <c r="R158" s="152"/>
      <c r="S158" s="152"/>
      <c r="T158" s="62" t="str">
        <f aca="false">IF(OR($C158="",R158=""),"",IF(R158/IF($R$2="",100,$R$2)&gt;=設定!$I$28,設定!$G$8,IF(R158/IF($R$2="",100,$R$2)&lt;設定!$I$29,設定!$G$10,設定!$G$9)))</f>
        <v/>
      </c>
      <c r="U158" s="62" t="str">
        <f aca="false">IF(OR($C158="",S158=""),"",IF(S158/IF($S$2="",100,$S$2)&gt;=設定!$I$28,設定!$G$8,IF(S158/IF($S$2="",100,$S$2)&lt;設定!$I$29,設定!$G$10,設定!$G$9)))</f>
        <v/>
      </c>
    </row>
    <row r="159" customFormat="false" ht="21" hidden="false" customHeight="true" outlineLevel="0" collapsed="false">
      <c r="A159" s="91" t="str">
        <f aca="false">IF(名簿!$D159="","",名簿!$B159&amp;"")</f>
        <v/>
      </c>
      <c r="B159" s="91" t="str">
        <f aca="false">IF(名簿!$D159="","",名簿!$C159)</f>
        <v/>
      </c>
      <c r="C159" s="59" t="str">
        <f aca="false">IF(名簿!$D159="","",名簿!$D159&amp;IF(名簿!$F159="転出","（転出）",""))</f>
        <v/>
      </c>
      <c r="D159" s="149"/>
      <c r="E159" s="61" t="str">
        <f aca="false">IF(OR($C159="",名簿!$F159="転出"),"",IF($C$2="学級ごと",$A159,IF($C$2="前の単元と同じ",単元16!$E159&amp;"",$D159&amp;"")))</f>
        <v/>
      </c>
      <c r="F159" s="150"/>
      <c r="G159" s="150"/>
      <c r="H159" s="150"/>
      <c r="I159" s="151"/>
      <c r="J159" s="41" t="str">
        <f aca="false">IF($E159="","",$E159&amp;"|"&amp;COUNTIF($E$5:$E159,$E159))</f>
        <v/>
      </c>
      <c r="K159" s="40" t="str">
        <f aca="false">IF($I159="","",LEN($I159))</f>
        <v/>
      </c>
      <c r="L159" s="13"/>
      <c r="M159" s="13"/>
      <c r="N159" s="13"/>
      <c r="O159" s="13"/>
      <c r="P159" s="152"/>
      <c r="Q159" s="149"/>
      <c r="R159" s="152"/>
      <c r="S159" s="152"/>
      <c r="T159" s="62" t="str">
        <f aca="false">IF(OR($C159="",R159=""),"",IF(R159/IF($R$2="",100,$R$2)&gt;=設定!$I$28,設定!$G$8,IF(R159/IF($R$2="",100,$R$2)&lt;設定!$I$29,設定!$G$10,設定!$G$9)))</f>
        <v/>
      </c>
      <c r="U159" s="62" t="str">
        <f aca="false">IF(OR($C159="",S159=""),"",IF(S159/IF($S$2="",100,$S$2)&gt;=設定!$I$28,設定!$G$8,IF(S159/IF($S$2="",100,$S$2)&lt;設定!$I$29,設定!$G$10,設定!$G$9)))</f>
        <v/>
      </c>
    </row>
    <row r="160" customFormat="false" ht="21" hidden="false" customHeight="true" outlineLevel="0" collapsed="false">
      <c r="A160" s="91" t="str">
        <f aca="false">IF(名簿!$D160="","",名簿!$B160&amp;"")</f>
        <v/>
      </c>
      <c r="B160" s="91" t="str">
        <f aca="false">IF(名簿!$D160="","",名簿!$C160)</f>
        <v/>
      </c>
      <c r="C160" s="59" t="str">
        <f aca="false">IF(名簿!$D160="","",名簿!$D160&amp;IF(名簿!$F160="転出","（転出）",""))</f>
        <v/>
      </c>
      <c r="D160" s="149"/>
      <c r="E160" s="61" t="str">
        <f aca="false">IF(OR($C160="",名簿!$F160="転出"),"",IF($C$2="学級ごと",$A160,IF($C$2="前の単元と同じ",単元16!$E160&amp;"",$D160&amp;"")))</f>
        <v/>
      </c>
      <c r="F160" s="150"/>
      <c r="G160" s="150"/>
      <c r="H160" s="150"/>
      <c r="I160" s="151"/>
      <c r="J160" s="41" t="str">
        <f aca="false">IF($E160="","",$E160&amp;"|"&amp;COUNTIF($E$5:$E160,$E160))</f>
        <v/>
      </c>
      <c r="K160" s="40" t="str">
        <f aca="false">IF($I160="","",LEN($I160))</f>
        <v/>
      </c>
      <c r="L160" s="13"/>
      <c r="M160" s="13"/>
      <c r="N160" s="13"/>
      <c r="O160" s="13"/>
      <c r="P160" s="152"/>
      <c r="Q160" s="149"/>
      <c r="R160" s="152"/>
      <c r="S160" s="152"/>
      <c r="T160" s="62" t="str">
        <f aca="false">IF(OR($C160="",R160=""),"",IF(R160/IF($R$2="",100,$R$2)&gt;=設定!$I$28,設定!$G$8,IF(R160/IF($R$2="",100,$R$2)&lt;設定!$I$29,設定!$G$10,設定!$G$9)))</f>
        <v/>
      </c>
      <c r="U160" s="62" t="str">
        <f aca="false">IF(OR($C160="",S160=""),"",IF(S160/IF($S$2="",100,$S$2)&gt;=設定!$I$28,設定!$G$8,IF(S160/IF($S$2="",100,$S$2)&lt;設定!$I$29,設定!$G$10,設定!$G$9)))</f>
        <v/>
      </c>
    </row>
    <row r="161" customFormat="false" ht="21" hidden="false" customHeight="true" outlineLevel="0" collapsed="false">
      <c r="A161" s="91" t="str">
        <f aca="false">IF(名簿!$D161="","",名簿!$B161&amp;"")</f>
        <v/>
      </c>
      <c r="B161" s="91" t="str">
        <f aca="false">IF(名簿!$D161="","",名簿!$C161)</f>
        <v/>
      </c>
      <c r="C161" s="59" t="str">
        <f aca="false">IF(名簿!$D161="","",名簿!$D161&amp;IF(名簿!$F161="転出","（転出）",""))</f>
        <v/>
      </c>
      <c r="D161" s="149"/>
      <c r="E161" s="61" t="str">
        <f aca="false">IF(OR($C161="",名簿!$F161="転出"),"",IF($C$2="学級ごと",$A161,IF($C$2="前の単元と同じ",単元16!$E161&amp;"",$D161&amp;"")))</f>
        <v/>
      </c>
      <c r="F161" s="150"/>
      <c r="G161" s="150"/>
      <c r="H161" s="150"/>
      <c r="I161" s="151"/>
      <c r="J161" s="41" t="str">
        <f aca="false">IF($E161="","",$E161&amp;"|"&amp;COUNTIF($E$5:$E161,$E161))</f>
        <v/>
      </c>
      <c r="K161" s="40" t="str">
        <f aca="false">IF($I161="","",LEN($I161))</f>
        <v/>
      </c>
      <c r="L161" s="13"/>
      <c r="M161" s="13"/>
      <c r="N161" s="13"/>
      <c r="O161" s="13"/>
      <c r="P161" s="152"/>
      <c r="Q161" s="149"/>
      <c r="R161" s="152"/>
      <c r="S161" s="152"/>
      <c r="T161" s="62" t="str">
        <f aca="false">IF(OR($C161="",R161=""),"",IF(R161/IF($R$2="",100,$R$2)&gt;=設定!$I$28,設定!$G$8,IF(R161/IF($R$2="",100,$R$2)&lt;設定!$I$29,設定!$G$10,設定!$G$9)))</f>
        <v/>
      </c>
      <c r="U161" s="62" t="str">
        <f aca="false">IF(OR($C161="",S161=""),"",IF(S161/IF($S$2="",100,$S$2)&gt;=設定!$I$28,設定!$G$8,IF(S161/IF($S$2="",100,$S$2)&lt;設定!$I$29,設定!$G$10,設定!$G$9)))</f>
        <v/>
      </c>
    </row>
    <row r="162" customFormat="false" ht="21" hidden="false" customHeight="true" outlineLevel="0" collapsed="false">
      <c r="A162" s="91" t="str">
        <f aca="false">IF(名簿!$D162="","",名簿!$B162&amp;"")</f>
        <v/>
      </c>
      <c r="B162" s="91" t="str">
        <f aca="false">IF(名簿!$D162="","",名簿!$C162)</f>
        <v/>
      </c>
      <c r="C162" s="59" t="str">
        <f aca="false">IF(名簿!$D162="","",名簿!$D162&amp;IF(名簿!$F162="転出","（転出）",""))</f>
        <v/>
      </c>
      <c r="D162" s="149"/>
      <c r="E162" s="61" t="str">
        <f aca="false">IF(OR($C162="",名簿!$F162="転出"),"",IF($C$2="学級ごと",$A162,IF($C$2="前の単元と同じ",単元16!$E162&amp;"",$D162&amp;"")))</f>
        <v/>
      </c>
      <c r="F162" s="150"/>
      <c r="G162" s="150"/>
      <c r="H162" s="150"/>
      <c r="I162" s="151"/>
      <c r="J162" s="41" t="str">
        <f aca="false">IF($E162="","",$E162&amp;"|"&amp;COUNTIF($E$5:$E162,$E162))</f>
        <v/>
      </c>
      <c r="K162" s="40" t="str">
        <f aca="false">IF($I162="","",LEN($I162))</f>
        <v/>
      </c>
      <c r="L162" s="13"/>
      <c r="M162" s="13"/>
      <c r="N162" s="13"/>
      <c r="O162" s="13"/>
      <c r="P162" s="152"/>
      <c r="Q162" s="149"/>
      <c r="R162" s="152"/>
      <c r="S162" s="152"/>
      <c r="T162" s="62" t="str">
        <f aca="false">IF(OR($C162="",R162=""),"",IF(R162/IF($R$2="",100,$R$2)&gt;=設定!$I$28,設定!$G$8,IF(R162/IF($R$2="",100,$R$2)&lt;設定!$I$29,設定!$G$10,設定!$G$9)))</f>
        <v/>
      </c>
      <c r="U162" s="62" t="str">
        <f aca="false">IF(OR($C162="",S162=""),"",IF(S162/IF($S$2="",100,$S$2)&gt;=設定!$I$28,設定!$G$8,IF(S162/IF($S$2="",100,$S$2)&lt;設定!$I$29,設定!$G$10,設定!$G$9)))</f>
        <v/>
      </c>
    </row>
    <row r="163" customFormat="false" ht="21" hidden="false" customHeight="true" outlineLevel="0" collapsed="false">
      <c r="A163" s="91" t="str">
        <f aca="false">IF(名簿!$D163="","",名簿!$B163&amp;"")</f>
        <v/>
      </c>
      <c r="B163" s="91" t="str">
        <f aca="false">IF(名簿!$D163="","",名簿!$C163)</f>
        <v/>
      </c>
      <c r="C163" s="59" t="str">
        <f aca="false">IF(名簿!$D163="","",名簿!$D163&amp;IF(名簿!$F163="転出","（転出）",""))</f>
        <v/>
      </c>
      <c r="D163" s="149"/>
      <c r="E163" s="61" t="str">
        <f aca="false">IF(OR($C163="",名簿!$F163="転出"),"",IF($C$2="学級ごと",$A163,IF($C$2="前の単元と同じ",単元16!$E163&amp;"",$D163&amp;"")))</f>
        <v/>
      </c>
      <c r="F163" s="150"/>
      <c r="G163" s="150"/>
      <c r="H163" s="150"/>
      <c r="I163" s="151"/>
      <c r="J163" s="41" t="str">
        <f aca="false">IF($E163="","",$E163&amp;"|"&amp;COUNTIF($E$5:$E163,$E163))</f>
        <v/>
      </c>
      <c r="K163" s="40" t="str">
        <f aca="false">IF($I163="","",LEN($I163))</f>
        <v/>
      </c>
      <c r="L163" s="13"/>
      <c r="M163" s="13"/>
      <c r="N163" s="13"/>
      <c r="O163" s="13"/>
      <c r="P163" s="152"/>
      <c r="Q163" s="149"/>
      <c r="R163" s="152"/>
      <c r="S163" s="152"/>
      <c r="T163" s="62" t="str">
        <f aca="false">IF(OR($C163="",R163=""),"",IF(R163/IF($R$2="",100,$R$2)&gt;=設定!$I$28,設定!$G$8,IF(R163/IF($R$2="",100,$R$2)&lt;設定!$I$29,設定!$G$10,設定!$G$9)))</f>
        <v/>
      </c>
      <c r="U163" s="62" t="str">
        <f aca="false">IF(OR($C163="",S163=""),"",IF(S163/IF($S$2="",100,$S$2)&gt;=設定!$I$28,設定!$G$8,IF(S163/IF($S$2="",100,$S$2)&lt;設定!$I$29,設定!$G$10,設定!$G$9)))</f>
        <v/>
      </c>
    </row>
    <row r="164" customFormat="false" ht="21" hidden="false" customHeight="true" outlineLevel="0" collapsed="false">
      <c r="A164" s="91" t="str">
        <f aca="false">IF(名簿!$D164="","",名簿!$B164&amp;"")</f>
        <v/>
      </c>
      <c r="B164" s="91" t="str">
        <f aca="false">IF(名簿!$D164="","",名簿!$C164)</f>
        <v/>
      </c>
      <c r="C164" s="59" t="str">
        <f aca="false">IF(名簿!$D164="","",名簿!$D164&amp;IF(名簿!$F164="転出","（転出）",""))</f>
        <v/>
      </c>
      <c r="D164" s="149"/>
      <c r="E164" s="61" t="str">
        <f aca="false">IF(OR($C164="",名簿!$F164="転出"),"",IF($C$2="学級ごと",$A164,IF($C$2="前の単元と同じ",単元16!$E164&amp;"",$D164&amp;"")))</f>
        <v/>
      </c>
      <c r="F164" s="150"/>
      <c r="G164" s="150"/>
      <c r="H164" s="150"/>
      <c r="I164" s="151"/>
      <c r="J164" s="41" t="str">
        <f aca="false">IF($E164="","",$E164&amp;"|"&amp;COUNTIF($E$5:$E164,$E164))</f>
        <v/>
      </c>
      <c r="K164" s="40" t="str">
        <f aca="false">IF($I164="","",LEN($I164))</f>
        <v/>
      </c>
      <c r="L164" s="13"/>
      <c r="M164" s="13"/>
      <c r="N164" s="13"/>
      <c r="O164" s="13"/>
      <c r="P164" s="152"/>
      <c r="Q164" s="149"/>
      <c r="R164" s="152"/>
      <c r="S164" s="152"/>
      <c r="T164" s="62" t="str">
        <f aca="false">IF(OR($C164="",R164=""),"",IF(R164/IF($R$2="",100,$R$2)&gt;=設定!$I$28,設定!$G$8,IF(R164/IF($R$2="",100,$R$2)&lt;設定!$I$29,設定!$G$10,設定!$G$9)))</f>
        <v/>
      </c>
      <c r="U164" s="62" t="str">
        <f aca="false">IF(OR($C164="",S164=""),"",IF(S164/IF($S$2="",100,$S$2)&gt;=設定!$I$28,設定!$G$8,IF(S164/IF($S$2="",100,$S$2)&lt;設定!$I$29,設定!$G$10,設定!$G$9)))</f>
        <v/>
      </c>
    </row>
  </sheetData>
  <sheetProtection sheet="true" formatColumns="false" formatRows="false" autoFilter="false"/>
  <autoFilter ref="A4:I164"/>
  <mergeCells count="5">
    <mergeCell ref="A1:I1"/>
    <mergeCell ref="R1:U1"/>
    <mergeCell ref="A2:B2"/>
    <mergeCell ref="D2:I2"/>
    <mergeCell ref="T2:U2"/>
  </mergeCells>
  <conditionalFormatting sqref="A5:C164">
    <cfRule type="expression" priority="2" aboveAverage="0" equalAverage="0" bottom="0" percent="0" rank="0" text="" dxfId="37">
      <formula>RIGHT($C5,4)="（転出）"</formula>
    </cfRule>
    <cfRule type="expression" priority="3" aboveAverage="0" equalAverage="0" bottom="0" percent="0" rank="0" text="" dxfId="8">
      <formula>$C5&lt;&gt;""</formula>
    </cfRule>
  </conditionalFormatting>
  <conditionalFormatting sqref="D5:D164">
    <cfRule type="expression" priority="4" aboveAverage="0" equalAverage="0" bottom="0" percent="0" rank="0" text="" dxfId="37">
      <formula>RIGHT($C5,4)="（転出）"</formula>
    </cfRule>
    <cfRule type="expression" priority="5" aboveAverage="0" equalAverage="0" bottom="0" percent="0" rank="0" text="" dxfId="38">
      <formula>AND($C5&lt;&gt;"",$C$2&lt;&gt;"習熟度別")</formula>
    </cfRule>
    <cfRule type="expression" priority="6" aboveAverage="0" equalAverage="0" bottom="0" percent="0" rank="0" text="" dxfId="39">
      <formula>AND($C5&lt;&gt;"",$E5="")</formula>
    </cfRule>
    <cfRule type="expression" priority="7" aboveAverage="0" equalAverage="0" bottom="0" percent="0" rank="0" text="" dxfId="39">
      <formula>AND($C5&lt;&gt;"",$D5&lt;&gt;"",COUNTIF(コース一覧,$D5)=0)</formula>
    </cfRule>
    <cfRule type="expression" priority="8" aboveAverage="0" equalAverage="0" bottom="0" percent="0" rank="0" text="" dxfId="40">
      <formula>AND($C5&lt;&gt;"",$C$2="習熟度別",$Q5&lt;&gt;"",$E5&lt;&gt;"",$Q5&lt;&gt;$E5)</formula>
    </cfRule>
    <cfRule type="expression" priority="9" aboveAverage="0" equalAverage="0" bottom="0" percent="0" rank="0" text="" dxfId="41">
      <formula>$C5&lt;&gt;""</formula>
    </cfRule>
  </conditionalFormatting>
  <conditionalFormatting sqref="E5:E164">
    <cfRule type="expression" priority="10" aboveAverage="0" equalAverage="0" bottom="0" percent="0" rank="0" text="" dxfId="37">
      <formula>RIGHT($C5,4)="（転出）"</formula>
    </cfRule>
    <cfRule type="expression" priority="11" aboveAverage="0" equalAverage="0" bottom="0" percent="0" rank="0" text="" dxfId="42">
      <formula>AND($E5&lt;&gt;"",$E5=$L$2)</formula>
    </cfRule>
    <cfRule type="expression" priority="12" aboveAverage="0" equalAverage="0" bottom="0" percent="0" rank="0" text="" dxfId="43">
      <formula>AND($E5&lt;&gt;"",$E5=$L$3)</formula>
    </cfRule>
    <cfRule type="expression" priority="13" aboveAverage="0" equalAverage="0" bottom="0" percent="0" rank="0" text="" dxfId="44">
      <formula>AND($E5&lt;&gt;"",$E5=$L$4)</formula>
    </cfRule>
    <cfRule type="expression" priority="14" aboveAverage="0" equalAverage="0" bottom="0" percent="0" rank="0" text="" dxfId="45">
      <formula>AND($E5&lt;&gt;"",$E5=$L$5)</formula>
    </cfRule>
    <cfRule type="expression" priority="15" aboveAverage="0" equalAverage="0" bottom="0" percent="0" rank="0" text="" dxfId="46">
      <formula>AND($E5&lt;&gt;"",$E5=$L$6)</formula>
    </cfRule>
    <cfRule type="expression" priority="16" aboveAverage="0" equalAverage="0" bottom="0" percent="0" rank="0" text="" dxfId="8">
      <formula>$C5&lt;&gt;""</formula>
    </cfRule>
  </conditionalFormatting>
  <conditionalFormatting sqref="F5:H164">
    <cfRule type="expression" priority="17" aboveAverage="0" equalAverage="0" bottom="0" percent="0" rank="0" text="" dxfId="37">
      <formula>RIGHT($C5,4)="（転出）"</formula>
    </cfRule>
    <cfRule type="expression" priority="18" aboveAverage="0" equalAverage="0" bottom="0" percent="0" rank="0" text="" dxfId="12">
      <formula>AND(F5&lt;&gt;"",F5=設定!$G$10)</formula>
    </cfRule>
    <cfRule type="expression" priority="19" aboveAverage="0" equalAverage="0" bottom="0" percent="0" rank="0" text="" dxfId="47">
      <formula>AND(F5&lt;&gt;"",F5=設定!$G$8)</formula>
    </cfRule>
    <cfRule type="expression" priority="20" aboveAverage="0" equalAverage="0" bottom="0" percent="0" rank="0" text="" dxfId="41">
      <formula>AND($C5&lt;&gt;"",$E5&lt;&gt;"")</formula>
    </cfRule>
    <cfRule type="expression" priority="21" aboveAverage="0" equalAverage="0" bottom="0" percent="0" rank="0" text="" dxfId="8">
      <formula>$C5&lt;&gt;""</formula>
    </cfRule>
  </conditionalFormatting>
  <conditionalFormatting sqref="I5:I164">
    <cfRule type="expression" priority="22" aboveAverage="0" equalAverage="0" bottom="0" percent="0" rank="0" text="" dxfId="37">
      <formula>RIGHT($C5,4)="（転出）"</formula>
    </cfRule>
    <cfRule type="expression" priority="23" aboveAverage="0" equalAverage="0" bottom="0" percent="0" rank="0" text="" dxfId="48">
      <formula>AND($C5&lt;&gt;"",$I5&lt;&gt;"",ISNUMBER(設定!$I$22),LEN($I5)&gt;設定!$I$22)</formula>
    </cfRule>
    <cfRule type="expression" priority="24" aboveAverage="0" equalAverage="0" bottom="0" percent="0" rank="0" text="" dxfId="41">
      <formula>AND($C5&lt;&gt;"",$E5&lt;&gt;"")</formula>
    </cfRule>
    <cfRule type="expression" priority="25" aboveAverage="0" equalAverage="0" bottom="0" percent="0" rank="0" text="" dxfId="8">
      <formula>$C5&lt;&gt;""</formula>
    </cfRule>
  </conditionalFormatting>
  <conditionalFormatting sqref="K5:K164">
    <cfRule type="expression" priority="26" aboveAverage="0" equalAverage="0" bottom="0" percent="0" rank="0" text="" dxfId="49">
      <formula>AND($K5&lt;&gt;"",ISNUMBER(設定!$I$22),$K5&gt;設定!$I$22)</formula>
    </cfRule>
    <cfRule type="expression" priority="27" aboveAverage="0" equalAverage="0" bottom="0" percent="0" rank="0" text="" dxfId="50">
      <formula>$C5&lt;&gt;""</formula>
    </cfRule>
  </conditionalFormatting>
  <conditionalFormatting sqref="P5:P164">
    <cfRule type="expression" priority="28" aboveAverage="0" equalAverage="0" bottom="0" percent="0" rank="0" text="" dxfId="41">
      <formula>$C5&lt;&gt;""</formula>
    </cfRule>
  </conditionalFormatting>
  <conditionalFormatting sqref="R5:R164">
    <cfRule type="expression" priority="29" aboveAverage="0" equalAverage="0" bottom="0" percent="0" rank="0" text="" dxfId="49">
      <formula>AND($C5&lt;&gt;"",$R5&lt;&gt;"",$R$2&lt;&gt;"",$R5&gt;$R$2)</formula>
    </cfRule>
    <cfRule type="expression" priority="30" aboveAverage="0" equalAverage="0" bottom="0" percent="0" rank="0" text="" dxfId="41">
      <formula>$C5&lt;&gt;""</formula>
    </cfRule>
  </conditionalFormatting>
  <conditionalFormatting sqref="S5:S164">
    <cfRule type="expression" priority="31" aboveAverage="0" equalAverage="0" bottom="0" percent="0" rank="0" text="" dxfId="49">
      <formula>AND($C5&lt;&gt;"",$S5&lt;&gt;"",$S$2&lt;&gt;"",$S5&gt;$S$2)</formula>
    </cfRule>
    <cfRule type="expression" priority="32" aboveAverage="0" equalAverage="0" bottom="0" percent="0" rank="0" text="" dxfId="41">
      <formula>$C5&lt;&gt;""</formula>
    </cfRule>
  </conditionalFormatting>
  <conditionalFormatting sqref="T5:U164">
    <cfRule type="expression" priority="33" aboveAverage="0" equalAverage="0" bottom="0" percent="0" rank="0" text="" dxfId="12">
      <formula>AND(T5&lt;&gt;"",T5=設定!$G$10)</formula>
    </cfRule>
    <cfRule type="expression" priority="34" aboveAverage="0" equalAverage="0" bottom="0" percent="0" rank="0" text="" dxfId="51">
      <formula>AND(T5&lt;&gt;"",T5=設定!$G$8)</formula>
    </cfRule>
    <cfRule type="expression" priority="35" aboveAverage="0" equalAverage="0" bottom="0" percent="0" rank="0" text="" dxfId="19">
      <formula>$C5&lt;&gt;""</formula>
    </cfRule>
  </conditionalFormatting>
  <conditionalFormatting sqref="Q5:Q164">
    <cfRule type="expression" priority="36" aboveAverage="0" equalAverage="0" bottom="0" percent="0" rank="0" text="" dxfId="40">
      <formula>AND($C5&lt;&gt;"",$Q5&lt;&gt;"",$E5&lt;&gt;"",$Q5&lt;&gt;$E5)</formula>
    </cfRule>
    <cfRule type="expression" priority="37" aboveAverage="0" equalAverage="0" bottom="0" percent="0" rank="0" text="" dxfId="41">
      <formula>$C5&lt;&gt;""</formula>
    </cfRule>
  </conditionalFormatting>
  <conditionalFormatting sqref="L2:N2">
    <cfRule type="expression" priority="38" aboveAverage="0" equalAverage="0" bottom="0" percent="0" rank="0" text="" dxfId="14">
      <formula>$L2=""</formula>
    </cfRule>
  </conditionalFormatting>
  <conditionalFormatting sqref="L3:N3">
    <cfRule type="expression" priority="39" aboveAverage="0" equalAverage="0" bottom="0" percent="0" rank="0" text="" dxfId="14">
      <formula>$L3=""</formula>
    </cfRule>
  </conditionalFormatting>
  <conditionalFormatting sqref="L4:N4">
    <cfRule type="expression" priority="40" aboveAverage="0" equalAverage="0" bottom="0" percent="0" rank="0" text="" dxfId="14">
      <formula>$L4=""</formula>
    </cfRule>
  </conditionalFormatting>
  <conditionalFormatting sqref="L5:N5">
    <cfRule type="expression" priority="41" aboveAverage="0" equalAverage="0" bottom="0" percent="0" rank="0" text="" dxfId="14">
      <formula>$L5=""</formula>
    </cfRule>
  </conditionalFormatting>
  <conditionalFormatting sqref="L6:N6">
    <cfRule type="expression" priority="42" aboveAverage="0" equalAverage="0" bottom="0" percent="0" rank="0" text="" dxfId="14">
      <formula>$L6=""</formula>
    </cfRule>
  </conditionalFormatting>
  <conditionalFormatting sqref="N7">
    <cfRule type="expression" priority="43" aboveAverage="0" equalAverage="0" bottom="0" percent="0" rank="0" text="" dxfId="52">
      <formula>$N$7=0</formula>
    </cfRule>
  </conditionalFormatting>
  <dataValidations count="6">
    <dataValidation allowBlank="true" error="点数（数字）を入力してください。" errorStyle="stop" operator="between" showDropDown="false" showErrorMessage="true" showInputMessage="false" sqref="R2:S2 P5:P164 R5:S164" type="decimal">
      <formula1>0</formula1>
      <formula2>1000</formula2>
    </dataValidation>
    <dataValidation allowBlank="false" error="一覧から選んでください。" errorStyle="stop" errorTitle="入力エラー" operator="between" showDropDown="false" showErrorMessage="true" showInputMessage="false" sqref="C2" type="list">
      <formula1>"習熟度別,前の単元と同じ,学級ごと"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D5:D164" type="list">
      <formula1>コース一覧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Q5:Q164" type="list">
      <formula1>コース一覧</formula1>
      <formula2>0</formula2>
    </dataValidation>
    <dataValidation allowBlank="true" error="設定シートの評価記号（A/B/C）から選んでください。" errorStyle="stop" errorTitle="入力エラー" operator="between" showDropDown="false" showErrorMessage="true" showInputMessage="false" sqref="F5:H164" type="list">
      <formula1>評価記号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M2:M6" type="list">
      <formula1>担当者一覧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U16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5"/>
    <col collapsed="false" customWidth="true" hidden="false" outlineLevel="0" max="3" min="3" style="0" width="17"/>
    <col collapsed="false" customWidth="true" hidden="false" outlineLevel="0" max="4" min="4" style="0" width="11"/>
    <col collapsed="false" customWidth="true" hidden="false" outlineLevel="0" max="5" min="5" style="0" width="12"/>
    <col collapsed="false" customWidth="true" hidden="false" outlineLevel="0" max="8" min="6" style="0" width="6"/>
    <col collapsed="false" customWidth="true" hidden="false" outlineLevel="0" max="9" min="9" style="0" width="55"/>
    <col collapsed="false" customWidth="true" hidden="true" outlineLevel="0" max="10" min="10" style="0" width="3"/>
    <col collapsed="false" customWidth="true" hidden="false" outlineLevel="0" max="11" min="11" style="0" width="5"/>
    <col collapsed="false" customWidth="true" hidden="false" outlineLevel="0" max="12" min="12" style="0" width="14"/>
    <col collapsed="false" customWidth="true" hidden="false" outlineLevel="0" max="13" min="13" style="0" width="13"/>
    <col collapsed="false" customWidth="true" hidden="false" outlineLevel="0" max="14" min="14" style="0" width="7"/>
    <col collapsed="false" customWidth="true" hidden="false" outlineLevel="0" max="15" min="15" style="0" width="2"/>
    <col collapsed="false" customWidth="true" hidden="false" outlineLevel="0" max="16" min="16" style="0" width="9"/>
    <col collapsed="false" customWidth="true" hidden="false" outlineLevel="0" max="17" min="17" style="0" width="12"/>
    <col collapsed="false" customWidth="true" hidden="false" outlineLevel="0" max="19" min="18" style="0" width="7"/>
    <col collapsed="false" customWidth="true" hidden="false" outlineLevel="0" max="21" min="20" style="0" width="6"/>
  </cols>
  <sheetData>
    <row r="1" customFormat="false" ht="33.75" hidden="false" customHeight="true" outlineLevel="0" collapsed="false">
      <c r="A1" s="14" t="str">
        <f aca="false">"単元18　"&amp;IF(設定!$D$34="","（設定シートで単元名を入力）",設定!$D$34)&amp;IF(設定!$C$34="","","　／　"&amp;設定!$C$34&amp;IF(ISNUMBER(設定!$C$34),"学期",""))</f>
        <v>単元18　（設定シートで単元名を入力）</v>
      </c>
      <c r="B1" s="14"/>
      <c r="C1" s="14"/>
      <c r="D1" s="14"/>
      <c r="E1" s="14"/>
      <c r="F1" s="14"/>
      <c r="G1" s="14"/>
      <c r="H1" s="14"/>
      <c r="I1" s="14"/>
      <c r="J1" s="13"/>
      <c r="K1" s="13"/>
      <c r="L1" s="16" t="s">
        <v>153</v>
      </c>
      <c r="M1" s="16" t="s">
        <v>68</v>
      </c>
      <c r="N1" s="16" t="s">
        <v>128</v>
      </c>
      <c r="O1" s="13"/>
      <c r="P1" s="13"/>
      <c r="Q1" s="13"/>
      <c r="R1" s="131" t="s">
        <v>154</v>
      </c>
      <c r="S1" s="131"/>
      <c r="T1" s="131"/>
      <c r="U1" s="131"/>
    </row>
    <row r="2" customFormat="false" ht="25.5" hidden="false" customHeight="true" outlineLevel="0" collapsed="false">
      <c r="A2" s="16" t="s">
        <v>131</v>
      </c>
      <c r="B2" s="16"/>
      <c r="C2" s="138" t="s">
        <v>164</v>
      </c>
      <c r="D2" s="139" t="str">
        <f aca="false">IF($C$2="習熟度別","← D列「コース」で一人ずつ選びます",IF($C$2="前の単元と同じ","← 前の単元のコースをそのまま使います","← 在籍学級のまま分かれます"))</f>
        <v>← D列「コース」で一人ずつ選びます</v>
      </c>
      <c r="E2" s="139"/>
      <c r="F2" s="139"/>
      <c r="G2" s="139"/>
      <c r="H2" s="139"/>
      <c r="I2" s="139"/>
      <c r="J2" s="13"/>
      <c r="K2" s="13"/>
      <c r="L2" s="119" t="str">
        <f aca="false">IF($C$2="前の単元と同じ",単元17!$L2&amp;"",IF($C$2="学級ごと",IF(設定!$B$8="","",設定!$B$8&amp;""),IF(設定!$D$8="","",設定!$D$8&amp;"")))</f>
        <v>深める</v>
      </c>
      <c r="M2" s="39"/>
      <c r="N2" s="140" t="n">
        <f aca="false">IF($L2="","",COUNTIF($E$5:$E$164,$L2))</f>
        <v>0</v>
      </c>
      <c r="O2" s="13"/>
      <c r="P2" s="13"/>
      <c r="Q2" s="13"/>
      <c r="R2" s="141" t="n">
        <v>100</v>
      </c>
      <c r="S2" s="141" t="n">
        <v>100</v>
      </c>
      <c r="T2" s="142" t="s">
        <v>165</v>
      </c>
      <c r="U2" s="142"/>
    </row>
    <row r="3" customFormat="false" ht="17.15" hidden="false" customHeight="false" outlineLevel="0" collapsed="false">
      <c r="A3" s="4" t="s">
        <v>166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23" t="str">
        <f aca="false">IF($C$2="前の単元と同じ",単元17!$L3&amp;"",IF($C$2="学級ごと",IF(設定!$B$9="","",設定!$B$9&amp;""),IF(設定!$D$9="","",設定!$D$9&amp;"")))</f>
        <v>広げるA</v>
      </c>
      <c r="M3" s="39"/>
      <c r="N3" s="140" t="n">
        <f aca="false">IF($L3="","",COUNTIF($E$5:$E$164,$L3))</f>
        <v>0</v>
      </c>
      <c r="O3" s="13"/>
      <c r="P3" s="143" t="s">
        <v>167</v>
      </c>
      <c r="Q3" s="13"/>
      <c r="R3" s="144" t="s">
        <v>168</v>
      </c>
      <c r="S3" s="13"/>
      <c r="T3" s="13"/>
      <c r="U3" s="13"/>
    </row>
    <row r="4" customFormat="false" ht="30" hidden="false" customHeight="true" outlineLevel="0" collapsed="false">
      <c r="A4" s="16" t="s">
        <v>121</v>
      </c>
      <c r="B4" s="16" t="s">
        <v>122</v>
      </c>
      <c r="C4" s="16" t="s">
        <v>123</v>
      </c>
      <c r="D4" s="145" t="s">
        <v>153</v>
      </c>
      <c r="E4" s="16" t="s">
        <v>169</v>
      </c>
      <c r="F4" s="146" t="str">
        <f aca="false">設定!$I$8</f>
        <v>知</v>
      </c>
      <c r="G4" s="146" t="str">
        <f aca="false">設定!$I$9</f>
        <v>思</v>
      </c>
      <c r="H4" s="146" t="str">
        <f aca="false">設定!$I$10</f>
        <v>態</v>
      </c>
      <c r="I4" s="146" t="s">
        <v>107</v>
      </c>
      <c r="J4" s="16"/>
      <c r="K4" s="110" t="s">
        <v>170</v>
      </c>
      <c r="L4" s="124" t="str">
        <f aca="false">IF($C$2="前の単元と同じ",単元17!$L4&amp;"",IF($C$2="学級ごと",IF(設定!$B$10="","",設定!$B$10&amp;""),IF(設定!$D$10="","",設定!$D$10&amp;"")))</f>
        <v>広げるB</v>
      </c>
      <c r="M4" s="39"/>
      <c r="N4" s="140" t="n">
        <f aca="false">IF($L4="","",COUNTIF($E$5:$E$164,$L4))</f>
        <v>0</v>
      </c>
      <c r="O4" s="13"/>
      <c r="P4" s="147" t="s">
        <v>171</v>
      </c>
      <c r="Q4" s="147" t="s">
        <v>172</v>
      </c>
      <c r="R4" s="131" t="str">
        <f aca="false">設定!$I$8&amp;"得点"</f>
        <v>知得点</v>
      </c>
      <c r="S4" s="131" t="str">
        <f aca="false">設定!$I$9&amp;"得点"</f>
        <v>思得点</v>
      </c>
      <c r="T4" s="148" t="str">
        <f aca="false">設定!$I$8&amp;"目安"</f>
        <v>知目安</v>
      </c>
      <c r="U4" s="148" t="str">
        <f aca="false">設定!$I$9&amp;"目安"</f>
        <v>思目安</v>
      </c>
    </row>
    <row r="5" customFormat="false" ht="21" hidden="false" customHeight="true" outlineLevel="0" collapsed="false">
      <c r="A5" s="91" t="str">
        <f aca="false">IF(名簿!$D5="","",名簿!$B5&amp;"")</f>
        <v/>
      </c>
      <c r="B5" s="91" t="str">
        <f aca="false">IF(名簿!$D5="","",名簿!$C5)</f>
        <v/>
      </c>
      <c r="C5" s="59" t="str">
        <f aca="false">IF(名簿!$D5="","",名簿!$D5&amp;IF(名簿!$F5="転出","（転出）",""))</f>
        <v/>
      </c>
      <c r="D5" s="149"/>
      <c r="E5" s="61" t="str">
        <f aca="false">IF(OR($C5="",名簿!$F5="転出"),"",IF($C$2="学級ごと",$A5,IF($C$2="前の単元と同じ",単元17!$E5&amp;"",$D5&amp;"")))</f>
        <v/>
      </c>
      <c r="F5" s="150"/>
      <c r="G5" s="150"/>
      <c r="H5" s="150"/>
      <c r="I5" s="151"/>
      <c r="J5" s="41" t="str">
        <f aca="false">IF($E5="","",$E5&amp;"|"&amp;COUNTIF($E$5:$E5,$E5))</f>
        <v/>
      </c>
      <c r="K5" s="40" t="str">
        <f aca="false">IF($I5="","",LEN($I5))</f>
        <v/>
      </c>
      <c r="L5" s="125" t="str">
        <f aca="false">IF($C$2="前の単元と同じ",単元17!$L5&amp;"",IF($C$2="学級ごと",IF(設定!$B$11="","",設定!$B$11&amp;""),IF(設定!$D$11="","",設定!$D$11&amp;"")))</f>
        <v>かためる</v>
      </c>
      <c r="M5" s="39"/>
      <c r="N5" s="140" t="n">
        <f aca="false">IF($L5="","",COUNTIF($E$5:$E$164,$L5))</f>
        <v>0</v>
      </c>
      <c r="O5" s="13"/>
      <c r="P5" s="152"/>
      <c r="Q5" s="149"/>
      <c r="R5" s="152"/>
      <c r="S5" s="152"/>
      <c r="T5" s="62" t="str">
        <f aca="false">IF(OR($C5="",R5=""),"",IF(R5/IF($R$2="",100,$R$2)&gt;=設定!$I$28,設定!$G$8,IF(R5/IF($R$2="",100,$R$2)&lt;設定!$I$29,設定!$G$10,設定!$G$9)))</f>
        <v/>
      </c>
      <c r="U5" s="62" t="str">
        <f aca="false">IF(OR($C5="",S5=""),"",IF(S5/IF($S$2="",100,$S$2)&gt;=設定!$I$28,設定!$G$8,IF(S5/IF($S$2="",100,$S$2)&lt;設定!$I$29,設定!$G$10,設定!$G$9)))</f>
        <v/>
      </c>
    </row>
    <row r="6" customFormat="false" ht="21" hidden="false" customHeight="true" outlineLevel="0" collapsed="false">
      <c r="A6" s="91" t="str">
        <f aca="false">IF(名簿!$D6="","",名簿!$B6&amp;"")</f>
        <v/>
      </c>
      <c r="B6" s="91" t="str">
        <f aca="false">IF(名簿!$D6="","",名簿!$C6)</f>
        <v/>
      </c>
      <c r="C6" s="59" t="str">
        <f aca="false">IF(名簿!$D6="","",名簿!$D6&amp;IF(名簿!$F6="転出","（転出）",""))</f>
        <v/>
      </c>
      <c r="D6" s="149"/>
      <c r="E6" s="61" t="str">
        <f aca="false">IF(OR($C6="",名簿!$F6="転出"),"",IF($C$2="学級ごと",$A6,IF($C$2="前の単元と同じ",単元17!$E6&amp;"",$D6&amp;"")))</f>
        <v/>
      </c>
      <c r="F6" s="150"/>
      <c r="G6" s="150"/>
      <c r="H6" s="150"/>
      <c r="I6" s="151"/>
      <c r="J6" s="41" t="str">
        <f aca="false">IF($E6="","",$E6&amp;"|"&amp;COUNTIF($E$5:$E6,$E6))</f>
        <v/>
      </c>
      <c r="K6" s="40" t="str">
        <f aca="false">IF($I6="","",LEN($I6))</f>
        <v/>
      </c>
      <c r="L6" s="126" t="str">
        <f aca="false">IF($C$2="前の単元と同じ",単元17!$L6&amp;"",IF($C$2="学級ごと",IF(設定!$B$12="","",設定!$B$12&amp;""),IF(設定!$D$12="","",設定!$D$12&amp;"")))</f>
        <v/>
      </c>
      <c r="M6" s="39"/>
      <c r="N6" s="153" t="str">
        <f aca="false">IF($L6="","",COUNTIF($E$5:$E$164,$L6))</f>
        <v/>
      </c>
      <c r="O6" s="13"/>
      <c r="P6" s="152"/>
      <c r="Q6" s="149"/>
      <c r="R6" s="152"/>
      <c r="S6" s="152"/>
      <c r="T6" s="62" t="str">
        <f aca="false">IF(OR($C6="",R6=""),"",IF(R6/IF($R$2="",100,$R$2)&gt;=設定!$I$28,設定!$G$8,IF(R6/IF($R$2="",100,$R$2)&lt;設定!$I$29,設定!$G$10,設定!$G$9)))</f>
        <v/>
      </c>
      <c r="U6" s="62" t="str">
        <f aca="false">IF(OR($C6="",S6=""),"",IF(S6/IF($S$2="",100,$S$2)&gt;=設定!$I$28,設定!$G$8,IF(S6/IF($S$2="",100,$S$2)&lt;設定!$I$29,設定!$G$10,設定!$G$9)))</f>
        <v/>
      </c>
    </row>
    <row r="7" customFormat="false" ht="21" hidden="false" customHeight="true" outlineLevel="0" collapsed="false">
      <c r="A7" s="91" t="str">
        <f aca="false">IF(名簿!$D7="","",名簿!$B7&amp;"")</f>
        <v/>
      </c>
      <c r="B7" s="91" t="str">
        <f aca="false">IF(名簿!$D7="","",名簿!$C7)</f>
        <v/>
      </c>
      <c r="C7" s="59" t="str">
        <f aca="false">IF(名簿!$D7="","",名簿!$D7&amp;IF(名簿!$F7="転出","（転出）",""))</f>
        <v/>
      </c>
      <c r="D7" s="149"/>
      <c r="E7" s="61" t="str">
        <f aca="false">IF(OR($C7="",名簿!$F7="転出"),"",IF($C$2="学級ごと",$A7,IF($C$2="前の単元と同じ",単元17!$E7&amp;"",$D7&amp;"")))</f>
        <v/>
      </c>
      <c r="F7" s="150"/>
      <c r="G7" s="150"/>
      <c r="H7" s="150"/>
      <c r="I7" s="151"/>
      <c r="J7" s="41" t="str">
        <f aca="false">IF($E7="","",$E7&amp;"|"&amp;COUNTIF($E$5:$E7,$E7))</f>
        <v/>
      </c>
      <c r="K7" s="40" t="str">
        <f aca="false">IF($I7="","",LEN($I7))</f>
        <v/>
      </c>
      <c r="L7" s="154" t="s">
        <v>133</v>
      </c>
      <c r="M7" s="155" t="s">
        <v>173</v>
      </c>
      <c r="N7" s="156" t="n">
        <f aca="false">SUMPRODUCT(($C$5:$C$164&lt;&gt;"")*(名簿!$F$5:$F$164&lt;&gt;"転出")*($E$5:$E$164=""))</f>
        <v>0</v>
      </c>
      <c r="O7" s="13"/>
      <c r="P7" s="152"/>
      <c r="Q7" s="149"/>
      <c r="R7" s="152"/>
      <c r="S7" s="152"/>
      <c r="T7" s="62" t="str">
        <f aca="false">IF(OR($C7="",R7=""),"",IF(R7/IF($R$2="",100,$R$2)&gt;=設定!$I$28,設定!$G$8,IF(R7/IF($R$2="",100,$R$2)&lt;設定!$I$29,設定!$G$10,設定!$G$9)))</f>
        <v/>
      </c>
      <c r="U7" s="62" t="str">
        <f aca="false">IF(OR($C7="",S7=""),"",IF(S7/IF($S$2="",100,$S$2)&gt;=設定!$I$28,設定!$G$8,IF(S7/IF($S$2="",100,$S$2)&lt;設定!$I$29,設定!$G$10,設定!$G$9)))</f>
        <v/>
      </c>
    </row>
    <row r="8" customFormat="false" ht="21" hidden="false" customHeight="true" outlineLevel="0" collapsed="false">
      <c r="A8" s="91" t="str">
        <f aca="false">IF(名簿!$D8="","",名簿!$B8&amp;"")</f>
        <v/>
      </c>
      <c r="B8" s="91" t="str">
        <f aca="false">IF(名簿!$D8="","",名簿!$C8)</f>
        <v/>
      </c>
      <c r="C8" s="59" t="str">
        <f aca="false">IF(名簿!$D8="","",名簿!$D8&amp;IF(名簿!$F8="転出","（転出）",""))</f>
        <v/>
      </c>
      <c r="D8" s="149"/>
      <c r="E8" s="61" t="str">
        <f aca="false">IF(OR($C8="",名簿!$F8="転出"),"",IF($C$2="学級ごと",$A8,IF($C$2="前の単元と同じ",単元17!$E8&amp;"",$D8&amp;"")))</f>
        <v/>
      </c>
      <c r="F8" s="150"/>
      <c r="G8" s="150"/>
      <c r="H8" s="150"/>
      <c r="I8" s="151"/>
      <c r="J8" s="41" t="str">
        <f aca="false">IF($E8="","",$E8&amp;"|"&amp;COUNTIF($E$5:$E8,$E8))</f>
        <v/>
      </c>
      <c r="K8" s="40" t="str">
        <f aca="false">IF($I8="","",LEN($I8))</f>
        <v/>
      </c>
      <c r="L8" s="157" t="s">
        <v>174</v>
      </c>
      <c r="M8" s="158" t="s">
        <v>175</v>
      </c>
      <c r="N8" s="159" t="n">
        <f aca="false">SUMPRODUCT(($E$5:$E$164&lt;&gt;"")*(($F$5:$F$164="")+($G$5:$G$164="")+($H$5:$H$164="")&gt;0))</f>
        <v>0</v>
      </c>
      <c r="O8" s="13"/>
      <c r="P8" s="152"/>
      <c r="Q8" s="149"/>
      <c r="R8" s="152"/>
      <c r="S8" s="152"/>
      <c r="T8" s="62" t="str">
        <f aca="false">IF(OR($C8="",R8=""),"",IF(R8/IF($R$2="",100,$R$2)&gt;=設定!$I$28,設定!$G$8,IF(R8/IF($R$2="",100,$R$2)&lt;設定!$I$29,設定!$G$10,設定!$G$9)))</f>
        <v/>
      </c>
      <c r="U8" s="62" t="str">
        <f aca="false">IF(OR($C8="",S8=""),"",IF(S8/IF($S$2="",100,$S$2)&gt;=設定!$I$28,設定!$G$8,IF(S8/IF($S$2="",100,$S$2)&lt;設定!$I$29,設定!$G$10,設定!$G$9)))</f>
        <v/>
      </c>
    </row>
    <row r="9" customFormat="false" ht="21" hidden="false" customHeight="true" outlineLevel="0" collapsed="false">
      <c r="A9" s="91" t="str">
        <f aca="false">IF(名簿!$D9="","",名簿!$B9&amp;"")</f>
        <v/>
      </c>
      <c r="B9" s="91" t="str">
        <f aca="false">IF(名簿!$D9="","",名簿!$C9)</f>
        <v/>
      </c>
      <c r="C9" s="59" t="str">
        <f aca="false">IF(名簿!$D9="","",名簿!$D9&amp;IF(名簿!$F9="転出","（転出）",""))</f>
        <v/>
      </c>
      <c r="D9" s="149"/>
      <c r="E9" s="61" t="str">
        <f aca="false">IF(OR($C9="",名簿!$F9="転出"),"",IF($C$2="学級ごと",$A9,IF($C$2="前の単元と同じ",単元17!$E9&amp;"",$D9&amp;"")))</f>
        <v/>
      </c>
      <c r="F9" s="150"/>
      <c r="G9" s="150"/>
      <c r="H9" s="150"/>
      <c r="I9" s="151"/>
      <c r="J9" s="41" t="str">
        <f aca="false">IF($E9="","",$E9&amp;"|"&amp;COUNTIF($E$5:$E9,$E9))</f>
        <v/>
      </c>
      <c r="K9" s="40" t="str">
        <f aca="false">IF($I9="","",LEN($I9))</f>
        <v/>
      </c>
      <c r="L9" s="13"/>
      <c r="M9" s="13"/>
      <c r="N9" s="13"/>
      <c r="O9" s="13"/>
      <c r="P9" s="152"/>
      <c r="Q9" s="149"/>
      <c r="R9" s="152"/>
      <c r="S9" s="152"/>
      <c r="T9" s="62" t="str">
        <f aca="false">IF(OR($C9="",R9=""),"",IF(R9/IF($R$2="",100,$R$2)&gt;=設定!$I$28,設定!$G$8,IF(R9/IF($R$2="",100,$R$2)&lt;設定!$I$29,設定!$G$10,設定!$G$9)))</f>
        <v/>
      </c>
      <c r="U9" s="62" t="str">
        <f aca="false">IF(OR($C9="",S9=""),"",IF(S9/IF($S$2="",100,$S$2)&gt;=設定!$I$28,設定!$G$8,IF(S9/IF($S$2="",100,$S$2)&lt;設定!$I$29,設定!$G$10,設定!$G$9)))</f>
        <v/>
      </c>
    </row>
    <row r="10" customFormat="false" ht="21" hidden="false" customHeight="true" outlineLevel="0" collapsed="false">
      <c r="A10" s="91" t="str">
        <f aca="false">IF(名簿!$D10="","",名簿!$B10&amp;"")</f>
        <v/>
      </c>
      <c r="B10" s="91" t="str">
        <f aca="false">IF(名簿!$D10="","",名簿!$C10)</f>
        <v/>
      </c>
      <c r="C10" s="59" t="str">
        <f aca="false">IF(名簿!$D10="","",名簿!$D10&amp;IF(名簿!$F10="転出","（転出）",""))</f>
        <v/>
      </c>
      <c r="D10" s="149"/>
      <c r="E10" s="61" t="str">
        <f aca="false">IF(OR($C10="",名簿!$F10="転出"),"",IF($C$2="学級ごと",$A10,IF($C$2="前の単元と同じ",単元17!$E10&amp;"",$D10&amp;"")))</f>
        <v/>
      </c>
      <c r="F10" s="150"/>
      <c r="G10" s="150"/>
      <c r="H10" s="150"/>
      <c r="I10" s="151"/>
      <c r="J10" s="41" t="str">
        <f aca="false">IF($E10="","",$E10&amp;"|"&amp;COUNTIF($E$5:$E10,$E10))</f>
        <v/>
      </c>
      <c r="K10" s="40" t="str">
        <f aca="false">IF($I10="","",LEN($I10))</f>
        <v/>
      </c>
      <c r="L10" s="13"/>
      <c r="M10" s="13"/>
      <c r="N10" s="13"/>
      <c r="O10" s="13"/>
      <c r="P10" s="152"/>
      <c r="Q10" s="149"/>
      <c r="R10" s="152"/>
      <c r="S10" s="152"/>
      <c r="T10" s="62" t="str">
        <f aca="false">IF(OR($C10="",R10=""),"",IF(R10/IF($R$2="",100,$R$2)&gt;=設定!$I$28,設定!$G$8,IF(R10/IF($R$2="",100,$R$2)&lt;設定!$I$29,設定!$G$10,設定!$G$9)))</f>
        <v/>
      </c>
      <c r="U10" s="62" t="str">
        <f aca="false">IF(OR($C10="",S10=""),"",IF(S10/IF($S$2="",100,$S$2)&gt;=設定!$I$28,設定!$G$8,IF(S10/IF($S$2="",100,$S$2)&lt;設定!$I$29,設定!$G$10,設定!$G$9)))</f>
        <v/>
      </c>
    </row>
    <row r="11" customFormat="false" ht="21" hidden="false" customHeight="true" outlineLevel="0" collapsed="false">
      <c r="A11" s="91" t="str">
        <f aca="false">IF(名簿!$D11="","",名簿!$B11&amp;"")</f>
        <v/>
      </c>
      <c r="B11" s="91" t="str">
        <f aca="false">IF(名簿!$D11="","",名簿!$C11)</f>
        <v/>
      </c>
      <c r="C11" s="59" t="str">
        <f aca="false">IF(名簿!$D11="","",名簿!$D11&amp;IF(名簿!$F11="転出","（転出）",""))</f>
        <v/>
      </c>
      <c r="D11" s="149"/>
      <c r="E11" s="61" t="str">
        <f aca="false">IF(OR($C11="",名簿!$F11="転出"),"",IF($C$2="学級ごと",$A11,IF($C$2="前の単元と同じ",単元17!$E11&amp;"",$D11&amp;"")))</f>
        <v/>
      </c>
      <c r="F11" s="150"/>
      <c r="G11" s="150"/>
      <c r="H11" s="150"/>
      <c r="I11" s="151"/>
      <c r="J11" s="41" t="str">
        <f aca="false">IF($E11="","",$E11&amp;"|"&amp;COUNTIF($E$5:$E11,$E11))</f>
        <v/>
      </c>
      <c r="K11" s="40" t="str">
        <f aca="false">IF($I11="","",LEN($I11))</f>
        <v/>
      </c>
      <c r="L11" s="13"/>
      <c r="M11" s="13"/>
      <c r="N11" s="13"/>
      <c r="O11" s="13"/>
      <c r="P11" s="152"/>
      <c r="Q11" s="149"/>
      <c r="R11" s="152"/>
      <c r="S11" s="152"/>
      <c r="T11" s="62" t="str">
        <f aca="false">IF(OR($C11="",R11=""),"",IF(R11/IF($R$2="",100,$R$2)&gt;=設定!$I$28,設定!$G$8,IF(R11/IF($R$2="",100,$R$2)&lt;設定!$I$29,設定!$G$10,設定!$G$9)))</f>
        <v/>
      </c>
      <c r="U11" s="62" t="str">
        <f aca="false">IF(OR($C11="",S11=""),"",IF(S11/IF($S$2="",100,$S$2)&gt;=設定!$I$28,設定!$G$8,IF(S11/IF($S$2="",100,$S$2)&lt;設定!$I$29,設定!$G$10,設定!$G$9)))</f>
        <v/>
      </c>
    </row>
    <row r="12" customFormat="false" ht="21" hidden="false" customHeight="true" outlineLevel="0" collapsed="false">
      <c r="A12" s="91" t="str">
        <f aca="false">IF(名簿!$D12="","",名簿!$B12&amp;"")</f>
        <v/>
      </c>
      <c r="B12" s="91" t="str">
        <f aca="false">IF(名簿!$D12="","",名簿!$C12)</f>
        <v/>
      </c>
      <c r="C12" s="59" t="str">
        <f aca="false">IF(名簿!$D12="","",名簿!$D12&amp;IF(名簿!$F12="転出","（転出）",""))</f>
        <v/>
      </c>
      <c r="D12" s="149"/>
      <c r="E12" s="61" t="str">
        <f aca="false">IF(OR($C12="",名簿!$F12="転出"),"",IF($C$2="学級ごと",$A12,IF($C$2="前の単元と同じ",単元17!$E12&amp;"",$D12&amp;"")))</f>
        <v/>
      </c>
      <c r="F12" s="150"/>
      <c r="G12" s="150"/>
      <c r="H12" s="150"/>
      <c r="I12" s="151"/>
      <c r="J12" s="41" t="str">
        <f aca="false">IF($E12="","",$E12&amp;"|"&amp;COUNTIF($E$5:$E12,$E12))</f>
        <v/>
      </c>
      <c r="K12" s="40" t="str">
        <f aca="false">IF($I12="","",LEN($I12))</f>
        <v/>
      </c>
      <c r="L12" s="13"/>
      <c r="M12" s="13"/>
      <c r="N12" s="13"/>
      <c r="O12" s="13"/>
      <c r="P12" s="152"/>
      <c r="Q12" s="149"/>
      <c r="R12" s="152"/>
      <c r="S12" s="152"/>
      <c r="T12" s="62" t="str">
        <f aca="false">IF(OR($C12="",R12=""),"",IF(R12/IF($R$2="",100,$R$2)&gt;=設定!$I$28,設定!$G$8,IF(R12/IF($R$2="",100,$R$2)&lt;設定!$I$29,設定!$G$10,設定!$G$9)))</f>
        <v/>
      </c>
      <c r="U12" s="62" t="str">
        <f aca="false">IF(OR($C12="",S12=""),"",IF(S12/IF($S$2="",100,$S$2)&gt;=設定!$I$28,設定!$G$8,IF(S12/IF($S$2="",100,$S$2)&lt;設定!$I$29,設定!$G$10,設定!$G$9)))</f>
        <v/>
      </c>
    </row>
    <row r="13" customFormat="false" ht="21" hidden="false" customHeight="true" outlineLevel="0" collapsed="false">
      <c r="A13" s="91" t="str">
        <f aca="false">IF(名簿!$D13="","",名簿!$B13&amp;"")</f>
        <v/>
      </c>
      <c r="B13" s="91" t="str">
        <f aca="false">IF(名簿!$D13="","",名簿!$C13)</f>
        <v/>
      </c>
      <c r="C13" s="59" t="str">
        <f aca="false">IF(名簿!$D13="","",名簿!$D13&amp;IF(名簿!$F13="転出","（転出）",""))</f>
        <v/>
      </c>
      <c r="D13" s="149"/>
      <c r="E13" s="61" t="str">
        <f aca="false">IF(OR($C13="",名簿!$F13="転出"),"",IF($C$2="学級ごと",$A13,IF($C$2="前の単元と同じ",単元17!$E13&amp;"",$D13&amp;"")))</f>
        <v/>
      </c>
      <c r="F13" s="150"/>
      <c r="G13" s="150"/>
      <c r="H13" s="150"/>
      <c r="I13" s="151"/>
      <c r="J13" s="41" t="str">
        <f aca="false">IF($E13="","",$E13&amp;"|"&amp;COUNTIF($E$5:$E13,$E13))</f>
        <v/>
      </c>
      <c r="K13" s="40" t="str">
        <f aca="false">IF($I13="","",LEN($I13))</f>
        <v/>
      </c>
      <c r="L13" s="13"/>
      <c r="M13" s="13"/>
      <c r="N13" s="13"/>
      <c r="O13" s="13"/>
      <c r="P13" s="152"/>
      <c r="Q13" s="149"/>
      <c r="R13" s="152"/>
      <c r="S13" s="152"/>
      <c r="T13" s="62" t="str">
        <f aca="false">IF(OR($C13="",R13=""),"",IF(R13/IF($R$2="",100,$R$2)&gt;=設定!$I$28,設定!$G$8,IF(R13/IF($R$2="",100,$R$2)&lt;設定!$I$29,設定!$G$10,設定!$G$9)))</f>
        <v/>
      </c>
      <c r="U13" s="62" t="str">
        <f aca="false">IF(OR($C13="",S13=""),"",IF(S13/IF($S$2="",100,$S$2)&gt;=設定!$I$28,設定!$G$8,IF(S13/IF($S$2="",100,$S$2)&lt;設定!$I$29,設定!$G$10,設定!$G$9)))</f>
        <v/>
      </c>
    </row>
    <row r="14" customFormat="false" ht="21" hidden="false" customHeight="true" outlineLevel="0" collapsed="false">
      <c r="A14" s="91" t="str">
        <f aca="false">IF(名簿!$D14="","",名簿!$B14&amp;"")</f>
        <v/>
      </c>
      <c r="B14" s="91" t="str">
        <f aca="false">IF(名簿!$D14="","",名簿!$C14)</f>
        <v/>
      </c>
      <c r="C14" s="59" t="str">
        <f aca="false">IF(名簿!$D14="","",名簿!$D14&amp;IF(名簿!$F14="転出","（転出）",""))</f>
        <v/>
      </c>
      <c r="D14" s="149"/>
      <c r="E14" s="61" t="str">
        <f aca="false">IF(OR($C14="",名簿!$F14="転出"),"",IF($C$2="学級ごと",$A14,IF($C$2="前の単元と同じ",単元17!$E14&amp;"",$D14&amp;"")))</f>
        <v/>
      </c>
      <c r="F14" s="150"/>
      <c r="G14" s="150"/>
      <c r="H14" s="150"/>
      <c r="I14" s="151"/>
      <c r="J14" s="41" t="str">
        <f aca="false">IF($E14="","",$E14&amp;"|"&amp;COUNTIF($E$5:$E14,$E14))</f>
        <v/>
      </c>
      <c r="K14" s="40" t="str">
        <f aca="false">IF($I14="","",LEN($I14))</f>
        <v/>
      </c>
      <c r="L14" s="13"/>
      <c r="M14" s="13"/>
      <c r="N14" s="13"/>
      <c r="O14" s="13"/>
      <c r="P14" s="152"/>
      <c r="Q14" s="149"/>
      <c r="R14" s="152"/>
      <c r="S14" s="152"/>
      <c r="T14" s="62" t="str">
        <f aca="false">IF(OR($C14="",R14=""),"",IF(R14/IF($R$2="",100,$R$2)&gt;=設定!$I$28,設定!$G$8,IF(R14/IF($R$2="",100,$R$2)&lt;設定!$I$29,設定!$G$10,設定!$G$9)))</f>
        <v/>
      </c>
      <c r="U14" s="62" t="str">
        <f aca="false">IF(OR($C14="",S14=""),"",IF(S14/IF($S$2="",100,$S$2)&gt;=設定!$I$28,設定!$G$8,IF(S14/IF($S$2="",100,$S$2)&lt;設定!$I$29,設定!$G$10,設定!$G$9)))</f>
        <v/>
      </c>
    </row>
    <row r="15" customFormat="false" ht="21" hidden="false" customHeight="true" outlineLevel="0" collapsed="false">
      <c r="A15" s="91" t="str">
        <f aca="false">IF(名簿!$D15="","",名簿!$B15&amp;"")</f>
        <v/>
      </c>
      <c r="B15" s="91" t="str">
        <f aca="false">IF(名簿!$D15="","",名簿!$C15)</f>
        <v/>
      </c>
      <c r="C15" s="59" t="str">
        <f aca="false">IF(名簿!$D15="","",名簿!$D15&amp;IF(名簿!$F15="転出","（転出）",""))</f>
        <v/>
      </c>
      <c r="D15" s="149"/>
      <c r="E15" s="61" t="str">
        <f aca="false">IF(OR($C15="",名簿!$F15="転出"),"",IF($C$2="学級ごと",$A15,IF($C$2="前の単元と同じ",単元17!$E15&amp;"",$D15&amp;"")))</f>
        <v/>
      </c>
      <c r="F15" s="150"/>
      <c r="G15" s="150"/>
      <c r="H15" s="150"/>
      <c r="I15" s="151"/>
      <c r="J15" s="41" t="str">
        <f aca="false">IF($E15="","",$E15&amp;"|"&amp;COUNTIF($E$5:$E15,$E15))</f>
        <v/>
      </c>
      <c r="K15" s="40" t="str">
        <f aca="false">IF($I15="","",LEN($I15))</f>
        <v/>
      </c>
      <c r="L15" s="13"/>
      <c r="M15" s="13"/>
      <c r="N15" s="13"/>
      <c r="O15" s="13"/>
      <c r="P15" s="152"/>
      <c r="Q15" s="149"/>
      <c r="R15" s="152"/>
      <c r="S15" s="152"/>
      <c r="T15" s="62" t="str">
        <f aca="false">IF(OR($C15="",R15=""),"",IF(R15/IF($R$2="",100,$R$2)&gt;=設定!$I$28,設定!$G$8,IF(R15/IF($R$2="",100,$R$2)&lt;設定!$I$29,設定!$G$10,設定!$G$9)))</f>
        <v/>
      </c>
      <c r="U15" s="62" t="str">
        <f aca="false">IF(OR($C15="",S15=""),"",IF(S15/IF($S$2="",100,$S$2)&gt;=設定!$I$28,設定!$G$8,IF(S15/IF($S$2="",100,$S$2)&lt;設定!$I$29,設定!$G$10,設定!$G$9)))</f>
        <v/>
      </c>
    </row>
    <row r="16" customFormat="false" ht="21" hidden="false" customHeight="true" outlineLevel="0" collapsed="false">
      <c r="A16" s="91" t="str">
        <f aca="false">IF(名簿!$D16="","",名簿!$B16&amp;"")</f>
        <v/>
      </c>
      <c r="B16" s="91" t="str">
        <f aca="false">IF(名簿!$D16="","",名簿!$C16)</f>
        <v/>
      </c>
      <c r="C16" s="59" t="str">
        <f aca="false">IF(名簿!$D16="","",名簿!$D16&amp;IF(名簿!$F16="転出","（転出）",""))</f>
        <v/>
      </c>
      <c r="D16" s="149"/>
      <c r="E16" s="61" t="str">
        <f aca="false">IF(OR($C16="",名簿!$F16="転出"),"",IF($C$2="学級ごと",$A16,IF($C$2="前の単元と同じ",単元17!$E16&amp;"",$D16&amp;"")))</f>
        <v/>
      </c>
      <c r="F16" s="150"/>
      <c r="G16" s="150"/>
      <c r="H16" s="150"/>
      <c r="I16" s="151"/>
      <c r="J16" s="41" t="str">
        <f aca="false">IF($E16="","",$E16&amp;"|"&amp;COUNTIF($E$5:$E16,$E16))</f>
        <v/>
      </c>
      <c r="K16" s="40" t="str">
        <f aca="false">IF($I16="","",LEN($I16))</f>
        <v/>
      </c>
      <c r="L16" s="13"/>
      <c r="M16" s="13"/>
      <c r="N16" s="13"/>
      <c r="O16" s="13"/>
      <c r="P16" s="152"/>
      <c r="Q16" s="149"/>
      <c r="R16" s="152"/>
      <c r="S16" s="152"/>
      <c r="T16" s="62" t="str">
        <f aca="false">IF(OR($C16="",R16=""),"",IF(R16/IF($R$2="",100,$R$2)&gt;=設定!$I$28,設定!$G$8,IF(R16/IF($R$2="",100,$R$2)&lt;設定!$I$29,設定!$G$10,設定!$G$9)))</f>
        <v/>
      </c>
      <c r="U16" s="62" t="str">
        <f aca="false">IF(OR($C16="",S16=""),"",IF(S16/IF($S$2="",100,$S$2)&gt;=設定!$I$28,設定!$G$8,IF(S16/IF($S$2="",100,$S$2)&lt;設定!$I$29,設定!$G$10,設定!$G$9)))</f>
        <v/>
      </c>
    </row>
    <row r="17" customFormat="false" ht="21" hidden="false" customHeight="true" outlineLevel="0" collapsed="false">
      <c r="A17" s="91" t="str">
        <f aca="false">IF(名簿!$D17="","",名簿!$B17&amp;"")</f>
        <v/>
      </c>
      <c r="B17" s="91" t="str">
        <f aca="false">IF(名簿!$D17="","",名簿!$C17)</f>
        <v/>
      </c>
      <c r="C17" s="59" t="str">
        <f aca="false">IF(名簿!$D17="","",名簿!$D17&amp;IF(名簿!$F17="転出","（転出）",""))</f>
        <v/>
      </c>
      <c r="D17" s="149"/>
      <c r="E17" s="61" t="str">
        <f aca="false">IF(OR($C17="",名簿!$F17="転出"),"",IF($C$2="学級ごと",$A17,IF($C$2="前の単元と同じ",単元17!$E17&amp;"",$D17&amp;"")))</f>
        <v/>
      </c>
      <c r="F17" s="150"/>
      <c r="G17" s="150"/>
      <c r="H17" s="150"/>
      <c r="I17" s="151"/>
      <c r="J17" s="41" t="str">
        <f aca="false">IF($E17="","",$E17&amp;"|"&amp;COUNTIF($E$5:$E17,$E17))</f>
        <v/>
      </c>
      <c r="K17" s="40" t="str">
        <f aca="false">IF($I17="","",LEN($I17))</f>
        <v/>
      </c>
      <c r="L17" s="13"/>
      <c r="M17" s="13"/>
      <c r="N17" s="13"/>
      <c r="O17" s="13"/>
      <c r="P17" s="152"/>
      <c r="Q17" s="149"/>
      <c r="R17" s="152"/>
      <c r="S17" s="152"/>
      <c r="T17" s="62" t="str">
        <f aca="false">IF(OR($C17="",R17=""),"",IF(R17/IF($R$2="",100,$R$2)&gt;=設定!$I$28,設定!$G$8,IF(R17/IF($R$2="",100,$R$2)&lt;設定!$I$29,設定!$G$10,設定!$G$9)))</f>
        <v/>
      </c>
      <c r="U17" s="62" t="str">
        <f aca="false">IF(OR($C17="",S17=""),"",IF(S17/IF($S$2="",100,$S$2)&gt;=設定!$I$28,設定!$G$8,IF(S17/IF($S$2="",100,$S$2)&lt;設定!$I$29,設定!$G$10,設定!$G$9)))</f>
        <v/>
      </c>
    </row>
    <row r="18" customFormat="false" ht="21" hidden="false" customHeight="true" outlineLevel="0" collapsed="false">
      <c r="A18" s="91" t="str">
        <f aca="false">IF(名簿!$D18="","",名簿!$B18&amp;"")</f>
        <v/>
      </c>
      <c r="B18" s="91" t="str">
        <f aca="false">IF(名簿!$D18="","",名簿!$C18)</f>
        <v/>
      </c>
      <c r="C18" s="59" t="str">
        <f aca="false">IF(名簿!$D18="","",名簿!$D18&amp;IF(名簿!$F18="転出","（転出）",""))</f>
        <v/>
      </c>
      <c r="D18" s="149"/>
      <c r="E18" s="61" t="str">
        <f aca="false">IF(OR($C18="",名簿!$F18="転出"),"",IF($C$2="学級ごと",$A18,IF($C$2="前の単元と同じ",単元17!$E18&amp;"",$D18&amp;"")))</f>
        <v/>
      </c>
      <c r="F18" s="150"/>
      <c r="G18" s="150"/>
      <c r="H18" s="150"/>
      <c r="I18" s="151"/>
      <c r="J18" s="41" t="str">
        <f aca="false">IF($E18="","",$E18&amp;"|"&amp;COUNTIF($E$5:$E18,$E18))</f>
        <v/>
      </c>
      <c r="K18" s="40" t="str">
        <f aca="false">IF($I18="","",LEN($I18))</f>
        <v/>
      </c>
      <c r="L18" s="13"/>
      <c r="M18" s="13"/>
      <c r="N18" s="13"/>
      <c r="O18" s="13"/>
      <c r="P18" s="152"/>
      <c r="Q18" s="149"/>
      <c r="R18" s="152"/>
      <c r="S18" s="152"/>
      <c r="T18" s="62" t="str">
        <f aca="false">IF(OR($C18="",R18=""),"",IF(R18/IF($R$2="",100,$R$2)&gt;=設定!$I$28,設定!$G$8,IF(R18/IF($R$2="",100,$R$2)&lt;設定!$I$29,設定!$G$10,設定!$G$9)))</f>
        <v/>
      </c>
      <c r="U18" s="62" t="str">
        <f aca="false">IF(OR($C18="",S18=""),"",IF(S18/IF($S$2="",100,$S$2)&gt;=設定!$I$28,設定!$G$8,IF(S18/IF($S$2="",100,$S$2)&lt;設定!$I$29,設定!$G$10,設定!$G$9)))</f>
        <v/>
      </c>
    </row>
    <row r="19" customFormat="false" ht="21" hidden="false" customHeight="true" outlineLevel="0" collapsed="false">
      <c r="A19" s="91" t="str">
        <f aca="false">IF(名簿!$D19="","",名簿!$B19&amp;"")</f>
        <v/>
      </c>
      <c r="B19" s="91" t="str">
        <f aca="false">IF(名簿!$D19="","",名簿!$C19)</f>
        <v/>
      </c>
      <c r="C19" s="59" t="str">
        <f aca="false">IF(名簿!$D19="","",名簿!$D19&amp;IF(名簿!$F19="転出","（転出）",""))</f>
        <v/>
      </c>
      <c r="D19" s="149"/>
      <c r="E19" s="61" t="str">
        <f aca="false">IF(OR($C19="",名簿!$F19="転出"),"",IF($C$2="学級ごと",$A19,IF($C$2="前の単元と同じ",単元17!$E19&amp;"",$D19&amp;"")))</f>
        <v/>
      </c>
      <c r="F19" s="150"/>
      <c r="G19" s="150"/>
      <c r="H19" s="150"/>
      <c r="I19" s="151"/>
      <c r="J19" s="41" t="str">
        <f aca="false">IF($E19="","",$E19&amp;"|"&amp;COUNTIF($E$5:$E19,$E19))</f>
        <v/>
      </c>
      <c r="K19" s="40" t="str">
        <f aca="false">IF($I19="","",LEN($I19))</f>
        <v/>
      </c>
      <c r="L19" s="13"/>
      <c r="M19" s="13"/>
      <c r="N19" s="13"/>
      <c r="O19" s="13"/>
      <c r="P19" s="152"/>
      <c r="Q19" s="149"/>
      <c r="R19" s="152"/>
      <c r="S19" s="152"/>
      <c r="T19" s="62" t="str">
        <f aca="false">IF(OR($C19="",R19=""),"",IF(R19/IF($R$2="",100,$R$2)&gt;=設定!$I$28,設定!$G$8,IF(R19/IF($R$2="",100,$R$2)&lt;設定!$I$29,設定!$G$10,設定!$G$9)))</f>
        <v/>
      </c>
      <c r="U19" s="62" t="str">
        <f aca="false">IF(OR($C19="",S19=""),"",IF(S19/IF($S$2="",100,$S$2)&gt;=設定!$I$28,設定!$G$8,IF(S19/IF($S$2="",100,$S$2)&lt;設定!$I$29,設定!$G$10,設定!$G$9)))</f>
        <v/>
      </c>
    </row>
    <row r="20" customFormat="false" ht="21" hidden="false" customHeight="true" outlineLevel="0" collapsed="false">
      <c r="A20" s="91" t="str">
        <f aca="false">IF(名簿!$D20="","",名簿!$B20&amp;"")</f>
        <v/>
      </c>
      <c r="B20" s="91" t="str">
        <f aca="false">IF(名簿!$D20="","",名簿!$C20)</f>
        <v/>
      </c>
      <c r="C20" s="59" t="str">
        <f aca="false">IF(名簿!$D20="","",名簿!$D20&amp;IF(名簿!$F20="転出","（転出）",""))</f>
        <v/>
      </c>
      <c r="D20" s="149"/>
      <c r="E20" s="61" t="str">
        <f aca="false">IF(OR($C20="",名簿!$F20="転出"),"",IF($C$2="学級ごと",$A20,IF($C$2="前の単元と同じ",単元17!$E20&amp;"",$D20&amp;"")))</f>
        <v/>
      </c>
      <c r="F20" s="150"/>
      <c r="G20" s="150"/>
      <c r="H20" s="150"/>
      <c r="I20" s="151"/>
      <c r="J20" s="41" t="str">
        <f aca="false">IF($E20="","",$E20&amp;"|"&amp;COUNTIF($E$5:$E20,$E20))</f>
        <v/>
      </c>
      <c r="K20" s="40" t="str">
        <f aca="false">IF($I20="","",LEN($I20))</f>
        <v/>
      </c>
      <c r="L20" s="13"/>
      <c r="M20" s="13"/>
      <c r="N20" s="13"/>
      <c r="O20" s="13"/>
      <c r="P20" s="152"/>
      <c r="Q20" s="149"/>
      <c r="R20" s="152"/>
      <c r="S20" s="152"/>
      <c r="T20" s="62" t="str">
        <f aca="false">IF(OR($C20="",R20=""),"",IF(R20/IF($R$2="",100,$R$2)&gt;=設定!$I$28,設定!$G$8,IF(R20/IF($R$2="",100,$R$2)&lt;設定!$I$29,設定!$G$10,設定!$G$9)))</f>
        <v/>
      </c>
      <c r="U20" s="62" t="str">
        <f aca="false">IF(OR($C20="",S20=""),"",IF(S20/IF($S$2="",100,$S$2)&gt;=設定!$I$28,設定!$G$8,IF(S20/IF($S$2="",100,$S$2)&lt;設定!$I$29,設定!$G$10,設定!$G$9)))</f>
        <v/>
      </c>
    </row>
    <row r="21" customFormat="false" ht="21" hidden="false" customHeight="true" outlineLevel="0" collapsed="false">
      <c r="A21" s="91" t="str">
        <f aca="false">IF(名簿!$D21="","",名簿!$B21&amp;"")</f>
        <v/>
      </c>
      <c r="B21" s="91" t="str">
        <f aca="false">IF(名簿!$D21="","",名簿!$C21)</f>
        <v/>
      </c>
      <c r="C21" s="59" t="str">
        <f aca="false">IF(名簿!$D21="","",名簿!$D21&amp;IF(名簿!$F21="転出","（転出）",""))</f>
        <v/>
      </c>
      <c r="D21" s="149"/>
      <c r="E21" s="61" t="str">
        <f aca="false">IF(OR($C21="",名簿!$F21="転出"),"",IF($C$2="学級ごと",$A21,IF($C$2="前の単元と同じ",単元17!$E21&amp;"",$D21&amp;"")))</f>
        <v/>
      </c>
      <c r="F21" s="150"/>
      <c r="G21" s="150"/>
      <c r="H21" s="150"/>
      <c r="I21" s="151"/>
      <c r="J21" s="41" t="str">
        <f aca="false">IF($E21="","",$E21&amp;"|"&amp;COUNTIF($E$5:$E21,$E21))</f>
        <v/>
      </c>
      <c r="K21" s="40" t="str">
        <f aca="false">IF($I21="","",LEN($I21))</f>
        <v/>
      </c>
      <c r="L21" s="13"/>
      <c r="M21" s="13"/>
      <c r="N21" s="13"/>
      <c r="O21" s="13"/>
      <c r="P21" s="152"/>
      <c r="Q21" s="149"/>
      <c r="R21" s="152"/>
      <c r="S21" s="152"/>
      <c r="T21" s="62" t="str">
        <f aca="false">IF(OR($C21="",R21=""),"",IF(R21/IF($R$2="",100,$R$2)&gt;=設定!$I$28,設定!$G$8,IF(R21/IF($R$2="",100,$R$2)&lt;設定!$I$29,設定!$G$10,設定!$G$9)))</f>
        <v/>
      </c>
      <c r="U21" s="62" t="str">
        <f aca="false">IF(OR($C21="",S21=""),"",IF(S21/IF($S$2="",100,$S$2)&gt;=設定!$I$28,設定!$G$8,IF(S21/IF($S$2="",100,$S$2)&lt;設定!$I$29,設定!$G$10,設定!$G$9)))</f>
        <v/>
      </c>
    </row>
    <row r="22" customFormat="false" ht="21" hidden="false" customHeight="true" outlineLevel="0" collapsed="false">
      <c r="A22" s="91" t="str">
        <f aca="false">IF(名簿!$D22="","",名簿!$B22&amp;"")</f>
        <v/>
      </c>
      <c r="B22" s="91" t="str">
        <f aca="false">IF(名簿!$D22="","",名簿!$C22)</f>
        <v/>
      </c>
      <c r="C22" s="59" t="str">
        <f aca="false">IF(名簿!$D22="","",名簿!$D22&amp;IF(名簿!$F22="転出","（転出）",""))</f>
        <v/>
      </c>
      <c r="D22" s="149"/>
      <c r="E22" s="61" t="str">
        <f aca="false">IF(OR($C22="",名簿!$F22="転出"),"",IF($C$2="学級ごと",$A22,IF($C$2="前の単元と同じ",単元17!$E22&amp;"",$D22&amp;"")))</f>
        <v/>
      </c>
      <c r="F22" s="150"/>
      <c r="G22" s="150"/>
      <c r="H22" s="150"/>
      <c r="I22" s="151"/>
      <c r="J22" s="41" t="str">
        <f aca="false">IF($E22="","",$E22&amp;"|"&amp;COUNTIF($E$5:$E22,$E22))</f>
        <v/>
      </c>
      <c r="K22" s="40" t="str">
        <f aca="false">IF($I22="","",LEN($I22))</f>
        <v/>
      </c>
      <c r="L22" s="13"/>
      <c r="M22" s="13"/>
      <c r="N22" s="13"/>
      <c r="O22" s="13"/>
      <c r="P22" s="152"/>
      <c r="Q22" s="149"/>
      <c r="R22" s="152"/>
      <c r="S22" s="152"/>
      <c r="T22" s="62" t="str">
        <f aca="false">IF(OR($C22="",R22=""),"",IF(R22/IF($R$2="",100,$R$2)&gt;=設定!$I$28,設定!$G$8,IF(R22/IF($R$2="",100,$R$2)&lt;設定!$I$29,設定!$G$10,設定!$G$9)))</f>
        <v/>
      </c>
      <c r="U22" s="62" t="str">
        <f aca="false">IF(OR($C22="",S22=""),"",IF(S22/IF($S$2="",100,$S$2)&gt;=設定!$I$28,設定!$G$8,IF(S22/IF($S$2="",100,$S$2)&lt;設定!$I$29,設定!$G$10,設定!$G$9)))</f>
        <v/>
      </c>
    </row>
    <row r="23" customFormat="false" ht="21" hidden="false" customHeight="true" outlineLevel="0" collapsed="false">
      <c r="A23" s="91" t="str">
        <f aca="false">IF(名簿!$D23="","",名簿!$B23&amp;"")</f>
        <v/>
      </c>
      <c r="B23" s="91" t="str">
        <f aca="false">IF(名簿!$D23="","",名簿!$C23)</f>
        <v/>
      </c>
      <c r="C23" s="59" t="str">
        <f aca="false">IF(名簿!$D23="","",名簿!$D23&amp;IF(名簿!$F23="転出","（転出）",""))</f>
        <v/>
      </c>
      <c r="D23" s="149"/>
      <c r="E23" s="61" t="str">
        <f aca="false">IF(OR($C23="",名簿!$F23="転出"),"",IF($C$2="学級ごと",$A23,IF($C$2="前の単元と同じ",単元17!$E23&amp;"",$D23&amp;"")))</f>
        <v/>
      </c>
      <c r="F23" s="150"/>
      <c r="G23" s="150"/>
      <c r="H23" s="150"/>
      <c r="I23" s="151"/>
      <c r="J23" s="41" t="str">
        <f aca="false">IF($E23="","",$E23&amp;"|"&amp;COUNTIF($E$5:$E23,$E23))</f>
        <v/>
      </c>
      <c r="K23" s="40" t="str">
        <f aca="false">IF($I23="","",LEN($I23))</f>
        <v/>
      </c>
      <c r="L23" s="13"/>
      <c r="M23" s="13"/>
      <c r="N23" s="13"/>
      <c r="O23" s="13"/>
      <c r="P23" s="152"/>
      <c r="Q23" s="149"/>
      <c r="R23" s="152"/>
      <c r="S23" s="152"/>
      <c r="T23" s="62" t="str">
        <f aca="false">IF(OR($C23="",R23=""),"",IF(R23/IF($R$2="",100,$R$2)&gt;=設定!$I$28,設定!$G$8,IF(R23/IF($R$2="",100,$R$2)&lt;設定!$I$29,設定!$G$10,設定!$G$9)))</f>
        <v/>
      </c>
      <c r="U23" s="62" t="str">
        <f aca="false">IF(OR($C23="",S23=""),"",IF(S23/IF($S$2="",100,$S$2)&gt;=設定!$I$28,設定!$G$8,IF(S23/IF($S$2="",100,$S$2)&lt;設定!$I$29,設定!$G$10,設定!$G$9)))</f>
        <v/>
      </c>
    </row>
    <row r="24" customFormat="false" ht="21" hidden="false" customHeight="true" outlineLevel="0" collapsed="false">
      <c r="A24" s="91" t="str">
        <f aca="false">IF(名簿!$D24="","",名簿!$B24&amp;"")</f>
        <v/>
      </c>
      <c r="B24" s="91" t="str">
        <f aca="false">IF(名簿!$D24="","",名簿!$C24)</f>
        <v/>
      </c>
      <c r="C24" s="59" t="str">
        <f aca="false">IF(名簿!$D24="","",名簿!$D24&amp;IF(名簿!$F24="転出","（転出）",""))</f>
        <v/>
      </c>
      <c r="D24" s="149"/>
      <c r="E24" s="61" t="str">
        <f aca="false">IF(OR($C24="",名簿!$F24="転出"),"",IF($C$2="学級ごと",$A24,IF($C$2="前の単元と同じ",単元17!$E24&amp;"",$D24&amp;"")))</f>
        <v/>
      </c>
      <c r="F24" s="150"/>
      <c r="G24" s="150"/>
      <c r="H24" s="150"/>
      <c r="I24" s="151"/>
      <c r="J24" s="41" t="str">
        <f aca="false">IF($E24="","",$E24&amp;"|"&amp;COUNTIF($E$5:$E24,$E24))</f>
        <v/>
      </c>
      <c r="K24" s="40" t="str">
        <f aca="false">IF($I24="","",LEN($I24))</f>
        <v/>
      </c>
      <c r="L24" s="13"/>
      <c r="M24" s="13"/>
      <c r="N24" s="13"/>
      <c r="O24" s="13"/>
      <c r="P24" s="152"/>
      <c r="Q24" s="149"/>
      <c r="R24" s="152"/>
      <c r="S24" s="152"/>
      <c r="T24" s="62" t="str">
        <f aca="false">IF(OR($C24="",R24=""),"",IF(R24/IF($R$2="",100,$R$2)&gt;=設定!$I$28,設定!$G$8,IF(R24/IF($R$2="",100,$R$2)&lt;設定!$I$29,設定!$G$10,設定!$G$9)))</f>
        <v/>
      </c>
      <c r="U24" s="62" t="str">
        <f aca="false">IF(OR($C24="",S24=""),"",IF(S24/IF($S$2="",100,$S$2)&gt;=設定!$I$28,設定!$G$8,IF(S24/IF($S$2="",100,$S$2)&lt;設定!$I$29,設定!$G$10,設定!$G$9)))</f>
        <v/>
      </c>
    </row>
    <row r="25" customFormat="false" ht="21" hidden="false" customHeight="true" outlineLevel="0" collapsed="false">
      <c r="A25" s="91" t="str">
        <f aca="false">IF(名簿!$D25="","",名簿!$B25&amp;"")</f>
        <v/>
      </c>
      <c r="B25" s="91" t="str">
        <f aca="false">IF(名簿!$D25="","",名簿!$C25)</f>
        <v/>
      </c>
      <c r="C25" s="59" t="str">
        <f aca="false">IF(名簿!$D25="","",名簿!$D25&amp;IF(名簿!$F25="転出","（転出）",""))</f>
        <v/>
      </c>
      <c r="D25" s="149"/>
      <c r="E25" s="61" t="str">
        <f aca="false">IF(OR($C25="",名簿!$F25="転出"),"",IF($C$2="学級ごと",$A25,IF($C$2="前の単元と同じ",単元17!$E25&amp;"",$D25&amp;"")))</f>
        <v/>
      </c>
      <c r="F25" s="150"/>
      <c r="G25" s="150"/>
      <c r="H25" s="150"/>
      <c r="I25" s="151"/>
      <c r="J25" s="41" t="str">
        <f aca="false">IF($E25="","",$E25&amp;"|"&amp;COUNTIF($E$5:$E25,$E25))</f>
        <v/>
      </c>
      <c r="K25" s="40" t="str">
        <f aca="false">IF($I25="","",LEN($I25))</f>
        <v/>
      </c>
      <c r="L25" s="13"/>
      <c r="M25" s="13"/>
      <c r="N25" s="13"/>
      <c r="O25" s="13"/>
      <c r="P25" s="152"/>
      <c r="Q25" s="149"/>
      <c r="R25" s="152"/>
      <c r="S25" s="152"/>
      <c r="T25" s="62" t="str">
        <f aca="false">IF(OR($C25="",R25=""),"",IF(R25/IF($R$2="",100,$R$2)&gt;=設定!$I$28,設定!$G$8,IF(R25/IF($R$2="",100,$R$2)&lt;設定!$I$29,設定!$G$10,設定!$G$9)))</f>
        <v/>
      </c>
      <c r="U25" s="62" t="str">
        <f aca="false">IF(OR($C25="",S25=""),"",IF(S25/IF($S$2="",100,$S$2)&gt;=設定!$I$28,設定!$G$8,IF(S25/IF($S$2="",100,$S$2)&lt;設定!$I$29,設定!$G$10,設定!$G$9)))</f>
        <v/>
      </c>
    </row>
    <row r="26" customFormat="false" ht="21" hidden="false" customHeight="true" outlineLevel="0" collapsed="false">
      <c r="A26" s="91" t="str">
        <f aca="false">IF(名簿!$D26="","",名簿!$B26&amp;"")</f>
        <v/>
      </c>
      <c r="B26" s="91" t="str">
        <f aca="false">IF(名簿!$D26="","",名簿!$C26)</f>
        <v/>
      </c>
      <c r="C26" s="59" t="str">
        <f aca="false">IF(名簿!$D26="","",名簿!$D26&amp;IF(名簿!$F26="転出","（転出）",""))</f>
        <v/>
      </c>
      <c r="D26" s="149"/>
      <c r="E26" s="61" t="str">
        <f aca="false">IF(OR($C26="",名簿!$F26="転出"),"",IF($C$2="学級ごと",$A26,IF($C$2="前の単元と同じ",単元17!$E26&amp;"",$D26&amp;"")))</f>
        <v/>
      </c>
      <c r="F26" s="150"/>
      <c r="G26" s="150"/>
      <c r="H26" s="150"/>
      <c r="I26" s="151"/>
      <c r="J26" s="41" t="str">
        <f aca="false">IF($E26="","",$E26&amp;"|"&amp;COUNTIF($E$5:$E26,$E26))</f>
        <v/>
      </c>
      <c r="K26" s="40" t="str">
        <f aca="false">IF($I26="","",LEN($I26))</f>
        <v/>
      </c>
      <c r="L26" s="13"/>
      <c r="M26" s="13"/>
      <c r="N26" s="13"/>
      <c r="O26" s="13"/>
      <c r="P26" s="152"/>
      <c r="Q26" s="149"/>
      <c r="R26" s="152"/>
      <c r="S26" s="152"/>
      <c r="T26" s="62" t="str">
        <f aca="false">IF(OR($C26="",R26=""),"",IF(R26/IF($R$2="",100,$R$2)&gt;=設定!$I$28,設定!$G$8,IF(R26/IF($R$2="",100,$R$2)&lt;設定!$I$29,設定!$G$10,設定!$G$9)))</f>
        <v/>
      </c>
      <c r="U26" s="62" t="str">
        <f aca="false">IF(OR($C26="",S26=""),"",IF(S26/IF($S$2="",100,$S$2)&gt;=設定!$I$28,設定!$G$8,IF(S26/IF($S$2="",100,$S$2)&lt;設定!$I$29,設定!$G$10,設定!$G$9)))</f>
        <v/>
      </c>
    </row>
    <row r="27" customFormat="false" ht="21" hidden="false" customHeight="true" outlineLevel="0" collapsed="false">
      <c r="A27" s="91" t="str">
        <f aca="false">IF(名簿!$D27="","",名簿!$B27&amp;"")</f>
        <v/>
      </c>
      <c r="B27" s="91" t="str">
        <f aca="false">IF(名簿!$D27="","",名簿!$C27)</f>
        <v/>
      </c>
      <c r="C27" s="59" t="str">
        <f aca="false">IF(名簿!$D27="","",名簿!$D27&amp;IF(名簿!$F27="転出","（転出）",""))</f>
        <v/>
      </c>
      <c r="D27" s="149"/>
      <c r="E27" s="61" t="str">
        <f aca="false">IF(OR($C27="",名簿!$F27="転出"),"",IF($C$2="学級ごと",$A27,IF($C$2="前の単元と同じ",単元17!$E27&amp;"",$D27&amp;"")))</f>
        <v/>
      </c>
      <c r="F27" s="150"/>
      <c r="G27" s="150"/>
      <c r="H27" s="150"/>
      <c r="I27" s="151"/>
      <c r="J27" s="41" t="str">
        <f aca="false">IF($E27="","",$E27&amp;"|"&amp;COUNTIF($E$5:$E27,$E27))</f>
        <v/>
      </c>
      <c r="K27" s="40" t="str">
        <f aca="false">IF($I27="","",LEN($I27))</f>
        <v/>
      </c>
      <c r="L27" s="13"/>
      <c r="M27" s="13"/>
      <c r="N27" s="13"/>
      <c r="O27" s="13"/>
      <c r="P27" s="152"/>
      <c r="Q27" s="149"/>
      <c r="R27" s="152"/>
      <c r="S27" s="152"/>
      <c r="T27" s="62" t="str">
        <f aca="false">IF(OR($C27="",R27=""),"",IF(R27/IF($R$2="",100,$R$2)&gt;=設定!$I$28,設定!$G$8,IF(R27/IF($R$2="",100,$R$2)&lt;設定!$I$29,設定!$G$10,設定!$G$9)))</f>
        <v/>
      </c>
      <c r="U27" s="62" t="str">
        <f aca="false">IF(OR($C27="",S27=""),"",IF(S27/IF($S$2="",100,$S$2)&gt;=設定!$I$28,設定!$G$8,IF(S27/IF($S$2="",100,$S$2)&lt;設定!$I$29,設定!$G$10,設定!$G$9)))</f>
        <v/>
      </c>
    </row>
    <row r="28" customFormat="false" ht="21" hidden="false" customHeight="true" outlineLevel="0" collapsed="false">
      <c r="A28" s="91" t="str">
        <f aca="false">IF(名簿!$D28="","",名簿!$B28&amp;"")</f>
        <v/>
      </c>
      <c r="B28" s="91" t="str">
        <f aca="false">IF(名簿!$D28="","",名簿!$C28)</f>
        <v/>
      </c>
      <c r="C28" s="59" t="str">
        <f aca="false">IF(名簿!$D28="","",名簿!$D28&amp;IF(名簿!$F28="転出","（転出）",""))</f>
        <v/>
      </c>
      <c r="D28" s="149"/>
      <c r="E28" s="61" t="str">
        <f aca="false">IF(OR($C28="",名簿!$F28="転出"),"",IF($C$2="学級ごと",$A28,IF($C$2="前の単元と同じ",単元17!$E28&amp;"",$D28&amp;"")))</f>
        <v/>
      </c>
      <c r="F28" s="150"/>
      <c r="G28" s="150"/>
      <c r="H28" s="150"/>
      <c r="I28" s="151"/>
      <c r="J28" s="41" t="str">
        <f aca="false">IF($E28="","",$E28&amp;"|"&amp;COUNTIF($E$5:$E28,$E28))</f>
        <v/>
      </c>
      <c r="K28" s="40" t="str">
        <f aca="false">IF($I28="","",LEN($I28))</f>
        <v/>
      </c>
      <c r="L28" s="13"/>
      <c r="M28" s="13"/>
      <c r="N28" s="13"/>
      <c r="O28" s="13"/>
      <c r="P28" s="152"/>
      <c r="Q28" s="149"/>
      <c r="R28" s="152"/>
      <c r="S28" s="152"/>
      <c r="T28" s="62" t="str">
        <f aca="false">IF(OR($C28="",R28=""),"",IF(R28/IF($R$2="",100,$R$2)&gt;=設定!$I$28,設定!$G$8,IF(R28/IF($R$2="",100,$R$2)&lt;設定!$I$29,設定!$G$10,設定!$G$9)))</f>
        <v/>
      </c>
      <c r="U28" s="62" t="str">
        <f aca="false">IF(OR($C28="",S28=""),"",IF(S28/IF($S$2="",100,$S$2)&gt;=設定!$I$28,設定!$G$8,IF(S28/IF($S$2="",100,$S$2)&lt;設定!$I$29,設定!$G$10,設定!$G$9)))</f>
        <v/>
      </c>
    </row>
    <row r="29" customFormat="false" ht="21" hidden="false" customHeight="true" outlineLevel="0" collapsed="false">
      <c r="A29" s="91" t="str">
        <f aca="false">IF(名簿!$D29="","",名簿!$B29&amp;"")</f>
        <v/>
      </c>
      <c r="B29" s="91" t="str">
        <f aca="false">IF(名簿!$D29="","",名簿!$C29)</f>
        <v/>
      </c>
      <c r="C29" s="59" t="str">
        <f aca="false">IF(名簿!$D29="","",名簿!$D29&amp;IF(名簿!$F29="転出","（転出）",""))</f>
        <v/>
      </c>
      <c r="D29" s="149"/>
      <c r="E29" s="61" t="str">
        <f aca="false">IF(OR($C29="",名簿!$F29="転出"),"",IF($C$2="学級ごと",$A29,IF($C$2="前の単元と同じ",単元17!$E29&amp;"",$D29&amp;"")))</f>
        <v/>
      </c>
      <c r="F29" s="150"/>
      <c r="G29" s="150"/>
      <c r="H29" s="150"/>
      <c r="I29" s="151"/>
      <c r="J29" s="41" t="str">
        <f aca="false">IF($E29="","",$E29&amp;"|"&amp;COUNTIF($E$5:$E29,$E29))</f>
        <v/>
      </c>
      <c r="K29" s="40" t="str">
        <f aca="false">IF($I29="","",LEN($I29))</f>
        <v/>
      </c>
      <c r="L29" s="13"/>
      <c r="M29" s="13"/>
      <c r="N29" s="13"/>
      <c r="O29" s="13"/>
      <c r="P29" s="152"/>
      <c r="Q29" s="149"/>
      <c r="R29" s="152"/>
      <c r="S29" s="152"/>
      <c r="T29" s="62" t="str">
        <f aca="false">IF(OR($C29="",R29=""),"",IF(R29/IF($R$2="",100,$R$2)&gt;=設定!$I$28,設定!$G$8,IF(R29/IF($R$2="",100,$R$2)&lt;設定!$I$29,設定!$G$10,設定!$G$9)))</f>
        <v/>
      </c>
      <c r="U29" s="62" t="str">
        <f aca="false">IF(OR($C29="",S29=""),"",IF(S29/IF($S$2="",100,$S$2)&gt;=設定!$I$28,設定!$G$8,IF(S29/IF($S$2="",100,$S$2)&lt;設定!$I$29,設定!$G$10,設定!$G$9)))</f>
        <v/>
      </c>
    </row>
    <row r="30" customFormat="false" ht="21" hidden="false" customHeight="true" outlineLevel="0" collapsed="false">
      <c r="A30" s="91" t="str">
        <f aca="false">IF(名簿!$D30="","",名簿!$B30&amp;"")</f>
        <v/>
      </c>
      <c r="B30" s="91" t="str">
        <f aca="false">IF(名簿!$D30="","",名簿!$C30)</f>
        <v/>
      </c>
      <c r="C30" s="59" t="str">
        <f aca="false">IF(名簿!$D30="","",名簿!$D30&amp;IF(名簿!$F30="転出","（転出）",""))</f>
        <v/>
      </c>
      <c r="D30" s="149"/>
      <c r="E30" s="61" t="str">
        <f aca="false">IF(OR($C30="",名簿!$F30="転出"),"",IF($C$2="学級ごと",$A30,IF($C$2="前の単元と同じ",単元17!$E30&amp;"",$D30&amp;"")))</f>
        <v/>
      </c>
      <c r="F30" s="150"/>
      <c r="G30" s="150"/>
      <c r="H30" s="150"/>
      <c r="I30" s="151"/>
      <c r="J30" s="41" t="str">
        <f aca="false">IF($E30="","",$E30&amp;"|"&amp;COUNTIF($E$5:$E30,$E30))</f>
        <v/>
      </c>
      <c r="K30" s="40" t="str">
        <f aca="false">IF($I30="","",LEN($I30))</f>
        <v/>
      </c>
      <c r="L30" s="13"/>
      <c r="M30" s="13"/>
      <c r="N30" s="13"/>
      <c r="O30" s="13"/>
      <c r="P30" s="152"/>
      <c r="Q30" s="149"/>
      <c r="R30" s="152"/>
      <c r="S30" s="152"/>
      <c r="T30" s="62" t="str">
        <f aca="false">IF(OR($C30="",R30=""),"",IF(R30/IF($R$2="",100,$R$2)&gt;=設定!$I$28,設定!$G$8,IF(R30/IF($R$2="",100,$R$2)&lt;設定!$I$29,設定!$G$10,設定!$G$9)))</f>
        <v/>
      </c>
      <c r="U30" s="62" t="str">
        <f aca="false">IF(OR($C30="",S30=""),"",IF(S30/IF($S$2="",100,$S$2)&gt;=設定!$I$28,設定!$G$8,IF(S30/IF($S$2="",100,$S$2)&lt;設定!$I$29,設定!$G$10,設定!$G$9)))</f>
        <v/>
      </c>
    </row>
    <row r="31" customFormat="false" ht="21" hidden="false" customHeight="true" outlineLevel="0" collapsed="false">
      <c r="A31" s="91" t="str">
        <f aca="false">IF(名簿!$D31="","",名簿!$B31&amp;"")</f>
        <v/>
      </c>
      <c r="B31" s="91" t="str">
        <f aca="false">IF(名簿!$D31="","",名簿!$C31)</f>
        <v/>
      </c>
      <c r="C31" s="59" t="str">
        <f aca="false">IF(名簿!$D31="","",名簿!$D31&amp;IF(名簿!$F31="転出","（転出）",""))</f>
        <v/>
      </c>
      <c r="D31" s="149"/>
      <c r="E31" s="61" t="str">
        <f aca="false">IF(OR($C31="",名簿!$F31="転出"),"",IF($C$2="学級ごと",$A31,IF($C$2="前の単元と同じ",単元17!$E31&amp;"",$D31&amp;"")))</f>
        <v/>
      </c>
      <c r="F31" s="150"/>
      <c r="G31" s="150"/>
      <c r="H31" s="150"/>
      <c r="I31" s="151"/>
      <c r="J31" s="41" t="str">
        <f aca="false">IF($E31="","",$E31&amp;"|"&amp;COUNTIF($E$5:$E31,$E31))</f>
        <v/>
      </c>
      <c r="K31" s="40" t="str">
        <f aca="false">IF($I31="","",LEN($I31))</f>
        <v/>
      </c>
      <c r="L31" s="13"/>
      <c r="M31" s="13"/>
      <c r="N31" s="13"/>
      <c r="O31" s="13"/>
      <c r="P31" s="152"/>
      <c r="Q31" s="149"/>
      <c r="R31" s="152"/>
      <c r="S31" s="152"/>
      <c r="T31" s="62" t="str">
        <f aca="false">IF(OR($C31="",R31=""),"",IF(R31/IF($R$2="",100,$R$2)&gt;=設定!$I$28,設定!$G$8,IF(R31/IF($R$2="",100,$R$2)&lt;設定!$I$29,設定!$G$10,設定!$G$9)))</f>
        <v/>
      </c>
      <c r="U31" s="62" t="str">
        <f aca="false">IF(OR($C31="",S31=""),"",IF(S31/IF($S$2="",100,$S$2)&gt;=設定!$I$28,設定!$G$8,IF(S31/IF($S$2="",100,$S$2)&lt;設定!$I$29,設定!$G$10,設定!$G$9)))</f>
        <v/>
      </c>
    </row>
    <row r="32" customFormat="false" ht="21" hidden="false" customHeight="true" outlineLevel="0" collapsed="false">
      <c r="A32" s="91" t="str">
        <f aca="false">IF(名簿!$D32="","",名簿!$B32&amp;"")</f>
        <v/>
      </c>
      <c r="B32" s="91" t="str">
        <f aca="false">IF(名簿!$D32="","",名簿!$C32)</f>
        <v/>
      </c>
      <c r="C32" s="59" t="str">
        <f aca="false">IF(名簿!$D32="","",名簿!$D32&amp;IF(名簿!$F32="転出","（転出）",""))</f>
        <v/>
      </c>
      <c r="D32" s="149"/>
      <c r="E32" s="61" t="str">
        <f aca="false">IF(OR($C32="",名簿!$F32="転出"),"",IF($C$2="学級ごと",$A32,IF($C$2="前の単元と同じ",単元17!$E32&amp;"",$D32&amp;"")))</f>
        <v/>
      </c>
      <c r="F32" s="150"/>
      <c r="G32" s="150"/>
      <c r="H32" s="150"/>
      <c r="I32" s="151"/>
      <c r="J32" s="41" t="str">
        <f aca="false">IF($E32="","",$E32&amp;"|"&amp;COUNTIF($E$5:$E32,$E32))</f>
        <v/>
      </c>
      <c r="K32" s="40" t="str">
        <f aca="false">IF($I32="","",LEN($I32))</f>
        <v/>
      </c>
      <c r="L32" s="13"/>
      <c r="M32" s="13"/>
      <c r="N32" s="13"/>
      <c r="O32" s="13"/>
      <c r="P32" s="152"/>
      <c r="Q32" s="149"/>
      <c r="R32" s="152"/>
      <c r="S32" s="152"/>
      <c r="T32" s="62" t="str">
        <f aca="false">IF(OR($C32="",R32=""),"",IF(R32/IF($R$2="",100,$R$2)&gt;=設定!$I$28,設定!$G$8,IF(R32/IF($R$2="",100,$R$2)&lt;設定!$I$29,設定!$G$10,設定!$G$9)))</f>
        <v/>
      </c>
      <c r="U32" s="62" t="str">
        <f aca="false">IF(OR($C32="",S32=""),"",IF(S32/IF($S$2="",100,$S$2)&gt;=設定!$I$28,設定!$G$8,IF(S32/IF($S$2="",100,$S$2)&lt;設定!$I$29,設定!$G$10,設定!$G$9)))</f>
        <v/>
      </c>
    </row>
    <row r="33" customFormat="false" ht="21" hidden="false" customHeight="true" outlineLevel="0" collapsed="false">
      <c r="A33" s="91" t="str">
        <f aca="false">IF(名簿!$D33="","",名簿!$B33&amp;"")</f>
        <v/>
      </c>
      <c r="B33" s="91" t="str">
        <f aca="false">IF(名簿!$D33="","",名簿!$C33)</f>
        <v/>
      </c>
      <c r="C33" s="59" t="str">
        <f aca="false">IF(名簿!$D33="","",名簿!$D33&amp;IF(名簿!$F33="転出","（転出）",""))</f>
        <v/>
      </c>
      <c r="D33" s="149"/>
      <c r="E33" s="61" t="str">
        <f aca="false">IF(OR($C33="",名簿!$F33="転出"),"",IF($C$2="学級ごと",$A33,IF($C$2="前の単元と同じ",単元17!$E33&amp;"",$D33&amp;"")))</f>
        <v/>
      </c>
      <c r="F33" s="150"/>
      <c r="G33" s="150"/>
      <c r="H33" s="150"/>
      <c r="I33" s="151"/>
      <c r="J33" s="41" t="str">
        <f aca="false">IF($E33="","",$E33&amp;"|"&amp;COUNTIF($E$5:$E33,$E33))</f>
        <v/>
      </c>
      <c r="K33" s="40" t="str">
        <f aca="false">IF($I33="","",LEN($I33))</f>
        <v/>
      </c>
      <c r="L33" s="13"/>
      <c r="M33" s="13"/>
      <c r="N33" s="13"/>
      <c r="O33" s="13"/>
      <c r="P33" s="152"/>
      <c r="Q33" s="149"/>
      <c r="R33" s="152"/>
      <c r="S33" s="152"/>
      <c r="T33" s="62" t="str">
        <f aca="false">IF(OR($C33="",R33=""),"",IF(R33/IF($R$2="",100,$R$2)&gt;=設定!$I$28,設定!$G$8,IF(R33/IF($R$2="",100,$R$2)&lt;設定!$I$29,設定!$G$10,設定!$G$9)))</f>
        <v/>
      </c>
      <c r="U33" s="62" t="str">
        <f aca="false">IF(OR($C33="",S33=""),"",IF(S33/IF($S$2="",100,$S$2)&gt;=設定!$I$28,設定!$G$8,IF(S33/IF($S$2="",100,$S$2)&lt;設定!$I$29,設定!$G$10,設定!$G$9)))</f>
        <v/>
      </c>
    </row>
    <row r="34" customFormat="false" ht="21" hidden="false" customHeight="true" outlineLevel="0" collapsed="false">
      <c r="A34" s="91" t="str">
        <f aca="false">IF(名簿!$D34="","",名簿!$B34&amp;"")</f>
        <v/>
      </c>
      <c r="B34" s="91" t="str">
        <f aca="false">IF(名簿!$D34="","",名簿!$C34)</f>
        <v/>
      </c>
      <c r="C34" s="59" t="str">
        <f aca="false">IF(名簿!$D34="","",名簿!$D34&amp;IF(名簿!$F34="転出","（転出）",""))</f>
        <v/>
      </c>
      <c r="D34" s="149"/>
      <c r="E34" s="61" t="str">
        <f aca="false">IF(OR($C34="",名簿!$F34="転出"),"",IF($C$2="学級ごと",$A34,IF($C$2="前の単元と同じ",単元17!$E34&amp;"",$D34&amp;"")))</f>
        <v/>
      </c>
      <c r="F34" s="150"/>
      <c r="G34" s="150"/>
      <c r="H34" s="150"/>
      <c r="I34" s="151"/>
      <c r="J34" s="41" t="str">
        <f aca="false">IF($E34="","",$E34&amp;"|"&amp;COUNTIF($E$5:$E34,$E34))</f>
        <v/>
      </c>
      <c r="K34" s="40" t="str">
        <f aca="false">IF($I34="","",LEN($I34))</f>
        <v/>
      </c>
      <c r="L34" s="13"/>
      <c r="M34" s="13"/>
      <c r="N34" s="13"/>
      <c r="O34" s="13"/>
      <c r="P34" s="152"/>
      <c r="Q34" s="149"/>
      <c r="R34" s="152"/>
      <c r="S34" s="152"/>
      <c r="T34" s="62" t="str">
        <f aca="false">IF(OR($C34="",R34=""),"",IF(R34/IF($R$2="",100,$R$2)&gt;=設定!$I$28,設定!$G$8,IF(R34/IF($R$2="",100,$R$2)&lt;設定!$I$29,設定!$G$10,設定!$G$9)))</f>
        <v/>
      </c>
      <c r="U34" s="62" t="str">
        <f aca="false">IF(OR($C34="",S34=""),"",IF(S34/IF($S$2="",100,$S$2)&gt;=設定!$I$28,設定!$G$8,IF(S34/IF($S$2="",100,$S$2)&lt;設定!$I$29,設定!$G$10,設定!$G$9)))</f>
        <v/>
      </c>
    </row>
    <row r="35" customFormat="false" ht="21" hidden="false" customHeight="true" outlineLevel="0" collapsed="false">
      <c r="A35" s="91" t="str">
        <f aca="false">IF(名簿!$D35="","",名簿!$B35&amp;"")</f>
        <v/>
      </c>
      <c r="B35" s="91" t="str">
        <f aca="false">IF(名簿!$D35="","",名簿!$C35)</f>
        <v/>
      </c>
      <c r="C35" s="59" t="str">
        <f aca="false">IF(名簿!$D35="","",名簿!$D35&amp;IF(名簿!$F35="転出","（転出）",""))</f>
        <v/>
      </c>
      <c r="D35" s="149"/>
      <c r="E35" s="61" t="str">
        <f aca="false">IF(OR($C35="",名簿!$F35="転出"),"",IF($C$2="学級ごと",$A35,IF($C$2="前の単元と同じ",単元17!$E35&amp;"",$D35&amp;"")))</f>
        <v/>
      </c>
      <c r="F35" s="150"/>
      <c r="G35" s="150"/>
      <c r="H35" s="150"/>
      <c r="I35" s="151"/>
      <c r="J35" s="41" t="str">
        <f aca="false">IF($E35="","",$E35&amp;"|"&amp;COUNTIF($E$5:$E35,$E35))</f>
        <v/>
      </c>
      <c r="K35" s="40" t="str">
        <f aca="false">IF($I35="","",LEN($I35))</f>
        <v/>
      </c>
      <c r="L35" s="13"/>
      <c r="M35" s="13"/>
      <c r="N35" s="13"/>
      <c r="O35" s="13"/>
      <c r="P35" s="152"/>
      <c r="Q35" s="149"/>
      <c r="R35" s="152"/>
      <c r="S35" s="152"/>
      <c r="T35" s="62" t="str">
        <f aca="false">IF(OR($C35="",R35=""),"",IF(R35/IF($R$2="",100,$R$2)&gt;=設定!$I$28,設定!$G$8,IF(R35/IF($R$2="",100,$R$2)&lt;設定!$I$29,設定!$G$10,設定!$G$9)))</f>
        <v/>
      </c>
      <c r="U35" s="62" t="str">
        <f aca="false">IF(OR($C35="",S35=""),"",IF(S35/IF($S$2="",100,$S$2)&gt;=設定!$I$28,設定!$G$8,IF(S35/IF($S$2="",100,$S$2)&lt;設定!$I$29,設定!$G$10,設定!$G$9)))</f>
        <v/>
      </c>
    </row>
    <row r="36" customFormat="false" ht="21" hidden="false" customHeight="true" outlineLevel="0" collapsed="false">
      <c r="A36" s="91" t="str">
        <f aca="false">IF(名簿!$D36="","",名簿!$B36&amp;"")</f>
        <v/>
      </c>
      <c r="B36" s="91" t="str">
        <f aca="false">IF(名簿!$D36="","",名簿!$C36)</f>
        <v/>
      </c>
      <c r="C36" s="59" t="str">
        <f aca="false">IF(名簿!$D36="","",名簿!$D36&amp;IF(名簿!$F36="転出","（転出）",""))</f>
        <v/>
      </c>
      <c r="D36" s="149"/>
      <c r="E36" s="61" t="str">
        <f aca="false">IF(OR($C36="",名簿!$F36="転出"),"",IF($C$2="学級ごと",$A36,IF($C$2="前の単元と同じ",単元17!$E36&amp;"",$D36&amp;"")))</f>
        <v/>
      </c>
      <c r="F36" s="150"/>
      <c r="G36" s="150"/>
      <c r="H36" s="150"/>
      <c r="I36" s="151"/>
      <c r="J36" s="41" t="str">
        <f aca="false">IF($E36="","",$E36&amp;"|"&amp;COUNTIF($E$5:$E36,$E36))</f>
        <v/>
      </c>
      <c r="K36" s="40" t="str">
        <f aca="false">IF($I36="","",LEN($I36))</f>
        <v/>
      </c>
      <c r="L36" s="13"/>
      <c r="M36" s="13"/>
      <c r="N36" s="13"/>
      <c r="O36" s="13"/>
      <c r="P36" s="152"/>
      <c r="Q36" s="149"/>
      <c r="R36" s="152"/>
      <c r="S36" s="152"/>
      <c r="T36" s="62" t="str">
        <f aca="false">IF(OR($C36="",R36=""),"",IF(R36/IF($R$2="",100,$R$2)&gt;=設定!$I$28,設定!$G$8,IF(R36/IF($R$2="",100,$R$2)&lt;設定!$I$29,設定!$G$10,設定!$G$9)))</f>
        <v/>
      </c>
      <c r="U36" s="62" t="str">
        <f aca="false">IF(OR($C36="",S36=""),"",IF(S36/IF($S$2="",100,$S$2)&gt;=設定!$I$28,設定!$G$8,IF(S36/IF($S$2="",100,$S$2)&lt;設定!$I$29,設定!$G$10,設定!$G$9)))</f>
        <v/>
      </c>
    </row>
    <row r="37" customFormat="false" ht="21" hidden="false" customHeight="true" outlineLevel="0" collapsed="false">
      <c r="A37" s="91" t="str">
        <f aca="false">IF(名簿!$D37="","",名簿!$B37&amp;"")</f>
        <v/>
      </c>
      <c r="B37" s="91" t="str">
        <f aca="false">IF(名簿!$D37="","",名簿!$C37)</f>
        <v/>
      </c>
      <c r="C37" s="59" t="str">
        <f aca="false">IF(名簿!$D37="","",名簿!$D37&amp;IF(名簿!$F37="転出","（転出）",""))</f>
        <v/>
      </c>
      <c r="D37" s="149"/>
      <c r="E37" s="61" t="str">
        <f aca="false">IF(OR($C37="",名簿!$F37="転出"),"",IF($C$2="学級ごと",$A37,IF($C$2="前の単元と同じ",単元17!$E37&amp;"",$D37&amp;"")))</f>
        <v/>
      </c>
      <c r="F37" s="150"/>
      <c r="G37" s="150"/>
      <c r="H37" s="150"/>
      <c r="I37" s="151"/>
      <c r="J37" s="41" t="str">
        <f aca="false">IF($E37="","",$E37&amp;"|"&amp;COUNTIF($E$5:$E37,$E37))</f>
        <v/>
      </c>
      <c r="K37" s="40" t="str">
        <f aca="false">IF($I37="","",LEN($I37))</f>
        <v/>
      </c>
      <c r="L37" s="13"/>
      <c r="M37" s="13"/>
      <c r="N37" s="13"/>
      <c r="O37" s="13"/>
      <c r="P37" s="152"/>
      <c r="Q37" s="149"/>
      <c r="R37" s="152"/>
      <c r="S37" s="152"/>
      <c r="T37" s="62" t="str">
        <f aca="false">IF(OR($C37="",R37=""),"",IF(R37/IF($R$2="",100,$R$2)&gt;=設定!$I$28,設定!$G$8,IF(R37/IF($R$2="",100,$R$2)&lt;設定!$I$29,設定!$G$10,設定!$G$9)))</f>
        <v/>
      </c>
      <c r="U37" s="62" t="str">
        <f aca="false">IF(OR($C37="",S37=""),"",IF(S37/IF($S$2="",100,$S$2)&gt;=設定!$I$28,設定!$G$8,IF(S37/IF($S$2="",100,$S$2)&lt;設定!$I$29,設定!$G$10,設定!$G$9)))</f>
        <v/>
      </c>
    </row>
    <row r="38" customFormat="false" ht="21" hidden="false" customHeight="true" outlineLevel="0" collapsed="false">
      <c r="A38" s="91" t="str">
        <f aca="false">IF(名簿!$D38="","",名簿!$B38&amp;"")</f>
        <v/>
      </c>
      <c r="B38" s="91" t="str">
        <f aca="false">IF(名簿!$D38="","",名簿!$C38)</f>
        <v/>
      </c>
      <c r="C38" s="59" t="str">
        <f aca="false">IF(名簿!$D38="","",名簿!$D38&amp;IF(名簿!$F38="転出","（転出）",""))</f>
        <v/>
      </c>
      <c r="D38" s="149"/>
      <c r="E38" s="61" t="str">
        <f aca="false">IF(OR($C38="",名簿!$F38="転出"),"",IF($C$2="学級ごと",$A38,IF($C$2="前の単元と同じ",単元17!$E38&amp;"",$D38&amp;"")))</f>
        <v/>
      </c>
      <c r="F38" s="150"/>
      <c r="G38" s="150"/>
      <c r="H38" s="150"/>
      <c r="I38" s="151"/>
      <c r="J38" s="41" t="str">
        <f aca="false">IF($E38="","",$E38&amp;"|"&amp;COUNTIF($E$5:$E38,$E38))</f>
        <v/>
      </c>
      <c r="K38" s="40" t="str">
        <f aca="false">IF($I38="","",LEN($I38))</f>
        <v/>
      </c>
      <c r="L38" s="13"/>
      <c r="M38" s="13"/>
      <c r="N38" s="13"/>
      <c r="O38" s="13"/>
      <c r="P38" s="152"/>
      <c r="Q38" s="149"/>
      <c r="R38" s="152"/>
      <c r="S38" s="152"/>
      <c r="T38" s="62" t="str">
        <f aca="false">IF(OR($C38="",R38=""),"",IF(R38/IF($R$2="",100,$R$2)&gt;=設定!$I$28,設定!$G$8,IF(R38/IF($R$2="",100,$R$2)&lt;設定!$I$29,設定!$G$10,設定!$G$9)))</f>
        <v/>
      </c>
      <c r="U38" s="62" t="str">
        <f aca="false">IF(OR($C38="",S38=""),"",IF(S38/IF($S$2="",100,$S$2)&gt;=設定!$I$28,設定!$G$8,IF(S38/IF($S$2="",100,$S$2)&lt;設定!$I$29,設定!$G$10,設定!$G$9)))</f>
        <v/>
      </c>
    </row>
    <row r="39" customFormat="false" ht="21" hidden="false" customHeight="true" outlineLevel="0" collapsed="false">
      <c r="A39" s="91" t="str">
        <f aca="false">IF(名簿!$D39="","",名簿!$B39&amp;"")</f>
        <v/>
      </c>
      <c r="B39" s="91" t="str">
        <f aca="false">IF(名簿!$D39="","",名簿!$C39)</f>
        <v/>
      </c>
      <c r="C39" s="59" t="str">
        <f aca="false">IF(名簿!$D39="","",名簿!$D39&amp;IF(名簿!$F39="転出","（転出）",""))</f>
        <v/>
      </c>
      <c r="D39" s="149"/>
      <c r="E39" s="61" t="str">
        <f aca="false">IF(OR($C39="",名簿!$F39="転出"),"",IF($C$2="学級ごと",$A39,IF($C$2="前の単元と同じ",単元17!$E39&amp;"",$D39&amp;"")))</f>
        <v/>
      </c>
      <c r="F39" s="150"/>
      <c r="G39" s="150"/>
      <c r="H39" s="150"/>
      <c r="I39" s="151"/>
      <c r="J39" s="41" t="str">
        <f aca="false">IF($E39="","",$E39&amp;"|"&amp;COUNTIF($E$5:$E39,$E39))</f>
        <v/>
      </c>
      <c r="K39" s="40" t="str">
        <f aca="false">IF($I39="","",LEN($I39))</f>
        <v/>
      </c>
      <c r="L39" s="13"/>
      <c r="M39" s="13"/>
      <c r="N39" s="13"/>
      <c r="O39" s="13"/>
      <c r="P39" s="152"/>
      <c r="Q39" s="149"/>
      <c r="R39" s="152"/>
      <c r="S39" s="152"/>
      <c r="T39" s="62" t="str">
        <f aca="false">IF(OR($C39="",R39=""),"",IF(R39/IF($R$2="",100,$R$2)&gt;=設定!$I$28,設定!$G$8,IF(R39/IF($R$2="",100,$R$2)&lt;設定!$I$29,設定!$G$10,設定!$G$9)))</f>
        <v/>
      </c>
      <c r="U39" s="62" t="str">
        <f aca="false">IF(OR($C39="",S39=""),"",IF(S39/IF($S$2="",100,$S$2)&gt;=設定!$I$28,設定!$G$8,IF(S39/IF($S$2="",100,$S$2)&lt;設定!$I$29,設定!$G$10,設定!$G$9)))</f>
        <v/>
      </c>
    </row>
    <row r="40" customFormat="false" ht="21" hidden="false" customHeight="true" outlineLevel="0" collapsed="false">
      <c r="A40" s="91" t="str">
        <f aca="false">IF(名簿!$D40="","",名簿!$B40&amp;"")</f>
        <v/>
      </c>
      <c r="B40" s="91" t="str">
        <f aca="false">IF(名簿!$D40="","",名簿!$C40)</f>
        <v/>
      </c>
      <c r="C40" s="59" t="str">
        <f aca="false">IF(名簿!$D40="","",名簿!$D40&amp;IF(名簿!$F40="転出","（転出）",""))</f>
        <v/>
      </c>
      <c r="D40" s="149"/>
      <c r="E40" s="61" t="str">
        <f aca="false">IF(OR($C40="",名簿!$F40="転出"),"",IF($C$2="学級ごと",$A40,IF($C$2="前の単元と同じ",単元17!$E40&amp;"",$D40&amp;"")))</f>
        <v/>
      </c>
      <c r="F40" s="150"/>
      <c r="G40" s="150"/>
      <c r="H40" s="150"/>
      <c r="I40" s="151"/>
      <c r="J40" s="41" t="str">
        <f aca="false">IF($E40="","",$E40&amp;"|"&amp;COUNTIF($E$5:$E40,$E40))</f>
        <v/>
      </c>
      <c r="K40" s="40" t="str">
        <f aca="false">IF($I40="","",LEN($I40))</f>
        <v/>
      </c>
      <c r="L40" s="13"/>
      <c r="M40" s="13"/>
      <c r="N40" s="13"/>
      <c r="O40" s="13"/>
      <c r="P40" s="152"/>
      <c r="Q40" s="149"/>
      <c r="R40" s="152"/>
      <c r="S40" s="152"/>
      <c r="T40" s="62" t="str">
        <f aca="false">IF(OR($C40="",R40=""),"",IF(R40/IF($R$2="",100,$R$2)&gt;=設定!$I$28,設定!$G$8,IF(R40/IF($R$2="",100,$R$2)&lt;設定!$I$29,設定!$G$10,設定!$G$9)))</f>
        <v/>
      </c>
      <c r="U40" s="62" t="str">
        <f aca="false">IF(OR($C40="",S40=""),"",IF(S40/IF($S$2="",100,$S$2)&gt;=設定!$I$28,設定!$G$8,IF(S40/IF($S$2="",100,$S$2)&lt;設定!$I$29,設定!$G$10,設定!$G$9)))</f>
        <v/>
      </c>
    </row>
    <row r="41" customFormat="false" ht="21" hidden="false" customHeight="true" outlineLevel="0" collapsed="false">
      <c r="A41" s="91" t="str">
        <f aca="false">IF(名簿!$D41="","",名簿!$B41&amp;"")</f>
        <v/>
      </c>
      <c r="B41" s="91" t="str">
        <f aca="false">IF(名簿!$D41="","",名簿!$C41)</f>
        <v/>
      </c>
      <c r="C41" s="59" t="str">
        <f aca="false">IF(名簿!$D41="","",名簿!$D41&amp;IF(名簿!$F41="転出","（転出）",""))</f>
        <v/>
      </c>
      <c r="D41" s="149"/>
      <c r="E41" s="61" t="str">
        <f aca="false">IF(OR($C41="",名簿!$F41="転出"),"",IF($C$2="学級ごと",$A41,IF($C$2="前の単元と同じ",単元17!$E41&amp;"",$D41&amp;"")))</f>
        <v/>
      </c>
      <c r="F41" s="150"/>
      <c r="G41" s="150"/>
      <c r="H41" s="150"/>
      <c r="I41" s="151"/>
      <c r="J41" s="41" t="str">
        <f aca="false">IF($E41="","",$E41&amp;"|"&amp;COUNTIF($E$5:$E41,$E41))</f>
        <v/>
      </c>
      <c r="K41" s="40" t="str">
        <f aca="false">IF($I41="","",LEN($I41))</f>
        <v/>
      </c>
      <c r="L41" s="13"/>
      <c r="M41" s="13"/>
      <c r="N41" s="13"/>
      <c r="O41" s="13"/>
      <c r="P41" s="152"/>
      <c r="Q41" s="149"/>
      <c r="R41" s="152"/>
      <c r="S41" s="152"/>
      <c r="T41" s="62" t="str">
        <f aca="false">IF(OR($C41="",R41=""),"",IF(R41/IF($R$2="",100,$R$2)&gt;=設定!$I$28,設定!$G$8,IF(R41/IF($R$2="",100,$R$2)&lt;設定!$I$29,設定!$G$10,設定!$G$9)))</f>
        <v/>
      </c>
      <c r="U41" s="62" t="str">
        <f aca="false">IF(OR($C41="",S41=""),"",IF(S41/IF($S$2="",100,$S$2)&gt;=設定!$I$28,設定!$G$8,IF(S41/IF($S$2="",100,$S$2)&lt;設定!$I$29,設定!$G$10,設定!$G$9)))</f>
        <v/>
      </c>
    </row>
    <row r="42" customFormat="false" ht="21" hidden="false" customHeight="true" outlineLevel="0" collapsed="false">
      <c r="A42" s="91" t="str">
        <f aca="false">IF(名簿!$D42="","",名簿!$B42&amp;"")</f>
        <v/>
      </c>
      <c r="B42" s="91" t="str">
        <f aca="false">IF(名簿!$D42="","",名簿!$C42)</f>
        <v/>
      </c>
      <c r="C42" s="59" t="str">
        <f aca="false">IF(名簿!$D42="","",名簿!$D42&amp;IF(名簿!$F42="転出","（転出）",""))</f>
        <v/>
      </c>
      <c r="D42" s="149"/>
      <c r="E42" s="61" t="str">
        <f aca="false">IF(OR($C42="",名簿!$F42="転出"),"",IF($C$2="学級ごと",$A42,IF($C$2="前の単元と同じ",単元17!$E42&amp;"",$D42&amp;"")))</f>
        <v/>
      </c>
      <c r="F42" s="150"/>
      <c r="G42" s="150"/>
      <c r="H42" s="150"/>
      <c r="I42" s="151"/>
      <c r="J42" s="41" t="str">
        <f aca="false">IF($E42="","",$E42&amp;"|"&amp;COUNTIF($E$5:$E42,$E42))</f>
        <v/>
      </c>
      <c r="K42" s="40" t="str">
        <f aca="false">IF($I42="","",LEN($I42))</f>
        <v/>
      </c>
      <c r="L42" s="13"/>
      <c r="M42" s="13"/>
      <c r="N42" s="13"/>
      <c r="O42" s="13"/>
      <c r="P42" s="152"/>
      <c r="Q42" s="149"/>
      <c r="R42" s="152"/>
      <c r="S42" s="152"/>
      <c r="T42" s="62" t="str">
        <f aca="false">IF(OR($C42="",R42=""),"",IF(R42/IF($R$2="",100,$R$2)&gt;=設定!$I$28,設定!$G$8,IF(R42/IF($R$2="",100,$R$2)&lt;設定!$I$29,設定!$G$10,設定!$G$9)))</f>
        <v/>
      </c>
      <c r="U42" s="62" t="str">
        <f aca="false">IF(OR($C42="",S42=""),"",IF(S42/IF($S$2="",100,$S$2)&gt;=設定!$I$28,設定!$G$8,IF(S42/IF($S$2="",100,$S$2)&lt;設定!$I$29,設定!$G$10,設定!$G$9)))</f>
        <v/>
      </c>
    </row>
    <row r="43" customFormat="false" ht="21" hidden="false" customHeight="true" outlineLevel="0" collapsed="false">
      <c r="A43" s="91" t="str">
        <f aca="false">IF(名簿!$D43="","",名簿!$B43&amp;"")</f>
        <v/>
      </c>
      <c r="B43" s="91" t="str">
        <f aca="false">IF(名簿!$D43="","",名簿!$C43)</f>
        <v/>
      </c>
      <c r="C43" s="59" t="str">
        <f aca="false">IF(名簿!$D43="","",名簿!$D43&amp;IF(名簿!$F43="転出","（転出）",""))</f>
        <v/>
      </c>
      <c r="D43" s="149"/>
      <c r="E43" s="61" t="str">
        <f aca="false">IF(OR($C43="",名簿!$F43="転出"),"",IF($C$2="学級ごと",$A43,IF($C$2="前の単元と同じ",単元17!$E43&amp;"",$D43&amp;"")))</f>
        <v/>
      </c>
      <c r="F43" s="150"/>
      <c r="G43" s="150"/>
      <c r="H43" s="150"/>
      <c r="I43" s="151"/>
      <c r="J43" s="41" t="str">
        <f aca="false">IF($E43="","",$E43&amp;"|"&amp;COUNTIF($E$5:$E43,$E43))</f>
        <v/>
      </c>
      <c r="K43" s="40" t="str">
        <f aca="false">IF($I43="","",LEN($I43))</f>
        <v/>
      </c>
      <c r="L43" s="13"/>
      <c r="M43" s="13"/>
      <c r="N43" s="13"/>
      <c r="O43" s="13"/>
      <c r="P43" s="152"/>
      <c r="Q43" s="149"/>
      <c r="R43" s="152"/>
      <c r="S43" s="152"/>
      <c r="T43" s="62" t="str">
        <f aca="false">IF(OR($C43="",R43=""),"",IF(R43/IF($R$2="",100,$R$2)&gt;=設定!$I$28,設定!$G$8,IF(R43/IF($R$2="",100,$R$2)&lt;設定!$I$29,設定!$G$10,設定!$G$9)))</f>
        <v/>
      </c>
      <c r="U43" s="62" t="str">
        <f aca="false">IF(OR($C43="",S43=""),"",IF(S43/IF($S$2="",100,$S$2)&gt;=設定!$I$28,設定!$G$8,IF(S43/IF($S$2="",100,$S$2)&lt;設定!$I$29,設定!$G$10,設定!$G$9)))</f>
        <v/>
      </c>
    </row>
    <row r="44" customFormat="false" ht="21" hidden="false" customHeight="true" outlineLevel="0" collapsed="false">
      <c r="A44" s="91" t="str">
        <f aca="false">IF(名簿!$D44="","",名簿!$B44&amp;"")</f>
        <v/>
      </c>
      <c r="B44" s="91" t="str">
        <f aca="false">IF(名簿!$D44="","",名簿!$C44)</f>
        <v/>
      </c>
      <c r="C44" s="59" t="str">
        <f aca="false">IF(名簿!$D44="","",名簿!$D44&amp;IF(名簿!$F44="転出","（転出）",""))</f>
        <v/>
      </c>
      <c r="D44" s="149"/>
      <c r="E44" s="61" t="str">
        <f aca="false">IF(OR($C44="",名簿!$F44="転出"),"",IF($C$2="学級ごと",$A44,IF($C$2="前の単元と同じ",単元17!$E44&amp;"",$D44&amp;"")))</f>
        <v/>
      </c>
      <c r="F44" s="150"/>
      <c r="G44" s="150"/>
      <c r="H44" s="150"/>
      <c r="I44" s="151"/>
      <c r="J44" s="41" t="str">
        <f aca="false">IF($E44="","",$E44&amp;"|"&amp;COUNTIF($E$5:$E44,$E44))</f>
        <v/>
      </c>
      <c r="K44" s="40" t="str">
        <f aca="false">IF($I44="","",LEN($I44))</f>
        <v/>
      </c>
      <c r="L44" s="13"/>
      <c r="M44" s="13"/>
      <c r="N44" s="13"/>
      <c r="O44" s="13"/>
      <c r="P44" s="152"/>
      <c r="Q44" s="149"/>
      <c r="R44" s="152"/>
      <c r="S44" s="152"/>
      <c r="T44" s="62" t="str">
        <f aca="false">IF(OR($C44="",R44=""),"",IF(R44/IF($R$2="",100,$R$2)&gt;=設定!$I$28,設定!$G$8,IF(R44/IF($R$2="",100,$R$2)&lt;設定!$I$29,設定!$G$10,設定!$G$9)))</f>
        <v/>
      </c>
      <c r="U44" s="62" t="str">
        <f aca="false">IF(OR($C44="",S44=""),"",IF(S44/IF($S$2="",100,$S$2)&gt;=設定!$I$28,設定!$G$8,IF(S44/IF($S$2="",100,$S$2)&lt;設定!$I$29,設定!$G$10,設定!$G$9)))</f>
        <v/>
      </c>
    </row>
    <row r="45" customFormat="false" ht="21" hidden="false" customHeight="true" outlineLevel="0" collapsed="false">
      <c r="A45" s="91" t="str">
        <f aca="false">IF(名簿!$D45="","",名簿!$B45&amp;"")</f>
        <v/>
      </c>
      <c r="B45" s="91" t="str">
        <f aca="false">IF(名簿!$D45="","",名簿!$C45)</f>
        <v/>
      </c>
      <c r="C45" s="59" t="str">
        <f aca="false">IF(名簿!$D45="","",名簿!$D45&amp;IF(名簿!$F45="転出","（転出）",""))</f>
        <v/>
      </c>
      <c r="D45" s="149"/>
      <c r="E45" s="61" t="str">
        <f aca="false">IF(OR($C45="",名簿!$F45="転出"),"",IF($C$2="学級ごと",$A45,IF($C$2="前の単元と同じ",単元17!$E45&amp;"",$D45&amp;"")))</f>
        <v/>
      </c>
      <c r="F45" s="150"/>
      <c r="G45" s="150"/>
      <c r="H45" s="150"/>
      <c r="I45" s="151"/>
      <c r="J45" s="41" t="str">
        <f aca="false">IF($E45="","",$E45&amp;"|"&amp;COUNTIF($E$5:$E45,$E45))</f>
        <v/>
      </c>
      <c r="K45" s="40" t="str">
        <f aca="false">IF($I45="","",LEN($I45))</f>
        <v/>
      </c>
      <c r="L45" s="13"/>
      <c r="M45" s="13"/>
      <c r="N45" s="13"/>
      <c r="O45" s="13"/>
      <c r="P45" s="152"/>
      <c r="Q45" s="149"/>
      <c r="R45" s="152"/>
      <c r="S45" s="152"/>
      <c r="T45" s="62" t="str">
        <f aca="false">IF(OR($C45="",R45=""),"",IF(R45/IF($R$2="",100,$R$2)&gt;=設定!$I$28,設定!$G$8,IF(R45/IF($R$2="",100,$R$2)&lt;設定!$I$29,設定!$G$10,設定!$G$9)))</f>
        <v/>
      </c>
      <c r="U45" s="62" t="str">
        <f aca="false">IF(OR($C45="",S45=""),"",IF(S45/IF($S$2="",100,$S$2)&gt;=設定!$I$28,設定!$G$8,IF(S45/IF($S$2="",100,$S$2)&lt;設定!$I$29,設定!$G$10,設定!$G$9)))</f>
        <v/>
      </c>
    </row>
    <row r="46" customFormat="false" ht="21" hidden="false" customHeight="true" outlineLevel="0" collapsed="false">
      <c r="A46" s="91" t="str">
        <f aca="false">IF(名簿!$D46="","",名簿!$B46&amp;"")</f>
        <v/>
      </c>
      <c r="B46" s="91" t="str">
        <f aca="false">IF(名簿!$D46="","",名簿!$C46)</f>
        <v/>
      </c>
      <c r="C46" s="59" t="str">
        <f aca="false">IF(名簿!$D46="","",名簿!$D46&amp;IF(名簿!$F46="転出","（転出）",""))</f>
        <v/>
      </c>
      <c r="D46" s="149"/>
      <c r="E46" s="61" t="str">
        <f aca="false">IF(OR($C46="",名簿!$F46="転出"),"",IF($C$2="学級ごと",$A46,IF($C$2="前の単元と同じ",単元17!$E46&amp;"",$D46&amp;"")))</f>
        <v/>
      </c>
      <c r="F46" s="150"/>
      <c r="G46" s="150"/>
      <c r="H46" s="150"/>
      <c r="I46" s="151"/>
      <c r="J46" s="41" t="str">
        <f aca="false">IF($E46="","",$E46&amp;"|"&amp;COUNTIF($E$5:$E46,$E46))</f>
        <v/>
      </c>
      <c r="K46" s="40" t="str">
        <f aca="false">IF($I46="","",LEN($I46))</f>
        <v/>
      </c>
      <c r="L46" s="13"/>
      <c r="M46" s="13"/>
      <c r="N46" s="13"/>
      <c r="O46" s="13"/>
      <c r="P46" s="152"/>
      <c r="Q46" s="149"/>
      <c r="R46" s="152"/>
      <c r="S46" s="152"/>
      <c r="T46" s="62" t="str">
        <f aca="false">IF(OR($C46="",R46=""),"",IF(R46/IF($R$2="",100,$R$2)&gt;=設定!$I$28,設定!$G$8,IF(R46/IF($R$2="",100,$R$2)&lt;設定!$I$29,設定!$G$10,設定!$G$9)))</f>
        <v/>
      </c>
      <c r="U46" s="62" t="str">
        <f aca="false">IF(OR($C46="",S46=""),"",IF(S46/IF($S$2="",100,$S$2)&gt;=設定!$I$28,設定!$G$8,IF(S46/IF($S$2="",100,$S$2)&lt;設定!$I$29,設定!$G$10,設定!$G$9)))</f>
        <v/>
      </c>
    </row>
    <row r="47" customFormat="false" ht="21" hidden="false" customHeight="true" outlineLevel="0" collapsed="false">
      <c r="A47" s="91" t="str">
        <f aca="false">IF(名簿!$D47="","",名簿!$B47&amp;"")</f>
        <v/>
      </c>
      <c r="B47" s="91" t="str">
        <f aca="false">IF(名簿!$D47="","",名簿!$C47)</f>
        <v/>
      </c>
      <c r="C47" s="59" t="str">
        <f aca="false">IF(名簿!$D47="","",名簿!$D47&amp;IF(名簿!$F47="転出","（転出）",""))</f>
        <v/>
      </c>
      <c r="D47" s="149"/>
      <c r="E47" s="61" t="str">
        <f aca="false">IF(OR($C47="",名簿!$F47="転出"),"",IF($C$2="学級ごと",$A47,IF($C$2="前の単元と同じ",単元17!$E47&amp;"",$D47&amp;"")))</f>
        <v/>
      </c>
      <c r="F47" s="150"/>
      <c r="G47" s="150"/>
      <c r="H47" s="150"/>
      <c r="I47" s="151"/>
      <c r="J47" s="41" t="str">
        <f aca="false">IF($E47="","",$E47&amp;"|"&amp;COUNTIF($E$5:$E47,$E47))</f>
        <v/>
      </c>
      <c r="K47" s="40" t="str">
        <f aca="false">IF($I47="","",LEN($I47))</f>
        <v/>
      </c>
      <c r="L47" s="13"/>
      <c r="M47" s="13"/>
      <c r="N47" s="13"/>
      <c r="O47" s="13"/>
      <c r="P47" s="152"/>
      <c r="Q47" s="149"/>
      <c r="R47" s="152"/>
      <c r="S47" s="152"/>
      <c r="T47" s="62" t="str">
        <f aca="false">IF(OR($C47="",R47=""),"",IF(R47/IF($R$2="",100,$R$2)&gt;=設定!$I$28,設定!$G$8,IF(R47/IF($R$2="",100,$R$2)&lt;設定!$I$29,設定!$G$10,設定!$G$9)))</f>
        <v/>
      </c>
      <c r="U47" s="62" t="str">
        <f aca="false">IF(OR($C47="",S47=""),"",IF(S47/IF($S$2="",100,$S$2)&gt;=設定!$I$28,設定!$G$8,IF(S47/IF($S$2="",100,$S$2)&lt;設定!$I$29,設定!$G$10,設定!$G$9)))</f>
        <v/>
      </c>
    </row>
    <row r="48" customFormat="false" ht="21" hidden="false" customHeight="true" outlineLevel="0" collapsed="false">
      <c r="A48" s="91" t="str">
        <f aca="false">IF(名簿!$D48="","",名簿!$B48&amp;"")</f>
        <v/>
      </c>
      <c r="B48" s="91" t="str">
        <f aca="false">IF(名簿!$D48="","",名簿!$C48)</f>
        <v/>
      </c>
      <c r="C48" s="59" t="str">
        <f aca="false">IF(名簿!$D48="","",名簿!$D48&amp;IF(名簿!$F48="転出","（転出）",""))</f>
        <v/>
      </c>
      <c r="D48" s="149"/>
      <c r="E48" s="61" t="str">
        <f aca="false">IF(OR($C48="",名簿!$F48="転出"),"",IF($C$2="学級ごと",$A48,IF($C$2="前の単元と同じ",単元17!$E48&amp;"",$D48&amp;"")))</f>
        <v/>
      </c>
      <c r="F48" s="150"/>
      <c r="G48" s="150"/>
      <c r="H48" s="150"/>
      <c r="I48" s="151"/>
      <c r="J48" s="41" t="str">
        <f aca="false">IF($E48="","",$E48&amp;"|"&amp;COUNTIF($E$5:$E48,$E48))</f>
        <v/>
      </c>
      <c r="K48" s="40" t="str">
        <f aca="false">IF($I48="","",LEN($I48))</f>
        <v/>
      </c>
      <c r="L48" s="13"/>
      <c r="M48" s="13"/>
      <c r="N48" s="13"/>
      <c r="O48" s="13"/>
      <c r="P48" s="152"/>
      <c r="Q48" s="149"/>
      <c r="R48" s="152"/>
      <c r="S48" s="152"/>
      <c r="T48" s="62" t="str">
        <f aca="false">IF(OR($C48="",R48=""),"",IF(R48/IF($R$2="",100,$R$2)&gt;=設定!$I$28,設定!$G$8,IF(R48/IF($R$2="",100,$R$2)&lt;設定!$I$29,設定!$G$10,設定!$G$9)))</f>
        <v/>
      </c>
      <c r="U48" s="62" t="str">
        <f aca="false">IF(OR($C48="",S48=""),"",IF(S48/IF($S$2="",100,$S$2)&gt;=設定!$I$28,設定!$G$8,IF(S48/IF($S$2="",100,$S$2)&lt;設定!$I$29,設定!$G$10,設定!$G$9)))</f>
        <v/>
      </c>
    </row>
    <row r="49" customFormat="false" ht="21" hidden="false" customHeight="true" outlineLevel="0" collapsed="false">
      <c r="A49" s="91" t="str">
        <f aca="false">IF(名簿!$D49="","",名簿!$B49&amp;"")</f>
        <v/>
      </c>
      <c r="B49" s="91" t="str">
        <f aca="false">IF(名簿!$D49="","",名簿!$C49)</f>
        <v/>
      </c>
      <c r="C49" s="59" t="str">
        <f aca="false">IF(名簿!$D49="","",名簿!$D49&amp;IF(名簿!$F49="転出","（転出）",""))</f>
        <v/>
      </c>
      <c r="D49" s="149"/>
      <c r="E49" s="61" t="str">
        <f aca="false">IF(OR($C49="",名簿!$F49="転出"),"",IF($C$2="学級ごと",$A49,IF($C$2="前の単元と同じ",単元17!$E49&amp;"",$D49&amp;"")))</f>
        <v/>
      </c>
      <c r="F49" s="150"/>
      <c r="G49" s="150"/>
      <c r="H49" s="150"/>
      <c r="I49" s="151"/>
      <c r="J49" s="41" t="str">
        <f aca="false">IF($E49="","",$E49&amp;"|"&amp;COUNTIF($E$5:$E49,$E49))</f>
        <v/>
      </c>
      <c r="K49" s="40" t="str">
        <f aca="false">IF($I49="","",LEN($I49))</f>
        <v/>
      </c>
      <c r="L49" s="13"/>
      <c r="M49" s="13"/>
      <c r="N49" s="13"/>
      <c r="O49" s="13"/>
      <c r="P49" s="152"/>
      <c r="Q49" s="149"/>
      <c r="R49" s="152"/>
      <c r="S49" s="152"/>
      <c r="T49" s="62" t="str">
        <f aca="false">IF(OR($C49="",R49=""),"",IF(R49/IF($R$2="",100,$R$2)&gt;=設定!$I$28,設定!$G$8,IF(R49/IF($R$2="",100,$R$2)&lt;設定!$I$29,設定!$G$10,設定!$G$9)))</f>
        <v/>
      </c>
      <c r="U49" s="62" t="str">
        <f aca="false">IF(OR($C49="",S49=""),"",IF(S49/IF($S$2="",100,$S$2)&gt;=設定!$I$28,設定!$G$8,IF(S49/IF($S$2="",100,$S$2)&lt;設定!$I$29,設定!$G$10,設定!$G$9)))</f>
        <v/>
      </c>
    </row>
    <row r="50" customFormat="false" ht="21" hidden="false" customHeight="true" outlineLevel="0" collapsed="false">
      <c r="A50" s="91" t="str">
        <f aca="false">IF(名簿!$D50="","",名簿!$B50&amp;"")</f>
        <v/>
      </c>
      <c r="B50" s="91" t="str">
        <f aca="false">IF(名簿!$D50="","",名簿!$C50)</f>
        <v/>
      </c>
      <c r="C50" s="59" t="str">
        <f aca="false">IF(名簿!$D50="","",名簿!$D50&amp;IF(名簿!$F50="転出","（転出）",""))</f>
        <v/>
      </c>
      <c r="D50" s="149"/>
      <c r="E50" s="61" t="str">
        <f aca="false">IF(OR($C50="",名簿!$F50="転出"),"",IF($C$2="学級ごと",$A50,IF($C$2="前の単元と同じ",単元17!$E50&amp;"",$D50&amp;"")))</f>
        <v/>
      </c>
      <c r="F50" s="150"/>
      <c r="G50" s="150"/>
      <c r="H50" s="150"/>
      <c r="I50" s="151"/>
      <c r="J50" s="41" t="str">
        <f aca="false">IF($E50="","",$E50&amp;"|"&amp;COUNTIF($E$5:$E50,$E50))</f>
        <v/>
      </c>
      <c r="K50" s="40" t="str">
        <f aca="false">IF($I50="","",LEN($I50))</f>
        <v/>
      </c>
      <c r="L50" s="13"/>
      <c r="M50" s="13"/>
      <c r="N50" s="13"/>
      <c r="O50" s="13"/>
      <c r="P50" s="152"/>
      <c r="Q50" s="149"/>
      <c r="R50" s="152"/>
      <c r="S50" s="152"/>
      <c r="T50" s="62" t="str">
        <f aca="false">IF(OR($C50="",R50=""),"",IF(R50/IF($R$2="",100,$R$2)&gt;=設定!$I$28,設定!$G$8,IF(R50/IF($R$2="",100,$R$2)&lt;設定!$I$29,設定!$G$10,設定!$G$9)))</f>
        <v/>
      </c>
      <c r="U50" s="62" t="str">
        <f aca="false">IF(OR($C50="",S50=""),"",IF(S50/IF($S$2="",100,$S$2)&gt;=設定!$I$28,設定!$G$8,IF(S50/IF($S$2="",100,$S$2)&lt;設定!$I$29,設定!$G$10,設定!$G$9)))</f>
        <v/>
      </c>
    </row>
    <row r="51" customFormat="false" ht="21" hidden="false" customHeight="true" outlineLevel="0" collapsed="false">
      <c r="A51" s="91" t="str">
        <f aca="false">IF(名簿!$D51="","",名簿!$B51&amp;"")</f>
        <v/>
      </c>
      <c r="B51" s="91" t="str">
        <f aca="false">IF(名簿!$D51="","",名簿!$C51)</f>
        <v/>
      </c>
      <c r="C51" s="59" t="str">
        <f aca="false">IF(名簿!$D51="","",名簿!$D51&amp;IF(名簿!$F51="転出","（転出）",""))</f>
        <v/>
      </c>
      <c r="D51" s="149"/>
      <c r="E51" s="61" t="str">
        <f aca="false">IF(OR($C51="",名簿!$F51="転出"),"",IF($C$2="学級ごと",$A51,IF($C$2="前の単元と同じ",単元17!$E51&amp;"",$D51&amp;"")))</f>
        <v/>
      </c>
      <c r="F51" s="150"/>
      <c r="G51" s="150"/>
      <c r="H51" s="150"/>
      <c r="I51" s="151"/>
      <c r="J51" s="41" t="str">
        <f aca="false">IF($E51="","",$E51&amp;"|"&amp;COUNTIF($E$5:$E51,$E51))</f>
        <v/>
      </c>
      <c r="K51" s="40" t="str">
        <f aca="false">IF($I51="","",LEN($I51))</f>
        <v/>
      </c>
      <c r="L51" s="13"/>
      <c r="M51" s="13"/>
      <c r="N51" s="13"/>
      <c r="O51" s="13"/>
      <c r="P51" s="152"/>
      <c r="Q51" s="149"/>
      <c r="R51" s="152"/>
      <c r="S51" s="152"/>
      <c r="T51" s="62" t="str">
        <f aca="false">IF(OR($C51="",R51=""),"",IF(R51/IF($R$2="",100,$R$2)&gt;=設定!$I$28,設定!$G$8,IF(R51/IF($R$2="",100,$R$2)&lt;設定!$I$29,設定!$G$10,設定!$G$9)))</f>
        <v/>
      </c>
      <c r="U51" s="62" t="str">
        <f aca="false">IF(OR($C51="",S51=""),"",IF(S51/IF($S$2="",100,$S$2)&gt;=設定!$I$28,設定!$G$8,IF(S51/IF($S$2="",100,$S$2)&lt;設定!$I$29,設定!$G$10,設定!$G$9)))</f>
        <v/>
      </c>
    </row>
    <row r="52" customFormat="false" ht="21" hidden="false" customHeight="true" outlineLevel="0" collapsed="false">
      <c r="A52" s="91" t="str">
        <f aca="false">IF(名簿!$D52="","",名簿!$B52&amp;"")</f>
        <v/>
      </c>
      <c r="B52" s="91" t="str">
        <f aca="false">IF(名簿!$D52="","",名簿!$C52)</f>
        <v/>
      </c>
      <c r="C52" s="59" t="str">
        <f aca="false">IF(名簿!$D52="","",名簿!$D52&amp;IF(名簿!$F52="転出","（転出）",""))</f>
        <v/>
      </c>
      <c r="D52" s="149"/>
      <c r="E52" s="61" t="str">
        <f aca="false">IF(OR($C52="",名簿!$F52="転出"),"",IF($C$2="学級ごと",$A52,IF($C$2="前の単元と同じ",単元17!$E52&amp;"",$D52&amp;"")))</f>
        <v/>
      </c>
      <c r="F52" s="150"/>
      <c r="G52" s="150"/>
      <c r="H52" s="150"/>
      <c r="I52" s="151"/>
      <c r="J52" s="41" t="str">
        <f aca="false">IF($E52="","",$E52&amp;"|"&amp;COUNTIF($E$5:$E52,$E52))</f>
        <v/>
      </c>
      <c r="K52" s="40" t="str">
        <f aca="false">IF($I52="","",LEN($I52))</f>
        <v/>
      </c>
      <c r="L52" s="13"/>
      <c r="M52" s="13"/>
      <c r="N52" s="13"/>
      <c r="O52" s="13"/>
      <c r="P52" s="152"/>
      <c r="Q52" s="149"/>
      <c r="R52" s="152"/>
      <c r="S52" s="152"/>
      <c r="T52" s="62" t="str">
        <f aca="false">IF(OR($C52="",R52=""),"",IF(R52/IF($R$2="",100,$R$2)&gt;=設定!$I$28,設定!$G$8,IF(R52/IF($R$2="",100,$R$2)&lt;設定!$I$29,設定!$G$10,設定!$G$9)))</f>
        <v/>
      </c>
      <c r="U52" s="62" t="str">
        <f aca="false">IF(OR($C52="",S52=""),"",IF(S52/IF($S$2="",100,$S$2)&gt;=設定!$I$28,設定!$G$8,IF(S52/IF($S$2="",100,$S$2)&lt;設定!$I$29,設定!$G$10,設定!$G$9)))</f>
        <v/>
      </c>
    </row>
    <row r="53" customFormat="false" ht="21" hidden="false" customHeight="true" outlineLevel="0" collapsed="false">
      <c r="A53" s="91" t="str">
        <f aca="false">IF(名簿!$D53="","",名簿!$B53&amp;"")</f>
        <v/>
      </c>
      <c r="B53" s="91" t="str">
        <f aca="false">IF(名簿!$D53="","",名簿!$C53)</f>
        <v/>
      </c>
      <c r="C53" s="59" t="str">
        <f aca="false">IF(名簿!$D53="","",名簿!$D53&amp;IF(名簿!$F53="転出","（転出）",""))</f>
        <v/>
      </c>
      <c r="D53" s="149"/>
      <c r="E53" s="61" t="str">
        <f aca="false">IF(OR($C53="",名簿!$F53="転出"),"",IF($C$2="学級ごと",$A53,IF($C$2="前の単元と同じ",単元17!$E53&amp;"",$D53&amp;"")))</f>
        <v/>
      </c>
      <c r="F53" s="150"/>
      <c r="G53" s="150"/>
      <c r="H53" s="150"/>
      <c r="I53" s="151"/>
      <c r="J53" s="41" t="str">
        <f aca="false">IF($E53="","",$E53&amp;"|"&amp;COUNTIF($E$5:$E53,$E53))</f>
        <v/>
      </c>
      <c r="K53" s="40" t="str">
        <f aca="false">IF($I53="","",LEN($I53))</f>
        <v/>
      </c>
      <c r="L53" s="13"/>
      <c r="M53" s="13"/>
      <c r="N53" s="13"/>
      <c r="O53" s="13"/>
      <c r="P53" s="152"/>
      <c r="Q53" s="149"/>
      <c r="R53" s="152"/>
      <c r="S53" s="152"/>
      <c r="T53" s="62" t="str">
        <f aca="false">IF(OR($C53="",R53=""),"",IF(R53/IF($R$2="",100,$R$2)&gt;=設定!$I$28,設定!$G$8,IF(R53/IF($R$2="",100,$R$2)&lt;設定!$I$29,設定!$G$10,設定!$G$9)))</f>
        <v/>
      </c>
      <c r="U53" s="62" t="str">
        <f aca="false">IF(OR($C53="",S53=""),"",IF(S53/IF($S$2="",100,$S$2)&gt;=設定!$I$28,設定!$G$8,IF(S53/IF($S$2="",100,$S$2)&lt;設定!$I$29,設定!$G$10,設定!$G$9)))</f>
        <v/>
      </c>
    </row>
    <row r="54" customFormat="false" ht="21" hidden="false" customHeight="true" outlineLevel="0" collapsed="false">
      <c r="A54" s="91" t="str">
        <f aca="false">IF(名簿!$D54="","",名簿!$B54&amp;"")</f>
        <v/>
      </c>
      <c r="B54" s="91" t="str">
        <f aca="false">IF(名簿!$D54="","",名簿!$C54)</f>
        <v/>
      </c>
      <c r="C54" s="59" t="str">
        <f aca="false">IF(名簿!$D54="","",名簿!$D54&amp;IF(名簿!$F54="転出","（転出）",""))</f>
        <v/>
      </c>
      <c r="D54" s="149"/>
      <c r="E54" s="61" t="str">
        <f aca="false">IF(OR($C54="",名簿!$F54="転出"),"",IF($C$2="学級ごと",$A54,IF($C$2="前の単元と同じ",単元17!$E54&amp;"",$D54&amp;"")))</f>
        <v/>
      </c>
      <c r="F54" s="150"/>
      <c r="G54" s="150"/>
      <c r="H54" s="150"/>
      <c r="I54" s="151"/>
      <c r="J54" s="41" t="str">
        <f aca="false">IF($E54="","",$E54&amp;"|"&amp;COUNTIF($E$5:$E54,$E54))</f>
        <v/>
      </c>
      <c r="K54" s="40" t="str">
        <f aca="false">IF($I54="","",LEN($I54))</f>
        <v/>
      </c>
      <c r="L54" s="13"/>
      <c r="M54" s="13"/>
      <c r="N54" s="13"/>
      <c r="O54" s="13"/>
      <c r="P54" s="152"/>
      <c r="Q54" s="149"/>
      <c r="R54" s="152"/>
      <c r="S54" s="152"/>
      <c r="T54" s="62" t="str">
        <f aca="false">IF(OR($C54="",R54=""),"",IF(R54/IF($R$2="",100,$R$2)&gt;=設定!$I$28,設定!$G$8,IF(R54/IF($R$2="",100,$R$2)&lt;設定!$I$29,設定!$G$10,設定!$G$9)))</f>
        <v/>
      </c>
      <c r="U54" s="62" t="str">
        <f aca="false">IF(OR($C54="",S54=""),"",IF(S54/IF($S$2="",100,$S$2)&gt;=設定!$I$28,設定!$G$8,IF(S54/IF($S$2="",100,$S$2)&lt;設定!$I$29,設定!$G$10,設定!$G$9)))</f>
        <v/>
      </c>
    </row>
    <row r="55" customFormat="false" ht="21" hidden="false" customHeight="true" outlineLevel="0" collapsed="false">
      <c r="A55" s="91" t="str">
        <f aca="false">IF(名簿!$D55="","",名簿!$B55&amp;"")</f>
        <v/>
      </c>
      <c r="B55" s="91" t="str">
        <f aca="false">IF(名簿!$D55="","",名簿!$C55)</f>
        <v/>
      </c>
      <c r="C55" s="59" t="str">
        <f aca="false">IF(名簿!$D55="","",名簿!$D55&amp;IF(名簿!$F55="転出","（転出）",""))</f>
        <v/>
      </c>
      <c r="D55" s="149"/>
      <c r="E55" s="61" t="str">
        <f aca="false">IF(OR($C55="",名簿!$F55="転出"),"",IF($C$2="学級ごと",$A55,IF($C$2="前の単元と同じ",単元17!$E55&amp;"",$D55&amp;"")))</f>
        <v/>
      </c>
      <c r="F55" s="150"/>
      <c r="G55" s="150"/>
      <c r="H55" s="150"/>
      <c r="I55" s="151"/>
      <c r="J55" s="41" t="str">
        <f aca="false">IF($E55="","",$E55&amp;"|"&amp;COUNTIF($E$5:$E55,$E55))</f>
        <v/>
      </c>
      <c r="K55" s="40" t="str">
        <f aca="false">IF($I55="","",LEN($I55))</f>
        <v/>
      </c>
      <c r="L55" s="13"/>
      <c r="M55" s="13"/>
      <c r="N55" s="13"/>
      <c r="O55" s="13"/>
      <c r="P55" s="152"/>
      <c r="Q55" s="149"/>
      <c r="R55" s="152"/>
      <c r="S55" s="152"/>
      <c r="T55" s="62" t="str">
        <f aca="false">IF(OR($C55="",R55=""),"",IF(R55/IF($R$2="",100,$R$2)&gt;=設定!$I$28,設定!$G$8,IF(R55/IF($R$2="",100,$R$2)&lt;設定!$I$29,設定!$G$10,設定!$G$9)))</f>
        <v/>
      </c>
      <c r="U55" s="62" t="str">
        <f aca="false">IF(OR($C55="",S55=""),"",IF(S55/IF($S$2="",100,$S$2)&gt;=設定!$I$28,設定!$G$8,IF(S55/IF($S$2="",100,$S$2)&lt;設定!$I$29,設定!$G$10,設定!$G$9)))</f>
        <v/>
      </c>
    </row>
    <row r="56" customFormat="false" ht="21" hidden="false" customHeight="true" outlineLevel="0" collapsed="false">
      <c r="A56" s="91" t="str">
        <f aca="false">IF(名簿!$D56="","",名簿!$B56&amp;"")</f>
        <v/>
      </c>
      <c r="B56" s="91" t="str">
        <f aca="false">IF(名簿!$D56="","",名簿!$C56)</f>
        <v/>
      </c>
      <c r="C56" s="59" t="str">
        <f aca="false">IF(名簿!$D56="","",名簿!$D56&amp;IF(名簿!$F56="転出","（転出）",""))</f>
        <v/>
      </c>
      <c r="D56" s="149"/>
      <c r="E56" s="61" t="str">
        <f aca="false">IF(OR($C56="",名簿!$F56="転出"),"",IF($C$2="学級ごと",$A56,IF($C$2="前の単元と同じ",単元17!$E56&amp;"",$D56&amp;"")))</f>
        <v/>
      </c>
      <c r="F56" s="150"/>
      <c r="G56" s="150"/>
      <c r="H56" s="150"/>
      <c r="I56" s="151"/>
      <c r="J56" s="41" t="str">
        <f aca="false">IF($E56="","",$E56&amp;"|"&amp;COUNTIF($E$5:$E56,$E56))</f>
        <v/>
      </c>
      <c r="K56" s="40" t="str">
        <f aca="false">IF($I56="","",LEN($I56))</f>
        <v/>
      </c>
      <c r="L56" s="13"/>
      <c r="M56" s="13"/>
      <c r="N56" s="13"/>
      <c r="O56" s="13"/>
      <c r="P56" s="152"/>
      <c r="Q56" s="149"/>
      <c r="R56" s="152"/>
      <c r="S56" s="152"/>
      <c r="T56" s="62" t="str">
        <f aca="false">IF(OR($C56="",R56=""),"",IF(R56/IF($R$2="",100,$R$2)&gt;=設定!$I$28,設定!$G$8,IF(R56/IF($R$2="",100,$R$2)&lt;設定!$I$29,設定!$G$10,設定!$G$9)))</f>
        <v/>
      </c>
      <c r="U56" s="62" t="str">
        <f aca="false">IF(OR($C56="",S56=""),"",IF(S56/IF($S$2="",100,$S$2)&gt;=設定!$I$28,設定!$G$8,IF(S56/IF($S$2="",100,$S$2)&lt;設定!$I$29,設定!$G$10,設定!$G$9)))</f>
        <v/>
      </c>
    </row>
    <row r="57" customFormat="false" ht="21" hidden="false" customHeight="true" outlineLevel="0" collapsed="false">
      <c r="A57" s="91" t="str">
        <f aca="false">IF(名簿!$D57="","",名簿!$B57&amp;"")</f>
        <v/>
      </c>
      <c r="B57" s="91" t="str">
        <f aca="false">IF(名簿!$D57="","",名簿!$C57)</f>
        <v/>
      </c>
      <c r="C57" s="59" t="str">
        <f aca="false">IF(名簿!$D57="","",名簿!$D57&amp;IF(名簿!$F57="転出","（転出）",""))</f>
        <v/>
      </c>
      <c r="D57" s="149"/>
      <c r="E57" s="61" t="str">
        <f aca="false">IF(OR($C57="",名簿!$F57="転出"),"",IF($C$2="学級ごと",$A57,IF($C$2="前の単元と同じ",単元17!$E57&amp;"",$D57&amp;"")))</f>
        <v/>
      </c>
      <c r="F57" s="150"/>
      <c r="G57" s="150"/>
      <c r="H57" s="150"/>
      <c r="I57" s="151"/>
      <c r="J57" s="41" t="str">
        <f aca="false">IF($E57="","",$E57&amp;"|"&amp;COUNTIF($E$5:$E57,$E57))</f>
        <v/>
      </c>
      <c r="K57" s="40" t="str">
        <f aca="false">IF($I57="","",LEN($I57))</f>
        <v/>
      </c>
      <c r="L57" s="13"/>
      <c r="M57" s="13"/>
      <c r="N57" s="13"/>
      <c r="O57" s="13"/>
      <c r="P57" s="152"/>
      <c r="Q57" s="149"/>
      <c r="R57" s="152"/>
      <c r="S57" s="152"/>
      <c r="T57" s="62" t="str">
        <f aca="false">IF(OR($C57="",R57=""),"",IF(R57/IF($R$2="",100,$R$2)&gt;=設定!$I$28,設定!$G$8,IF(R57/IF($R$2="",100,$R$2)&lt;設定!$I$29,設定!$G$10,設定!$G$9)))</f>
        <v/>
      </c>
      <c r="U57" s="62" t="str">
        <f aca="false">IF(OR($C57="",S57=""),"",IF(S57/IF($S$2="",100,$S$2)&gt;=設定!$I$28,設定!$G$8,IF(S57/IF($S$2="",100,$S$2)&lt;設定!$I$29,設定!$G$10,設定!$G$9)))</f>
        <v/>
      </c>
    </row>
    <row r="58" customFormat="false" ht="21" hidden="false" customHeight="true" outlineLevel="0" collapsed="false">
      <c r="A58" s="91" t="str">
        <f aca="false">IF(名簿!$D58="","",名簿!$B58&amp;"")</f>
        <v/>
      </c>
      <c r="B58" s="91" t="str">
        <f aca="false">IF(名簿!$D58="","",名簿!$C58)</f>
        <v/>
      </c>
      <c r="C58" s="59" t="str">
        <f aca="false">IF(名簿!$D58="","",名簿!$D58&amp;IF(名簿!$F58="転出","（転出）",""))</f>
        <v/>
      </c>
      <c r="D58" s="149"/>
      <c r="E58" s="61" t="str">
        <f aca="false">IF(OR($C58="",名簿!$F58="転出"),"",IF($C$2="学級ごと",$A58,IF($C$2="前の単元と同じ",単元17!$E58&amp;"",$D58&amp;"")))</f>
        <v/>
      </c>
      <c r="F58" s="150"/>
      <c r="G58" s="150"/>
      <c r="H58" s="150"/>
      <c r="I58" s="151"/>
      <c r="J58" s="41" t="str">
        <f aca="false">IF($E58="","",$E58&amp;"|"&amp;COUNTIF($E$5:$E58,$E58))</f>
        <v/>
      </c>
      <c r="K58" s="40" t="str">
        <f aca="false">IF($I58="","",LEN($I58))</f>
        <v/>
      </c>
      <c r="L58" s="13"/>
      <c r="M58" s="13"/>
      <c r="N58" s="13"/>
      <c r="O58" s="13"/>
      <c r="P58" s="152"/>
      <c r="Q58" s="149"/>
      <c r="R58" s="152"/>
      <c r="S58" s="152"/>
      <c r="T58" s="62" t="str">
        <f aca="false">IF(OR($C58="",R58=""),"",IF(R58/IF($R$2="",100,$R$2)&gt;=設定!$I$28,設定!$G$8,IF(R58/IF($R$2="",100,$R$2)&lt;設定!$I$29,設定!$G$10,設定!$G$9)))</f>
        <v/>
      </c>
      <c r="U58" s="62" t="str">
        <f aca="false">IF(OR($C58="",S58=""),"",IF(S58/IF($S$2="",100,$S$2)&gt;=設定!$I$28,設定!$G$8,IF(S58/IF($S$2="",100,$S$2)&lt;設定!$I$29,設定!$G$10,設定!$G$9)))</f>
        <v/>
      </c>
    </row>
    <row r="59" customFormat="false" ht="21" hidden="false" customHeight="true" outlineLevel="0" collapsed="false">
      <c r="A59" s="91" t="str">
        <f aca="false">IF(名簿!$D59="","",名簿!$B59&amp;"")</f>
        <v/>
      </c>
      <c r="B59" s="91" t="str">
        <f aca="false">IF(名簿!$D59="","",名簿!$C59)</f>
        <v/>
      </c>
      <c r="C59" s="59" t="str">
        <f aca="false">IF(名簿!$D59="","",名簿!$D59&amp;IF(名簿!$F59="転出","（転出）",""))</f>
        <v/>
      </c>
      <c r="D59" s="149"/>
      <c r="E59" s="61" t="str">
        <f aca="false">IF(OR($C59="",名簿!$F59="転出"),"",IF($C$2="学級ごと",$A59,IF($C$2="前の単元と同じ",単元17!$E59&amp;"",$D59&amp;"")))</f>
        <v/>
      </c>
      <c r="F59" s="150"/>
      <c r="G59" s="150"/>
      <c r="H59" s="150"/>
      <c r="I59" s="151"/>
      <c r="J59" s="41" t="str">
        <f aca="false">IF($E59="","",$E59&amp;"|"&amp;COUNTIF($E$5:$E59,$E59))</f>
        <v/>
      </c>
      <c r="K59" s="40" t="str">
        <f aca="false">IF($I59="","",LEN($I59))</f>
        <v/>
      </c>
      <c r="L59" s="13"/>
      <c r="M59" s="13"/>
      <c r="N59" s="13"/>
      <c r="O59" s="13"/>
      <c r="P59" s="152"/>
      <c r="Q59" s="149"/>
      <c r="R59" s="152"/>
      <c r="S59" s="152"/>
      <c r="T59" s="62" t="str">
        <f aca="false">IF(OR($C59="",R59=""),"",IF(R59/IF($R$2="",100,$R$2)&gt;=設定!$I$28,設定!$G$8,IF(R59/IF($R$2="",100,$R$2)&lt;設定!$I$29,設定!$G$10,設定!$G$9)))</f>
        <v/>
      </c>
      <c r="U59" s="62" t="str">
        <f aca="false">IF(OR($C59="",S59=""),"",IF(S59/IF($S$2="",100,$S$2)&gt;=設定!$I$28,設定!$G$8,IF(S59/IF($S$2="",100,$S$2)&lt;設定!$I$29,設定!$G$10,設定!$G$9)))</f>
        <v/>
      </c>
    </row>
    <row r="60" customFormat="false" ht="21" hidden="false" customHeight="true" outlineLevel="0" collapsed="false">
      <c r="A60" s="91" t="str">
        <f aca="false">IF(名簿!$D60="","",名簿!$B60&amp;"")</f>
        <v/>
      </c>
      <c r="B60" s="91" t="str">
        <f aca="false">IF(名簿!$D60="","",名簿!$C60)</f>
        <v/>
      </c>
      <c r="C60" s="59" t="str">
        <f aca="false">IF(名簿!$D60="","",名簿!$D60&amp;IF(名簿!$F60="転出","（転出）",""))</f>
        <v/>
      </c>
      <c r="D60" s="149"/>
      <c r="E60" s="61" t="str">
        <f aca="false">IF(OR($C60="",名簿!$F60="転出"),"",IF($C$2="学級ごと",$A60,IF($C$2="前の単元と同じ",単元17!$E60&amp;"",$D60&amp;"")))</f>
        <v/>
      </c>
      <c r="F60" s="150"/>
      <c r="G60" s="150"/>
      <c r="H60" s="150"/>
      <c r="I60" s="151"/>
      <c r="J60" s="41" t="str">
        <f aca="false">IF($E60="","",$E60&amp;"|"&amp;COUNTIF($E$5:$E60,$E60))</f>
        <v/>
      </c>
      <c r="K60" s="40" t="str">
        <f aca="false">IF($I60="","",LEN($I60))</f>
        <v/>
      </c>
      <c r="L60" s="13"/>
      <c r="M60" s="13"/>
      <c r="N60" s="13"/>
      <c r="O60" s="13"/>
      <c r="P60" s="152"/>
      <c r="Q60" s="149"/>
      <c r="R60" s="152"/>
      <c r="S60" s="152"/>
      <c r="T60" s="62" t="str">
        <f aca="false">IF(OR($C60="",R60=""),"",IF(R60/IF($R$2="",100,$R$2)&gt;=設定!$I$28,設定!$G$8,IF(R60/IF($R$2="",100,$R$2)&lt;設定!$I$29,設定!$G$10,設定!$G$9)))</f>
        <v/>
      </c>
      <c r="U60" s="62" t="str">
        <f aca="false">IF(OR($C60="",S60=""),"",IF(S60/IF($S$2="",100,$S$2)&gt;=設定!$I$28,設定!$G$8,IF(S60/IF($S$2="",100,$S$2)&lt;設定!$I$29,設定!$G$10,設定!$G$9)))</f>
        <v/>
      </c>
    </row>
    <row r="61" customFormat="false" ht="21" hidden="false" customHeight="true" outlineLevel="0" collapsed="false">
      <c r="A61" s="91" t="str">
        <f aca="false">IF(名簿!$D61="","",名簿!$B61&amp;"")</f>
        <v/>
      </c>
      <c r="B61" s="91" t="str">
        <f aca="false">IF(名簿!$D61="","",名簿!$C61)</f>
        <v/>
      </c>
      <c r="C61" s="59" t="str">
        <f aca="false">IF(名簿!$D61="","",名簿!$D61&amp;IF(名簿!$F61="転出","（転出）",""))</f>
        <v/>
      </c>
      <c r="D61" s="149"/>
      <c r="E61" s="61" t="str">
        <f aca="false">IF(OR($C61="",名簿!$F61="転出"),"",IF($C$2="学級ごと",$A61,IF($C$2="前の単元と同じ",単元17!$E61&amp;"",$D61&amp;"")))</f>
        <v/>
      </c>
      <c r="F61" s="150"/>
      <c r="G61" s="150"/>
      <c r="H61" s="150"/>
      <c r="I61" s="151"/>
      <c r="J61" s="41" t="str">
        <f aca="false">IF($E61="","",$E61&amp;"|"&amp;COUNTIF($E$5:$E61,$E61))</f>
        <v/>
      </c>
      <c r="K61" s="40" t="str">
        <f aca="false">IF($I61="","",LEN($I61))</f>
        <v/>
      </c>
      <c r="L61" s="13"/>
      <c r="M61" s="13"/>
      <c r="N61" s="13"/>
      <c r="O61" s="13"/>
      <c r="P61" s="152"/>
      <c r="Q61" s="149"/>
      <c r="R61" s="152"/>
      <c r="S61" s="152"/>
      <c r="T61" s="62" t="str">
        <f aca="false">IF(OR($C61="",R61=""),"",IF(R61/IF($R$2="",100,$R$2)&gt;=設定!$I$28,設定!$G$8,IF(R61/IF($R$2="",100,$R$2)&lt;設定!$I$29,設定!$G$10,設定!$G$9)))</f>
        <v/>
      </c>
      <c r="U61" s="62" t="str">
        <f aca="false">IF(OR($C61="",S61=""),"",IF(S61/IF($S$2="",100,$S$2)&gt;=設定!$I$28,設定!$G$8,IF(S61/IF($S$2="",100,$S$2)&lt;設定!$I$29,設定!$G$10,設定!$G$9)))</f>
        <v/>
      </c>
    </row>
    <row r="62" customFormat="false" ht="21" hidden="false" customHeight="true" outlineLevel="0" collapsed="false">
      <c r="A62" s="91" t="str">
        <f aca="false">IF(名簿!$D62="","",名簿!$B62&amp;"")</f>
        <v/>
      </c>
      <c r="B62" s="91" t="str">
        <f aca="false">IF(名簿!$D62="","",名簿!$C62)</f>
        <v/>
      </c>
      <c r="C62" s="59" t="str">
        <f aca="false">IF(名簿!$D62="","",名簿!$D62&amp;IF(名簿!$F62="転出","（転出）",""))</f>
        <v/>
      </c>
      <c r="D62" s="149"/>
      <c r="E62" s="61" t="str">
        <f aca="false">IF(OR($C62="",名簿!$F62="転出"),"",IF($C$2="学級ごと",$A62,IF($C$2="前の単元と同じ",単元17!$E62&amp;"",$D62&amp;"")))</f>
        <v/>
      </c>
      <c r="F62" s="150"/>
      <c r="G62" s="150"/>
      <c r="H62" s="150"/>
      <c r="I62" s="151"/>
      <c r="J62" s="41" t="str">
        <f aca="false">IF($E62="","",$E62&amp;"|"&amp;COUNTIF($E$5:$E62,$E62))</f>
        <v/>
      </c>
      <c r="K62" s="40" t="str">
        <f aca="false">IF($I62="","",LEN($I62))</f>
        <v/>
      </c>
      <c r="L62" s="13"/>
      <c r="M62" s="13"/>
      <c r="N62" s="13"/>
      <c r="O62" s="13"/>
      <c r="P62" s="152"/>
      <c r="Q62" s="149"/>
      <c r="R62" s="152"/>
      <c r="S62" s="152"/>
      <c r="T62" s="62" t="str">
        <f aca="false">IF(OR($C62="",R62=""),"",IF(R62/IF($R$2="",100,$R$2)&gt;=設定!$I$28,設定!$G$8,IF(R62/IF($R$2="",100,$R$2)&lt;設定!$I$29,設定!$G$10,設定!$G$9)))</f>
        <v/>
      </c>
      <c r="U62" s="62" t="str">
        <f aca="false">IF(OR($C62="",S62=""),"",IF(S62/IF($S$2="",100,$S$2)&gt;=設定!$I$28,設定!$G$8,IF(S62/IF($S$2="",100,$S$2)&lt;設定!$I$29,設定!$G$10,設定!$G$9)))</f>
        <v/>
      </c>
    </row>
    <row r="63" customFormat="false" ht="21" hidden="false" customHeight="true" outlineLevel="0" collapsed="false">
      <c r="A63" s="91" t="str">
        <f aca="false">IF(名簿!$D63="","",名簿!$B63&amp;"")</f>
        <v/>
      </c>
      <c r="B63" s="91" t="str">
        <f aca="false">IF(名簿!$D63="","",名簿!$C63)</f>
        <v/>
      </c>
      <c r="C63" s="59" t="str">
        <f aca="false">IF(名簿!$D63="","",名簿!$D63&amp;IF(名簿!$F63="転出","（転出）",""))</f>
        <v/>
      </c>
      <c r="D63" s="149"/>
      <c r="E63" s="61" t="str">
        <f aca="false">IF(OR($C63="",名簿!$F63="転出"),"",IF($C$2="学級ごと",$A63,IF($C$2="前の単元と同じ",単元17!$E63&amp;"",$D63&amp;"")))</f>
        <v/>
      </c>
      <c r="F63" s="150"/>
      <c r="G63" s="150"/>
      <c r="H63" s="150"/>
      <c r="I63" s="151"/>
      <c r="J63" s="41" t="str">
        <f aca="false">IF($E63="","",$E63&amp;"|"&amp;COUNTIF($E$5:$E63,$E63))</f>
        <v/>
      </c>
      <c r="K63" s="40" t="str">
        <f aca="false">IF($I63="","",LEN($I63))</f>
        <v/>
      </c>
      <c r="L63" s="13"/>
      <c r="M63" s="13"/>
      <c r="N63" s="13"/>
      <c r="O63" s="13"/>
      <c r="P63" s="152"/>
      <c r="Q63" s="149"/>
      <c r="R63" s="152"/>
      <c r="S63" s="152"/>
      <c r="T63" s="62" t="str">
        <f aca="false">IF(OR($C63="",R63=""),"",IF(R63/IF($R$2="",100,$R$2)&gt;=設定!$I$28,設定!$G$8,IF(R63/IF($R$2="",100,$R$2)&lt;設定!$I$29,設定!$G$10,設定!$G$9)))</f>
        <v/>
      </c>
      <c r="U63" s="62" t="str">
        <f aca="false">IF(OR($C63="",S63=""),"",IF(S63/IF($S$2="",100,$S$2)&gt;=設定!$I$28,設定!$G$8,IF(S63/IF($S$2="",100,$S$2)&lt;設定!$I$29,設定!$G$10,設定!$G$9)))</f>
        <v/>
      </c>
    </row>
    <row r="64" customFormat="false" ht="21" hidden="false" customHeight="true" outlineLevel="0" collapsed="false">
      <c r="A64" s="91" t="str">
        <f aca="false">IF(名簿!$D64="","",名簿!$B64&amp;"")</f>
        <v/>
      </c>
      <c r="B64" s="91" t="str">
        <f aca="false">IF(名簿!$D64="","",名簿!$C64)</f>
        <v/>
      </c>
      <c r="C64" s="59" t="str">
        <f aca="false">IF(名簿!$D64="","",名簿!$D64&amp;IF(名簿!$F64="転出","（転出）",""))</f>
        <v/>
      </c>
      <c r="D64" s="149"/>
      <c r="E64" s="61" t="str">
        <f aca="false">IF(OR($C64="",名簿!$F64="転出"),"",IF($C$2="学級ごと",$A64,IF($C$2="前の単元と同じ",単元17!$E64&amp;"",$D64&amp;"")))</f>
        <v/>
      </c>
      <c r="F64" s="150"/>
      <c r="G64" s="150"/>
      <c r="H64" s="150"/>
      <c r="I64" s="151"/>
      <c r="J64" s="41" t="str">
        <f aca="false">IF($E64="","",$E64&amp;"|"&amp;COUNTIF($E$5:$E64,$E64))</f>
        <v/>
      </c>
      <c r="K64" s="40" t="str">
        <f aca="false">IF($I64="","",LEN($I64))</f>
        <v/>
      </c>
      <c r="L64" s="13"/>
      <c r="M64" s="13"/>
      <c r="N64" s="13"/>
      <c r="O64" s="13"/>
      <c r="P64" s="152"/>
      <c r="Q64" s="149"/>
      <c r="R64" s="152"/>
      <c r="S64" s="152"/>
      <c r="T64" s="62" t="str">
        <f aca="false">IF(OR($C64="",R64=""),"",IF(R64/IF($R$2="",100,$R$2)&gt;=設定!$I$28,設定!$G$8,IF(R64/IF($R$2="",100,$R$2)&lt;設定!$I$29,設定!$G$10,設定!$G$9)))</f>
        <v/>
      </c>
      <c r="U64" s="62" t="str">
        <f aca="false">IF(OR($C64="",S64=""),"",IF(S64/IF($S$2="",100,$S$2)&gt;=設定!$I$28,設定!$G$8,IF(S64/IF($S$2="",100,$S$2)&lt;設定!$I$29,設定!$G$10,設定!$G$9)))</f>
        <v/>
      </c>
    </row>
    <row r="65" customFormat="false" ht="21" hidden="false" customHeight="true" outlineLevel="0" collapsed="false">
      <c r="A65" s="91" t="str">
        <f aca="false">IF(名簿!$D65="","",名簿!$B65&amp;"")</f>
        <v/>
      </c>
      <c r="B65" s="91" t="str">
        <f aca="false">IF(名簿!$D65="","",名簿!$C65)</f>
        <v/>
      </c>
      <c r="C65" s="59" t="str">
        <f aca="false">IF(名簿!$D65="","",名簿!$D65&amp;IF(名簿!$F65="転出","（転出）",""))</f>
        <v/>
      </c>
      <c r="D65" s="149"/>
      <c r="E65" s="61" t="str">
        <f aca="false">IF(OR($C65="",名簿!$F65="転出"),"",IF($C$2="学級ごと",$A65,IF($C$2="前の単元と同じ",単元17!$E65&amp;"",$D65&amp;"")))</f>
        <v/>
      </c>
      <c r="F65" s="150"/>
      <c r="G65" s="150"/>
      <c r="H65" s="150"/>
      <c r="I65" s="151"/>
      <c r="J65" s="41" t="str">
        <f aca="false">IF($E65="","",$E65&amp;"|"&amp;COUNTIF($E$5:$E65,$E65))</f>
        <v/>
      </c>
      <c r="K65" s="40" t="str">
        <f aca="false">IF($I65="","",LEN($I65))</f>
        <v/>
      </c>
      <c r="L65" s="13"/>
      <c r="M65" s="13"/>
      <c r="N65" s="13"/>
      <c r="O65" s="13"/>
      <c r="P65" s="152"/>
      <c r="Q65" s="149"/>
      <c r="R65" s="152"/>
      <c r="S65" s="152"/>
      <c r="T65" s="62" t="str">
        <f aca="false">IF(OR($C65="",R65=""),"",IF(R65/IF($R$2="",100,$R$2)&gt;=設定!$I$28,設定!$G$8,IF(R65/IF($R$2="",100,$R$2)&lt;設定!$I$29,設定!$G$10,設定!$G$9)))</f>
        <v/>
      </c>
      <c r="U65" s="62" t="str">
        <f aca="false">IF(OR($C65="",S65=""),"",IF(S65/IF($S$2="",100,$S$2)&gt;=設定!$I$28,設定!$G$8,IF(S65/IF($S$2="",100,$S$2)&lt;設定!$I$29,設定!$G$10,設定!$G$9)))</f>
        <v/>
      </c>
    </row>
    <row r="66" customFormat="false" ht="21" hidden="false" customHeight="true" outlineLevel="0" collapsed="false">
      <c r="A66" s="91" t="str">
        <f aca="false">IF(名簿!$D66="","",名簿!$B66&amp;"")</f>
        <v/>
      </c>
      <c r="B66" s="91" t="str">
        <f aca="false">IF(名簿!$D66="","",名簿!$C66)</f>
        <v/>
      </c>
      <c r="C66" s="59" t="str">
        <f aca="false">IF(名簿!$D66="","",名簿!$D66&amp;IF(名簿!$F66="転出","（転出）",""))</f>
        <v/>
      </c>
      <c r="D66" s="149"/>
      <c r="E66" s="61" t="str">
        <f aca="false">IF(OR($C66="",名簿!$F66="転出"),"",IF($C$2="学級ごと",$A66,IF($C$2="前の単元と同じ",単元17!$E66&amp;"",$D66&amp;"")))</f>
        <v/>
      </c>
      <c r="F66" s="150"/>
      <c r="G66" s="150"/>
      <c r="H66" s="150"/>
      <c r="I66" s="151"/>
      <c r="J66" s="41" t="str">
        <f aca="false">IF($E66="","",$E66&amp;"|"&amp;COUNTIF($E$5:$E66,$E66))</f>
        <v/>
      </c>
      <c r="K66" s="40" t="str">
        <f aca="false">IF($I66="","",LEN($I66))</f>
        <v/>
      </c>
      <c r="L66" s="13"/>
      <c r="M66" s="13"/>
      <c r="N66" s="13"/>
      <c r="O66" s="13"/>
      <c r="P66" s="152"/>
      <c r="Q66" s="149"/>
      <c r="R66" s="152"/>
      <c r="S66" s="152"/>
      <c r="T66" s="62" t="str">
        <f aca="false">IF(OR($C66="",R66=""),"",IF(R66/IF($R$2="",100,$R$2)&gt;=設定!$I$28,設定!$G$8,IF(R66/IF($R$2="",100,$R$2)&lt;設定!$I$29,設定!$G$10,設定!$G$9)))</f>
        <v/>
      </c>
      <c r="U66" s="62" t="str">
        <f aca="false">IF(OR($C66="",S66=""),"",IF(S66/IF($S$2="",100,$S$2)&gt;=設定!$I$28,設定!$G$8,IF(S66/IF($S$2="",100,$S$2)&lt;設定!$I$29,設定!$G$10,設定!$G$9)))</f>
        <v/>
      </c>
    </row>
    <row r="67" customFormat="false" ht="21" hidden="false" customHeight="true" outlineLevel="0" collapsed="false">
      <c r="A67" s="91" t="str">
        <f aca="false">IF(名簿!$D67="","",名簿!$B67&amp;"")</f>
        <v/>
      </c>
      <c r="B67" s="91" t="str">
        <f aca="false">IF(名簿!$D67="","",名簿!$C67)</f>
        <v/>
      </c>
      <c r="C67" s="59" t="str">
        <f aca="false">IF(名簿!$D67="","",名簿!$D67&amp;IF(名簿!$F67="転出","（転出）",""))</f>
        <v/>
      </c>
      <c r="D67" s="149"/>
      <c r="E67" s="61" t="str">
        <f aca="false">IF(OR($C67="",名簿!$F67="転出"),"",IF($C$2="学級ごと",$A67,IF($C$2="前の単元と同じ",単元17!$E67&amp;"",$D67&amp;"")))</f>
        <v/>
      </c>
      <c r="F67" s="150"/>
      <c r="G67" s="150"/>
      <c r="H67" s="150"/>
      <c r="I67" s="151"/>
      <c r="J67" s="41" t="str">
        <f aca="false">IF($E67="","",$E67&amp;"|"&amp;COUNTIF($E$5:$E67,$E67))</f>
        <v/>
      </c>
      <c r="K67" s="40" t="str">
        <f aca="false">IF($I67="","",LEN($I67))</f>
        <v/>
      </c>
      <c r="L67" s="13"/>
      <c r="M67" s="13"/>
      <c r="N67" s="13"/>
      <c r="O67" s="13"/>
      <c r="P67" s="152"/>
      <c r="Q67" s="149"/>
      <c r="R67" s="152"/>
      <c r="S67" s="152"/>
      <c r="T67" s="62" t="str">
        <f aca="false">IF(OR($C67="",R67=""),"",IF(R67/IF($R$2="",100,$R$2)&gt;=設定!$I$28,設定!$G$8,IF(R67/IF($R$2="",100,$R$2)&lt;設定!$I$29,設定!$G$10,設定!$G$9)))</f>
        <v/>
      </c>
      <c r="U67" s="62" t="str">
        <f aca="false">IF(OR($C67="",S67=""),"",IF(S67/IF($S$2="",100,$S$2)&gt;=設定!$I$28,設定!$G$8,IF(S67/IF($S$2="",100,$S$2)&lt;設定!$I$29,設定!$G$10,設定!$G$9)))</f>
        <v/>
      </c>
    </row>
    <row r="68" customFormat="false" ht="21" hidden="false" customHeight="true" outlineLevel="0" collapsed="false">
      <c r="A68" s="91" t="str">
        <f aca="false">IF(名簿!$D68="","",名簿!$B68&amp;"")</f>
        <v/>
      </c>
      <c r="B68" s="91" t="str">
        <f aca="false">IF(名簿!$D68="","",名簿!$C68)</f>
        <v/>
      </c>
      <c r="C68" s="59" t="str">
        <f aca="false">IF(名簿!$D68="","",名簿!$D68&amp;IF(名簿!$F68="転出","（転出）",""))</f>
        <v/>
      </c>
      <c r="D68" s="149"/>
      <c r="E68" s="61" t="str">
        <f aca="false">IF(OR($C68="",名簿!$F68="転出"),"",IF($C$2="学級ごと",$A68,IF($C$2="前の単元と同じ",単元17!$E68&amp;"",$D68&amp;"")))</f>
        <v/>
      </c>
      <c r="F68" s="150"/>
      <c r="G68" s="150"/>
      <c r="H68" s="150"/>
      <c r="I68" s="151"/>
      <c r="J68" s="41" t="str">
        <f aca="false">IF($E68="","",$E68&amp;"|"&amp;COUNTIF($E$5:$E68,$E68))</f>
        <v/>
      </c>
      <c r="K68" s="40" t="str">
        <f aca="false">IF($I68="","",LEN($I68))</f>
        <v/>
      </c>
      <c r="L68" s="13"/>
      <c r="M68" s="13"/>
      <c r="N68" s="13"/>
      <c r="O68" s="13"/>
      <c r="P68" s="152"/>
      <c r="Q68" s="149"/>
      <c r="R68" s="152"/>
      <c r="S68" s="152"/>
      <c r="T68" s="62" t="str">
        <f aca="false">IF(OR($C68="",R68=""),"",IF(R68/IF($R$2="",100,$R$2)&gt;=設定!$I$28,設定!$G$8,IF(R68/IF($R$2="",100,$R$2)&lt;設定!$I$29,設定!$G$10,設定!$G$9)))</f>
        <v/>
      </c>
      <c r="U68" s="62" t="str">
        <f aca="false">IF(OR($C68="",S68=""),"",IF(S68/IF($S$2="",100,$S$2)&gt;=設定!$I$28,設定!$G$8,IF(S68/IF($S$2="",100,$S$2)&lt;設定!$I$29,設定!$G$10,設定!$G$9)))</f>
        <v/>
      </c>
    </row>
    <row r="69" customFormat="false" ht="21" hidden="false" customHeight="true" outlineLevel="0" collapsed="false">
      <c r="A69" s="91" t="str">
        <f aca="false">IF(名簿!$D69="","",名簿!$B69&amp;"")</f>
        <v/>
      </c>
      <c r="B69" s="91" t="str">
        <f aca="false">IF(名簿!$D69="","",名簿!$C69)</f>
        <v/>
      </c>
      <c r="C69" s="59" t="str">
        <f aca="false">IF(名簿!$D69="","",名簿!$D69&amp;IF(名簿!$F69="転出","（転出）",""))</f>
        <v/>
      </c>
      <c r="D69" s="149"/>
      <c r="E69" s="61" t="str">
        <f aca="false">IF(OR($C69="",名簿!$F69="転出"),"",IF($C$2="学級ごと",$A69,IF($C$2="前の単元と同じ",単元17!$E69&amp;"",$D69&amp;"")))</f>
        <v/>
      </c>
      <c r="F69" s="150"/>
      <c r="G69" s="150"/>
      <c r="H69" s="150"/>
      <c r="I69" s="151"/>
      <c r="J69" s="41" t="str">
        <f aca="false">IF($E69="","",$E69&amp;"|"&amp;COUNTIF($E$5:$E69,$E69))</f>
        <v/>
      </c>
      <c r="K69" s="40" t="str">
        <f aca="false">IF($I69="","",LEN($I69))</f>
        <v/>
      </c>
      <c r="L69" s="13"/>
      <c r="M69" s="13"/>
      <c r="N69" s="13"/>
      <c r="O69" s="13"/>
      <c r="P69" s="152"/>
      <c r="Q69" s="149"/>
      <c r="R69" s="152"/>
      <c r="S69" s="152"/>
      <c r="T69" s="62" t="str">
        <f aca="false">IF(OR($C69="",R69=""),"",IF(R69/IF($R$2="",100,$R$2)&gt;=設定!$I$28,設定!$G$8,IF(R69/IF($R$2="",100,$R$2)&lt;設定!$I$29,設定!$G$10,設定!$G$9)))</f>
        <v/>
      </c>
      <c r="U69" s="62" t="str">
        <f aca="false">IF(OR($C69="",S69=""),"",IF(S69/IF($S$2="",100,$S$2)&gt;=設定!$I$28,設定!$G$8,IF(S69/IF($S$2="",100,$S$2)&lt;設定!$I$29,設定!$G$10,設定!$G$9)))</f>
        <v/>
      </c>
    </row>
    <row r="70" customFormat="false" ht="21" hidden="false" customHeight="true" outlineLevel="0" collapsed="false">
      <c r="A70" s="91" t="str">
        <f aca="false">IF(名簿!$D70="","",名簿!$B70&amp;"")</f>
        <v/>
      </c>
      <c r="B70" s="91" t="str">
        <f aca="false">IF(名簿!$D70="","",名簿!$C70)</f>
        <v/>
      </c>
      <c r="C70" s="59" t="str">
        <f aca="false">IF(名簿!$D70="","",名簿!$D70&amp;IF(名簿!$F70="転出","（転出）",""))</f>
        <v/>
      </c>
      <c r="D70" s="149"/>
      <c r="E70" s="61" t="str">
        <f aca="false">IF(OR($C70="",名簿!$F70="転出"),"",IF($C$2="学級ごと",$A70,IF($C$2="前の単元と同じ",単元17!$E70&amp;"",$D70&amp;"")))</f>
        <v/>
      </c>
      <c r="F70" s="150"/>
      <c r="G70" s="150"/>
      <c r="H70" s="150"/>
      <c r="I70" s="151"/>
      <c r="J70" s="41" t="str">
        <f aca="false">IF($E70="","",$E70&amp;"|"&amp;COUNTIF($E$5:$E70,$E70))</f>
        <v/>
      </c>
      <c r="K70" s="40" t="str">
        <f aca="false">IF($I70="","",LEN($I70))</f>
        <v/>
      </c>
      <c r="L70" s="13"/>
      <c r="M70" s="13"/>
      <c r="N70" s="13"/>
      <c r="O70" s="13"/>
      <c r="P70" s="152"/>
      <c r="Q70" s="149"/>
      <c r="R70" s="152"/>
      <c r="S70" s="152"/>
      <c r="T70" s="62" t="str">
        <f aca="false">IF(OR($C70="",R70=""),"",IF(R70/IF($R$2="",100,$R$2)&gt;=設定!$I$28,設定!$G$8,IF(R70/IF($R$2="",100,$R$2)&lt;設定!$I$29,設定!$G$10,設定!$G$9)))</f>
        <v/>
      </c>
      <c r="U70" s="62" t="str">
        <f aca="false">IF(OR($C70="",S70=""),"",IF(S70/IF($S$2="",100,$S$2)&gt;=設定!$I$28,設定!$G$8,IF(S70/IF($S$2="",100,$S$2)&lt;設定!$I$29,設定!$G$10,設定!$G$9)))</f>
        <v/>
      </c>
    </row>
    <row r="71" customFormat="false" ht="21" hidden="false" customHeight="true" outlineLevel="0" collapsed="false">
      <c r="A71" s="91" t="str">
        <f aca="false">IF(名簿!$D71="","",名簿!$B71&amp;"")</f>
        <v/>
      </c>
      <c r="B71" s="91" t="str">
        <f aca="false">IF(名簿!$D71="","",名簿!$C71)</f>
        <v/>
      </c>
      <c r="C71" s="59" t="str">
        <f aca="false">IF(名簿!$D71="","",名簿!$D71&amp;IF(名簿!$F71="転出","（転出）",""))</f>
        <v/>
      </c>
      <c r="D71" s="149"/>
      <c r="E71" s="61" t="str">
        <f aca="false">IF(OR($C71="",名簿!$F71="転出"),"",IF($C$2="学級ごと",$A71,IF($C$2="前の単元と同じ",単元17!$E71&amp;"",$D71&amp;"")))</f>
        <v/>
      </c>
      <c r="F71" s="150"/>
      <c r="G71" s="150"/>
      <c r="H71" s="150"/>
      <c r="I71" s="151"/>
      <c r="J71" s="41" t="str">
        <f aca="false">IF($E71="","",$E71&amp;"|"&amp;COUNTIF($E$5:$E71,$E71))</f>
        <v/>
      </c>
      <c r="K71" s="40" t="str">
        <f aca="false">IF($I71="","",LEN($I71))</f>
        <v/>
      </c>
      <c r="L71" s="13"/>
      <c r="M71" s="13"/>
      <c r="N71" s="13"/>
      <c r="O71" s="13"/>
      <c r="P71" s="152"/>
      <c r="Q71" s="149"/>
      <c r="R71" s="152"/>
      <c r="S71" s="152"/>
      <c r="T71" s="62" t="str">
        <f aca="false">IF(OR($C71="",R71=""),"",IF(R71/IF($R$2="",100,$R$2)&gt;=設定!$I$28,設定!$G$8,IF(R71/IF($R$2="",100,$R$2)&lt;設定!$I$29,設定!$G$10,設定!$G$9)))</f>
        <v/>
      </c>
      <c r="U71" s="62" t="str">
        <f aca="false">IF(OR($C71="",S71=""),"",IF(S71/IF($S$2="",100,$S$2)&gt;=設定!$I$28,設定!$G$8,IF(S71/IF($S$2="",100,$S$2)&lt;設定!$I$29,設定!$G$10,設定!$G$9)))</f>
        <v/>
      </c>
    </row>
    <row r="72" customFormat="false" ht="21" hidden="false" customHeight="true" outlineLevel="0" collapsed="false">
      <c r="A72" s="91" t="str">
        <f aca="false">IF(名簿!$D72="","",名簿!$B72&amp;"")</f>
        <v/>
      </c>
      <c r="B72" s="91" t="str">
        <f aca="false">IF(名簿!$D72="","",名簿!$C72)</f>
        <v/>
      </c>
      <c r="C72" s="59" t="str">
        <f aca="false">IF(名簿!$D72="","",名簿!$D72&amp;IF(名簿!$F72="転出","（転出）",""))</f>
        <v/>
      </c>
      <c r="D72" s="149"/>
      <c r="E72" s="61" t="str">
        <f aca="false">IF(OR($C72="",名簿!$F72="転出"),"",IF($C$2="学級ごと",$A72,IF($C$2="前の単元と同じ",単元17!$E72&amp;"",$D72&amp;"")))</f>
        <v/>
      </c>
      <c r="F72" s="150"/>
      <c r="G72" s="150"/>
      <c r="H72" s="150"/>
      <c r="I72" s="151"/>
      <c r="J72" s="41" t="str">
        <f aca="false">IF($E72="","",$E72&amp;"|"&amp;COUNTIF($E$5:$E72,$E72))</f>
        <v/>
      </c>
      <c r="K72" s="40" t="str">
        <f aca="false">IF($I72="","",LEN($I72))</f>
        <v/>
      </c>
      <c r="L72" s="13"/>
      <c r="M72" s="13"/>
      <c r="N72" s="13"/>
      <c r="O72" s="13"/>
      <c r="P72" s="152"/>
      <c r="Q72" s="149"/>
      <c r="R72" s="152"/>
      <c r="S72" s="152"/>
      <c r="T72" s="62" t="str">
        <f aca="false">IF(OR($C72="",R72=""),"",IF(R72/IF($R$2="",100,$R$2)&gt;=設定!$I$28,設定!$G$8,IF(R72/IF($R$2="",100,$R$2)&lt;設定!$I$29,設定!$G$10,設定!$G$9)))</f>
        <v/>
      </c>
      <c r="U72" s="62" t="str">
        <f aca="false">IF(OR($C72="",S72=""),"",IF(S72/IF($S$2="",100,$S$2)&gt;=設定!$I$28,設定!$G$8,IF(S72/IF($S$2="",100,$S$2)&lt;設定!$I$29,設定!$G$10,設定!$G$9)))</f>
        <v/>
      </c>
    </row>
    <row r="73" customFormat="false" ht="21" hidden="false" customHeight="true" outlineLevel="0" collapsed="false">
      <c r="A73" s="91" t="str">
        <f aca="false">IF(名簿!$D73="","",名簿!$B73&amp;"")</f>
        <v/>
      </c>
      <c r="B73" s="91" t="str">
        <f aca="false">IF(名簿!$D73="","",名簿!$C73)</f>
        <v/>
      </c>
      <c r="C73" s="59" t="str">
        <f aca="false">IF(名簿!$D73="","",名簿!$D73&amp;IF(名簿!$F73="転出","（転出）",""))</f>
        <v/>
      </c>
      <c r="D73" s="149"/>
      <c r="E73" s="61" t="str">
        <f aca="false">IF(OR($C73="",名簿!$F73="転出"),"",IF($C$2="学級ごと",$A73,IF($C$2="前の単元と同じ",単元17!$E73&amp;"",$D73&amp;"")))</f>
        <v/>
      </c>
      <c r="F73" s="150"/>
      <c r="G73" s="150"/>
      <c r="H73" s="150"/>
      <c r="I73" s="151"/>
      <c r="J73" s="41" t="str">
        <f aca="false">IF($E73="","",$E73&amp;"|"&amp;COUNTIF($E$5:$E73,$E73))</f>
        <v/>
      </c>
      <c r="K73" s="40" t="str">
        <f aca="false">IF($I73="","",LEN($I73))</f>
        <v/>
      </c>
      <c r="L73" s="13"/>
      <c r="M73" s="13"/>
      <c r="N73" s="13"/>
      <c r="O73" s="13"/>
      <c r="P73" s="152"/>
      <c r="Q73" s="149"/>
      <c r="R73" s="152"/>
      <c r="S73" s="152"/>
      <c r="T73" s="62" t="str">
        <f aca="false">IF(OR($C73="",R73=""),"",IF(R73/IF($R$2="",100,$R$2)&gt;=設定!$I$28,設定!$G$8,IF(R73/IF($R$2="",100,$R$2)&lt;設定!$I$29,設定!$G$10,設定!$G$9)))</f>
        <v/>
      </c>
      <c r="U73" s="62" t="str">
        <f aca="false">IF(OR($C73="",S73=""),"",IF(S73/IF($S$2="",100,$S$2)&gt;=設定!$I$28,設定!$G$8,IF(S73/IF($S$2="",100,$S$2)&lt;設定!$I$29,設定!$G$10,設定!$G$9)))</f>
        <v/>
      </c>
    </row>
    <row r="74" customFormat="false" ht="21" hidden="false" customHeight="true" outlineLevel="0" collapsed="false">
      <c r="A74" s="91" t="str">
        <f aca="false">IF(名簿!$D74="","",名簿!$B74&amp;"")</f>
        <v/>
      </c>
      <c r="B74" s="91" t="str">
        <f aca="false">IF(名簿!$D74="","",名簿!$C74)</f>
        <v/>
      </c>
      <c r="C74" s="59" t="str">
        <f aca="false">IF(名簿!$D74="","",名簿!$D74&amp;IF(名簿!$F74="転出","（転出）",""))</f>
        <v/>
      </c>
      <c r="D74" s="149"/>
      <c r="E74" s="61" t="str">
        <f aca="false">IF(OR($C74="",名簿!$F74="転出"),"",IF($C$2="学級ごと",$A74,IF($C$2="前の単元と同じ",単元17!$E74&amp;"",$D74&amp;"")))</f>
        <v/>
      </c>
      <c r="F74" s="150"/>
      <c r="G74" s="150"/>
      <c r="H74" s="150"/>
      <c r="I74" s="151"/>
      <c r="J74" s="41" t="str">
        <f aca="false">IF($E74="","",$E74&amp;"|"&amp;COUNTIF($E$5:$E74,$E74))</f>
        <v/>
      </c>
      <c r="K74" s="40" t="str">
        <f aca="false">IF($I74="","",LEN($I74))</f>
        <v/>
      </c>
      <c r="L74" s="13"/>
      <c r="M74" s="13"/>
      <c r="N74" s="13"/>
      <c r="O74" s="13"/>
      <c r="P74" s="152"/>
      <c r="Q74" s="149"/>
      <c r="R74" s="152"/>
      <c r="S74" s="152"/>
      <c r="T74" s="62" t="str">
        <f aca="false">IF(OR($C74="",R74=""),"",IF(R74/IF($R$2="",100,$R$2)&gt;=設定!$I$28,設定!$G$8,IF(R74/IF($R$2="",100,$R$2)&lt;設定!$I$29,設定!$G$10,設定!$G$9)))</f>
        <v/>
      </c>
      <c r="U74" s="62" t="str">
        <f aca="false">IF(OR($C74="",S74=""),"",IF(S74/IF($S$2="",100,$S$2)&gt;=設定!$I$28,設定!$G$8,IF(S74/IF($S$2="",100,$S$2)&lt;設定!$I$29,設定!$G$10,設定!$G$9)))</f>
        <v/>
      </c>
    </row>
    <row r="75" customFormat="false" ht="21" hidden="false" customHeight="true" outlineLevel="0" collapsed="false">
      <c r="A75" s="91" t="str">
        <f aca="false">IF(名簿!$D75="","",名簿!$B75&amp;"")</f>
        <v/>
      </c>
      <c r="B75" s="91" t="str">
        <f aca="false">IF(名簿!$D75="","",名簿!$C75)</f>
        <v/>
      </c>
      <c r="C75" s="59" t="str">
        <f aca="false">IF(名簿!$D75="","",名簿!$D75&amp;IF(名簿!$F75="転出","（転出）",""))</f>
        <v/>
      </c>
      <c r="D75" s="149"/>
      <c r="E75" s="61" t="str">
        <f aca="false">IF(OR($C75="",名簿!$F75="転出"),"",IF($C$2="学級ごと",$A75,IF($C$2="前の単元と同じ",単元17!$E75&amp;"",$D75&amp;"")))</f>
        <v/>
      </c>
      <c r="F75" s="150"/>
      <c r="G75" s="150"/>
      <c r="H75" s="150"/>
      <c r="I75" s="151"/>
      <c r="J75" s="41" t="str">
        <f aca="false">IF($E75="","",$E75&amp;"|"&amp;COUNTIF($E$5:$E75,$E75))</f>
        <v/>
      </c>
      <c r="K75" s="40" t="str">
        <f aca="false">IF($I75="","",LEN($I75))</f>
        <v/>
      </c>
      <c r="L75" s="13"/>
      <c r="M75" s="13"/>
      <c r="N75" s="13"/>
      <c r="O75" s="13"/>
      <c r="P75" s="152"/>
      <c r="Q75" s="149"/>
      <c r="R75" s="152"/>
      <c r="S75" s="152"/>
      <c r="T75" s="62" t="str">
        <f aca="false">IF(OR($C75="",R75=""),"",IF(R75/IF($R$2="",100,$R$2)&gt;=設定!$I$28,設定!$G$8,IF(R75/IF($R$2="",100,$R$2)&lt;設定!$I$29,設定!$G$10,設定!$G$9)))</f>
        <v/>
      </c>
      <c r="U75" s="62" t="str">
        <f aca="false">IF(OR($C75="",S75=""),"",IF(S75/IF($S$2="",100,$S$2)&gt;=設定!$I$28,設定!$G$8,IF(S75/IF($S$2="",100,$S$2)&lt;設定!$I$29,設定!$G$10,設定!$G$9)))</f>
        <v/>
      </c>
    </row>
    <row r="76" customFormat="false" ht="21" hidden="false" customHeight="true" outlineLevel="0" collapsed="false">
      <c r="A76" s="91" t="str">
        <f aca="false">IF(名簿!$D76="","",名簿!$B76&amp;"")</f>
        <v/>
      </c>
      <c r="B76" s="91" t="str">
        <f aca="false">IF(名簿!$D76="","",名簿!$C76)</f>
        <v/>
      </c>
      <c r="C76" s="59" t="str">
        <f aca="false">IF(名簿!$D76="","",名簿!$D76&amp;IF(名簿!$F76="転出","（転出）",""))</f>
        <v/>
      </c>
      <c r="D76" s="149"/>
      <c r="E76" s="61" t="str">
        <f aca="false">IF(OR($C76="",名簿!$F76="転出"),"",IF($C$2="学級ごと",$A76,IF($C$2="前の単元と同じ",単元17!$E76&amp;"",$D76&amp;"")))</f>
        <v/>
      </c>
      <c r="F76" s="150"/>
      <c r="G76" s="150"/>
      <c r="H76" s="150"/>
      <c r="I76" s="151"/>
      <c r="J76" s="41" t="str">
        <f aca="false">IF($E76="","",$E76&amp;"|"&amp;COUNTIF($E$5:$E76,$E76))</f>
        <v/>
      </c>
      <c r="K76" s="40" t="str">
        <f aca="false">IF($I76="","",LEN($I76))</f>
        <v/>
      </c>
      <c r="L76" s="13"/>
      <c r="M76" s="13"/>
      <c r="N76" s="13"/>
      <c r="O76" s="13"/>
      <c r="P76" s="152"/>
      <c r="Q76" s="149"/>
      <c r="R76" s="152"/>
      <c r="S76" s="152"/>
      <c r="T76" s="62" t="str">
        <f aca="false">IF(OR($C76="",R76=""),"",IF(R76/IF($R$2="",100,$R$2)&gt;=設定!$I$28,設定!$G$8,IF(R76/IF($R$2="",100,$R$2)&lt;設定!$I$29,設定!$G$10,設定!$G$9)))</f>
        <v/>
      </c>
      <c r="U76" s="62" t="str">
        <f aca="false">IF(OR($C76="",S76=""),"",IF(S76/IF($S$2="",100,$S$2)&gt;=設定!$I$28,設定!$G$8,IF(S76/IF($S$2="",100,$S$2)&lt;設定!$I$29,設定!$G$10,設定!$G$9)))</f>
        <v/>
      </c>
    </row>
    <row r="77" customFormat="false" ht="21" hidden="false" customHeight="true" outlineLevel="0" collapsed="false">
      <c r="A77" s="91" t="str">
        <f aca="false">IF(名簿!$D77="","",名簿!$B77&amp;"")</f>
        <v/>
      </c>
      <c r="B77" s="91" t="str">
        <f aca="false">IF(名簿!$D77="","",名簿!$C77)</f>
        <v/>
      </c>
      <c r="C77" s="59" t="str">
        <f aca="false">IF(名簿!$D77="","",名簿!$D77&amp;IF(名簿!$F77="転出","（転出）",""))</f>
        <v/>
      </c>
      <c r="D77" s="149"/>
      <c r="E77" s="61" t="str">
        <f aca="false">IF(OR($C77="",名簿!$F77="転出"),"",IF($C$2="学級ごと",$A77,IF($C$2="前の単元と同じ",単元17!$E77&amp;"",$D77&amp;"")))</f>
        <v/>
      </c>
      <c r="F77" s="150"/>
      <c r="G77" s="150"/>
      <c r="H77" s="150"/>
      <c r="I77" s="151"/>
      <c r="J77" s="41" t="str">
        <f aca="false">IF($E77="","",$E77&amp;"|"&amp;COUNTIF($E$5:$E77,$E77))</f>
        <v/>
      </c>
      <c r="K77" s="40" t="str">
        <f aca="false">IF($I77="","",LEN($I77))</f>
        <v/>
      </c>
      <c r="L77" s="13"/>
      <c r="M77" s="13"/>
      <c r="N77" s="13"/>
      <c r="O77" s="13"/>
      <c r="P77" s="152"/>
      <c r="Q77" s="149"/>
      <c r="R77" s="152"/>
      <c r="S77" s="152"/>
      <c r="T77" s="62" t="str">
        <f aca="false">IF(OR($C77="",R77=""),"",IF(R77/IF($R$2="",100,$R$2)&gt;=設定!$I$28,設定!$G$8,IF(R77/IF($R$2="",100,$R$2)&lt;設定!$I$29,設定!$G$10,設定!$G$9)))</f>
        <v/>
      </c>
      <c r="U77" s="62" t="str">
        <f aca="false">IF(OR($C77="",S77=""),"",IF(S77/IF($S$2="",100,$S$2)&gt;=設定!$I$28,設定!$G$8,IF(S77/IF($S$2="",100,$S$2)&lt;設定!$I$29,設定!$G$10,設定!$G$9)))</f>
        <v/>
      </c>
    </row>
    <row r="78" customFormat="false" ht="21" hidden="false" customHeight="true" outlineLevel="0" collapsed="false">
      <c r="A78" s="91" t="str">
        <f aca="false">IF(名簿!$D78="","",名簿!$B78&amp;"")</f>
        <v/>
      </c>
      <c r="B78" s="91" t="str">
        <f aca="false">IF(名簿!$D78="","",名簿!$C78)</f>
        <v/>
      </c>
      <c r="C78" s="59" t="str">
        <f aca="false">IF(名簿!$D78="","",名簿!$D78&amp;IF(名簿!$F78="転出","（転出）",""))</f>
        <v/>
      </c>
      <c r="D78" s="149"/>
      <c r="E78" s="61" t="str">
        <f aca="false">IF(OR($C78="",名簿!$F78="転出"),"",IF($C$2="学級ごと",$A78,IF($C$2="前の単元と同じ",単元17!$E78&amp;"",$D78&amp;"")))</f>
        <v/>
      </c>
      <c r="F78" s="150"/>
      <c r="G78" s="150"/>
      <c r="H78" s="150"/>
      <c r="I78" s="151"/>
      <c r="J78" s="41" t="str">
        <f aca="false">IF($E78="","",$E78&amp;"|"&amp;COUNTIF($E$5:$E78,$E78))</f>
        <v/>
      </c>
      <c r="K78" s="40" t="str">
        <f aca="false">IF($I78="","",LEN($I78))</f>
        <v/>
      </c>
      <c r="L78" s="13"/>
      <c r="M78" s="13"/>
      <c r="N78" s="13"/>
      <c r="O78" s="13"/>
      <c r="P78" s="152"/>
      <c r="Q78" s="149"/>
      <c r="R78" s="152"/>
      <c r="S78" s="152"/>
      <c r="T78" s="62" t="str">
        <f aca="false">IF(OR($C78="",R78=""),"",IF(R78/IF($R$2="",100,$R$2)&gt;=設定!$I$28,設定!$G$8,IF(R78/IF($R$2="",100,$R$2)&lt;設定!$I$29,設定!$G$10,設定!$G$9)))</f>
        <v/>
      </c>
      <c r="U78" s="62" t="str">
        <f aca="false">IF(OR($C78="",S78=""),"",IF(S78/IF($S$2="",100,$S$2)&gt;=設定!$I$28,設定!$G$8,IF(S78/IF($S$2="",100,$S$2)&lt;設定!$I$29,設定!$G$10,設定!$G$9)))</f>
        <v/>
      </c>
    </row>
    <row r="79" customFormat="false" ht="21" hidden="false" customHeight="true" outlineLevel="0" collapsed="false">
      <c r="A79" s="91" t="str">
        <f aca="false">IF(名簿!$D79="","",名簿!$B79&amp;"")</f>
        <v/>
      </c>
      <c r="B79" s="91" t="str">
        <f aca="false">IF(名簿!$D79="","",名簿!$C79)</f>
        <v/>
      </c>
      <c r="C79" s="59" t="str">
        <f aca="false">IF(名簿!$D79="","",名簿!$D79&amp;IF(名簿!$F79="転出","（転出）",""))</f>
        <v/>
      </c>
      <c r="D79" s="149"/>
      <c r="E79" s="61" t="str">
        <f aca="false">IF(OR($C79="",名簿!$F79="転出"),"",IF($C$2="学級ごと",$A79,IF($C$2="前の単元と同じ",単元17!$E79&amp;"",$D79&amp;"")))</f>
        <v/>
      </c>
      <c r="F79" s="150"/>
      <c r="G79" s="150"/>
      <c r="H79" s="150"/>
      <c r="I79" s="151"/>
      <c r="J79" s="41" t="str">
        <f aca="false">IF($E79="","",$E79&amp;"|"&amp;COUNTIF($E$5:$E79,$E79))</f>
        <v/>
      </c>
      <c r="K79" s="40" t="str">
        <f aca="false">IF($I79="","",LEN($I79))</f>
        <v/>
      </c>
      <c r="L79" s="13"/>
      <c r="M79" s="13"/>
      <c r="N79" s="13"/>
      <c r="O79" s="13"/>
      <c r="P79" s="152"/>
      <c r="Q79" s="149"/>
      <c r="R79" s="152"/>
      <c r="S79" s="152"/>
      <c r="T79" s="62" t="str">
        <f aca="false">IF(OR($C79="",R79=""),"",IF(R79/IF($R$2="",100,$R$2)&gt;=設定!$I$28,設定!$G$8,IF(R79/IF($R$2="",100,$R$2)&lt;設定!$I$29,設定!$G$10,設定!$G$9)))</f>
        <v/>
      </c>
      <c r="U79" s="62" t="str">
        <f aca="false">IF(OR($C79="",S79=""),"",IF(S79/IF($S$2="",100,$S$2)&gt;=設定!$I$28,設定!$G$8,IF(S79/IF($S$2="",100,$S$2)&lt;設定!$I$29,設定!$G$10,設定!$G$9)))</f>
        <v/>
      </c>
    </row>
    <row r="80" customFormat="false" ht="21" hidden="false" customHeight="true" outlineLevel="0" collapsed="false">
      <c r="A80" s="91" t="str">
        <f aca="false">IF(名簿!$D80="","",名簿!$B80&amp;"")</f>
        <v/>
      </c>
      <c r="B80" s="91" t="str">
        <f aca="false">IF(名簿!$D80="","",名簿!$C80)</f>
        <v/>
      </c>
      <c r="C80" s="59" t="str">
        <f aca="false">IF(名簿!$D80="","",名簿!$D80&amp;IF(名簿!$F80="転出","（転出）",""))</f>
        <v/>
      </c>
      <c r="D80" s="149"/>
      <c r="E80" s="61" t="str">
        <f aca="false">IF(OR($C80="",名簿!$F80="転出"),"",IF($C$2="学級ごと",$A80,IF($C$2="前の単元と同じ",単元17!$E80&amp;"",$D80&amp;"")))</f>
        <v/>
      </c>
      <c r="F80" s="150"/>
      <c r="G80" s="150"/>
      <c r="H80" s="150"/>
      <c r="I80" s="151"/>
      <c r="J80" s="41" t="str">
        <f aca="false">IF($E80="","",$E80&amp;"|"&amp;COUNTIF($E$5:$E80,$E80))</f>
        <v/>
      </c>
      <c r="K80" s="40" t="str">
        <f aca="false">IF($I80="","",LEN($I80))</f>
        <v/>
      </c>
      <c r="L80" s="13"/>
      <c r="M80" s="13"/>
      <c r="N80" s="13"/>
      <c r="O80" s="13"/>
      <c r="P80" s="152"/>
      <c r="Q80" s="149"/>
      <c r="R80" s="152"/>
      <c r="S80" s="152"/>
      <c r="T80" s="62" t="str">
        <f aca="false">IF(OR($C80="",R80=""),"",IF(R80/IF($R$2="",100,$R$2)&gt;=設定!$I$28,設定!$G$8,IF(R80/IF($R$2="",100,$R$2)&lt;設定!$I$29,設定!$G$10,設定!$G$9)))</f>
        <v/>
      </c>
      <c r="U80" s="62" t="str">
        <f aca="false">IF(OR($C80="",S80=""),"",IF(S80/IF($S$2="",100,$S$2)&gt;=設定!$I$28,設定!$G$8,IF(S80/IF($S$2="",100,$S$2)&lt;設定!$I$29,設定!$G$10,設定!$G$9)))</f>
        <v/>
      </c>
    </row>
    <row r="81" customFormat="false" ht="21" hidden="false" customHeight="true" outlineLevel="0" collapsed="false">
      <c r="A81" s="91" t="str">
        <f aca="false">IF(名簿!$D81="","",名簿!$B81&amp;"")</f>
        <v/>
      </c>
      <c r="B81" s="91" t="str">
        <f aca="false">IF(名簿!$D81="","",名簿!$C81)</f>
        <v/>
      </c>
      <c r="C81" s="59" t="str">
        <f aca="false">IF(名簿!$D81="","",名簿!$D81&amp;IF(名簿!$F81="転出","（転出）",""))</f>
        <v/>
      </c>
      <c r="D81" s="149"/>
      <c r="E81" s="61" t="str">
        <f aca="false">IF(OR($C81="",名簿!$F81="転出"),"",IF($C$2="学級ごと",$A81,IF($C$2="前の単元と同じ",単元17!$E81&amp;"",$D81&amp;"")))</f>
        <v/>
      </c>
      <c r="F81" s="150"/>
      <c r="G81" s="150"/>
      <c r="H81" s="150"/>
      <c r="I81" s="151"/>
      <c r="J81" s="41" t="str">
        <f aca="false">IF($E81="","",$E81&amp;"|"&amp;COUNTIF($E$5:$E81,$E81))</f>
        <v/>
      </c>
      <c r="K81" s="40" t="str">
        <f aca="false">IF($I81="","",LEN($I81))</f>
        <v/>
      </c>
      <c r="L81" s="13"/>
      <c r="M81" s="13"/>
      <c r="N81" s="13"/>
      <c r="O81" s="13"/>
      <c r="P81" s="152"/>
      <c r="Q81" s="149"/>
      <c r="R81" s="152"/>
      <c r="S81" s="152"/>
      <c r="T81" s="62" t="str">
        <f aca="false">IF(OR($C81="",R81=""),"",IF(R81/IF($R$2="",100,$R$2)&gt;=設定!$I$28,設定!$G$8,IF(R81/IF($R$2="",100,$R$2)&lt;設定!$I$29,設定!$G$10,設定!$G$9)))</f>
        <v/>
      </c>
      <c r="U81" s="62" t="str">
        <f aca="false">IF(OR($C81="",S81=""),"",IF(S81/IF($S$2="",100,$S$2)&gt;=設定!$I$28,設定!$G$8,IF(S81/IF($S$2="",100,$S$2)&lt;設定!$I$29,設定!$G$10,設定!$G$9)))</f>
        <v/>
      </c>
    </row>
    <row r="82" customFormat="false" ht="21" hidden="false" customHeight="true" outlineLevel="0" collapsed="false">
      <c r="A82" s="91" t="str">
        <f aca="false">IF(名簿!$D82="","",名簿!$B82&amp;"")</f>
        <v/>
      </c>
      <c r="B82" s="91" t="str">
        <f aca="false">IF(名簿!$D82="","",名簿!$C82)</f>
        <v/>
      </c>
      <c r="C82" s="59" t="str">
        <f aca="false">IF(名簿!$D82="","",名簿!$D82&amp;IF(名簿!$F82="転出","（転出）",""))</f>
        <v/>
      </c>
      <c r="D82" s="149"/>
      <c r="E82" s="61" t="str">
        <f aca="false">IF(OR($C82="",名簿!$F82="転出"),"",IF($C$2="学級ごと",$A82,IF($C$2="前の単元と同じ",単元17!$E82&amp;"",$D82&amp;"")))</f>
        <v/>
      </c>
      <c r="F82" s="150"/>
      <c r="G82" s="150"/>
      <c r="H82" s="150"/>
      <c r="I82" s="151"/>
      <c r="J82" s="41" t="str">
        <f aca="false">IF($E82="","",$E82&amp;"|"&amp;COUNTIF($E$5:$E82,$E82))</f>
        <v/>
      </c>
      <c r="K82" s="40" t="str">
        <f aca="false">IF($I82="","",LEN($I82))</f>
        <v/>
      </c>
      <c r="L82" s="13"/>
      <c r="M82" s="13"/>
      <c r="N82" s="13"/>
      <c r="O82" s="13"/>
      <c r="P82" s="152"/>
      <c r="Q82" s="149"/>
      <c r="R82" s="152"/>
      <c r="S82" s="152"/>
      <c r="T82" s="62" t="str">
        <f aca="false">IF(OR($C82="",R82=""),"",IF(R82/IF($R$2="",100,$R$2)&gt;=設定!$I$28,設定!$G$8,IF(R82/IF($R$2="",100,$R$2)&lt;設定!$I$29,設定!$G$10,設定!$G$9)))</f>
        <v/>
      </c>
      <c r="U82" s="62" t="str">
        <f aca="false">IF(OR($C82="",S82=""),"",IF(S82/IF($S$2="",100,$S$2)&gt;=設定!$I$28,設定!$G$8,IF(S82/IF($S$2="",100,$S$2)&lt;設定!$I$29,設定!$G$10,設定!$G$9)))</f>
        <v/>
      </c>
    </row>
    <row r="83" customFormat="false" ht="21" hidden="false" customHeight="true" outlineLevel="0" collapsed="false">
      <c r="A83" s="91" t="str">
        <f aca="false">IF(名簿!$D83="","",名簿!$B83&amp;"")</f>
        <v/>
      </c>
      <c r="B83" s="91" t="str">
        <f aca="false">IF(名簿!$D83="","",名簿!$C83)</f>
        <v/>
      </c>
      <c r="C83" s="59" t="str">
        <f aca="false">IF(名簿!$D83="","",名簿!$D83&amp;IF(名簿!$F83="転出","（転出）",""))</f>
        <v/>
      </c>
      <c r="D83" s="149"/>
      <c r="E83" s="61" t="str">
        <f aca="false">IF(OR($C83="",名簿!$F83="転出"),"",IF($C$2="学級ごと",$A83,IF($C$2="前の単元と同じ",単元17!$E83&amp;"",$D83&amp;"")))</f>
        <v/>
      </c>
      <c r="F83" s="150"/>
      <c r="G83" s="150"/>
      <c r="H83" s="150"/>
      <c r="I83" s="151"/>
      <c r="J83" s="41" t="str">
        <f aca="false">IF($E83="","",$E83&amp;"|"&amp;COUNTIF($E$5:$E83,$E83))</f>
        <v/>
      </c>
      <c r="K83" s="40" t="str">
        <f aca="false">IF($I83="","",LEN($I83))</f>
        <v/>
      </c>
      <c r="L83" s="13"/>
      <c r="M83" s="13"/>
      <c r="N83" s="13"/>
      <c r="O83" s="13"/>
      <c r="P83" s="152"/>
      <c r="Q83" s="149"/>
      <c r="R83" s="152"/>
      <c r="S83" s="152"/>
      <c r="T83" s="62" t="str">
        <f aca="false">IF(OR($C83="",R83=""),"",IF(R83/IF($R$2="",100,$R$2)&gt;=設定!$I$28,設定!$G$8,IF(R83/IF($R$2="",100,$R$2)&lt;設定!$I$29,設定!$G$10,設定!$G$9)))</f>
        <v/>
      </c>
      <c r="U83" s="62" t="str">
        <f aca="false">IF(OR($C83="",S83=""),"",IF(S83/IF($S$2="",100,$S$2)&gt;=設定!$I$28,設定!$G$8,IF(S83/IF($S$2="",100,$S$2)&lt;設定!$I$29,設定!$G$10,設定!$G$9)))</f>
        <v/>
      </c>
    </row>
    <row r="84" customFormat="false" ht="21" hidden="false" customHeight="true" outlineLevel="0" collapsed="false">
      <c r="A84" s="91" t="str">
        <f aca="false">IF(名簿!$D84="","",名簿!$B84&amp;"")</f>
        <v/>
      </c>
      <c r="B84" s="91" t="str">
        <f aca="false">IF(名簿!$D84="","",名簿!$C84)</f>
        <v/>
      </c>
      <c r="C84" s="59" t="str">
        <f aca="false">IF(名簿!$D84="","",名簿!$D84&amp;IF(名簿!$F84="転出","（転出）",""))</f>
        <v/>
      </c>
      <c r="D84" s="149"/>
      <c r="E84" s="61" t="str">
        <f aca="false">IF(OR($C84="",名簿!$F84="転出"),"",IF($C$2="学級ごと",$A84,IF($C$2="前の単元と同じ",単元17!$E84&amp;"",$D84&amp;"")))</f>
        <v/>
      </c>
      <c r="F84" s="150"/>
      <c r="G84" s="150"/>
      <c r="H84" s="150"/>
      <c r="I84" s="151"/>
      <c r="J84" s="41" t="str">
        <f aca="false">IF($E84="","",$E84&amp;"|"&amp;COUNTIF($E$5:$E84,$E84))</f>
        <v/>
      </c>
      <c r="K84" s="40" t="str">
        <f aca="false">IF($I84="","",LEN($I84))</f>
        <v/>
      </c>
      <c r="L84" s="13"/>
      <c r="M84" s="13"/>
      <c r="N84" s="13"/>
      <c r="O84" s="13"/>
      <c r="P84" s="152"/>
      <c r="Q84" s="149"/>
      <c r="R84" s="152"/>
      <c r="S84" s="152"/>
      <c r="T84" s="62" t="str">
        <f aca="false">IF(OR($C84="",R84=""),"",IF(R84/IF($R$2="",100,$R$2)&gt;=設定!$I$28,設定!$G$8,IF(R84/IF($R$2="",100,$R$2)&lt;設定!$I$29,設定!$G$10,設定!$G$9)))</f>
        <v/>
      </c>
      <c r="U84" s="62" t="str">
        <f aca="false">IF(OR($C84="",S84=""),"",IF(S84/IF($S$2="",100,$S$2)&gt;=設定!$I$28,設定!$G$8,IF(S84/IF($S$2="",100,$S$2)&lt;設定!$I$29,設定!$G$10,設定!$G$9)))</f>
        <v/>
      </c>
    </row>
    <row r="85" customFormat="false" ht="21" hidden="false" customHeight="true" outlineLevel="0" collapsed="false">
      <c r="A85" s="91" t="str">
        <f aca="false">IF(名簿!$D85="","",名簿!$B85&amp;"")</f>
        <v/>
      </c>
      <c r="B85" s="91" t="str">
        <f aca="false">IF(名簿!$D85="","",名簿!$C85)</f>
        <v/>
      </c>
      <c r="C85" s="59" t="str">
        <f aca="false">IF(名簿!$D85="","",名簿!$D85&amp;IF(名簿!$F85="転出","（転出）",""))</f>
        <v/>
      </c>
      <c r="D85" s="149"/>
      <c r="E85" s="61" t="str">
        <f aca="false">IF(OR($C85="",名簿!$F85="転出"),"",IF($C$2="学級ごと",$A85,IF($C$2="前の単元と同じ",単元17!$E85&amp;"",$D85&amp;"")))</f>
        <v/>
      </c>
      <c r="F85" s="150"/>
      <c r="G85" s="150"/>
      <c r="H85" s="150"/>
      <c r="I85" s="151"/>
      <c r="J85" s="41" t="str">
        <f aca="false">IF($E85="","",$E85&amp;"|"&amp;COUNTIF($E$5:$E85,$E85))</f>
        <v/>
      </c>
      <c r="K85" s="40" t="str">
        <f aca="false">IF($I85="","",LEN($I85))</f>
        <v/>
      </c>
      <c r="L85" s="13"/>
      <c r="M85" s="13"/>
      <c r="N85" s="13"/>
      <c r="O85" s="13"/>
      <c r="P85" s="152"/>
      <c r="Q85" s="149"/>
      <c r="R85" s="152"/>
      <c r="S85" s="152"/>
      <c r="T85" s="62" t="str">
        <f aca="false">IF(OR($C85="",R85=""),"",IF(R85/IF($R$2="",100,$R$2)&gt;=設定!$I$28,設定!$G$8,IF(R85/IF($R$2="",100,$R$2)&lt;設定!$I$29,設定!$G$10,設定!$G$9)))</f>
        <v/>
      </c>
      <c r="U85" s="62" t="str">
        <f aca="false">IF(OR($C85="",S85=""),"",IF(S85/IF($S$2="",100,$S$2)&gt;=設定!$I$28,設定!$G$8,IF(S85/IF($S$2="",100,$S$2)&lt;設定!$I$29,設定!$G$10,設定!$G$9)))</f>
        <v/>
      </c>
    </row>
    <row r="86" customFormat="false" ht="21" hidden="false" customHeight="true" outlineLevel="0" collapsed="false">
      <c r="A86" s="91" t="str">
        <f aca="false">IF(名簿!$D86="","",名簿!$B86&amp;"")</f>
        <v/>
      </c>
      <c r="B86" s="91" t="str">
        <f aca="false">IF(名簿!$D86="","",名簿!$C86)</f>
        <v/>
      </c>
      <c r="C86" s="59" t="str">
        <f aca="false">IF(名簿!$D86="","",名簿!$D86&amp;IF(名簿!$F86="転出","（転出）",""))</f>
        <v/>
      </c>
      <c r="D86" s="149"/>
      <c r="E86" s="61" t="str">
        <f aca="false">IF(OR($C86="",名簿!$F86="転出"),"",IF($C$2="学級ごと",$A86,IF($C$2="前の単元と同じ",単元17!$E86&amp;"",$D86&amp;"")))</f>
        <v/>
      </c>
      <c r="F86" s="150"/>
      <c r="G86" s="150"/>
      <c r="H86" s="150"/>
      <c r="I86" s="151"/>
      <c r="J86" s="41" t="str">
        <f aca="false">IF($E86="","",$E86&amp;"|"&amp;COUNTIF($E$5:$E86,$E86))</f>
        <v/>
      </c>
      <c r="K86" s="40" t="str">
        <f aca="false">IF($I86="","",LEN($I86))</f>
        <v/>
      </c>
      <c r="L86" s="13"/>
      <c r="M86" s="13"/>
      <c r="N86" s="13"/>
      <c r="O86" s="13"/>
      <c r="P86" s="152"/>
      <c r="Q86" s="149"/>
      <c r="R86" s="152"/>
      <c r="S86" s="152"/>
      <c r="T86" s="62" t="str">
        <f aca="false">IF(OR($C86="",R86=""),"",IF(R86/IF($R$2="",100,$R$2)&gt;=設定!$I$28,設定!$G$8,IF(R86/IF($R$2="",100,$R$2)&lt;設定!$I$29,設定!$G$10,設定!$G$9)))</f>
        <v/>
      </c>
      <c r="U86" s="62" t="str">
        <f aca="false">IF(OR($C86="",S86=""),"",IF(S86/IF($S$2="",100,$S$2)&gt;=設定!$I$28,設定!$G$8,IF(S86/IF($S$2="",100,$S$2)&lt;設定!$I$29,設定!$G$10,設定!$G$9)))</f>
        <v/>
      </c>
    </row>
    <row r="87" customFormat="false" ht="21" hidden="false" customHeight="true" outlineLevel="0" collapsed="false">
      <c r="A87" s="91" t="str">
        <f aca="false">IF(名簿!$D87="","",名簿!$B87&amp;"")</f>
        <v/>
      </c>
      <c r="B87" s="91" t="str">
        <f aca="false">IF(名簿!$D87="","",名簿!$C87)</f>
        <v/>
      </c>
      <c r="C87" s="59" t="str">
        <f aca="false">IF(名簿!$D87="","",名簿!$D87&amp;IF(名簿!$F87="転出","（転出）",""))</f>
        <v/>
      </c>
      <c r="D87" s="149"/>
      <c r="E87" s="61" t="str">
        <f aca="false">IF(OR($C87="",名簿!$F87="転出"),"",IF($C$2="学級ごと",$A87,IF($C$2="前の単元と同じ",単元17!$E87&amp;"",$D87&amp;"")))</f>
        <v/>
      </c>
      <c r="F87" s="150"/>
      <c r="G87" s="150"/>
      <c r="H87" s="150"/>
      <c r="I87" s="151"/>
      <c r="J87" s="41" t="str">
        <f aca="false">IF($E87="","",$E87&amp;"|"&amp;COUNTIF($E$5:$E87,$E87))</f>
        <v/>
      </c>
      <c r="K87" s="40" t="str">
        <f aca="false">IF($I87="","",LEN($I87))</f>
        <v/>
      </c>
      <c r="L87" s="13"/>
      <c r="M87" s="13"/>
      <c r="N87" s="13"/>
      <c r="O87" s="13"/>
      <c r="P87" s="152"/>
      <c r="Q87" s="149"/>
      <c r="R87" s="152"/>
      <c r="S87" s="152"/>
      <c r="T87" s="62" t="str">
        <f aca="false">IF(OR($C87="",R87=""),"",IF(R87/IF($R$2="",100,$R$2)&gt;=設定!$I$28,設定!$G$8,IF(R87/IF($R$2="",100,$R$2)&lt;設定!$I$29,設定!$G$10,設定!$G$9)))</f>
        <v/>
      </c>
      <c r="U87" s="62" t="str">
        <f aca="false">IF(OR($C87="",S87=""),"",IF(S87/IF($S$2="",100,$S$2)&gt;=設定!$I$28,設定!$G$8,IF(S87/IF($S$2="",100,$S$2)&lt;設定!$I$29,設定!$G$10,設定!$G$9)))</f>
        <v/>
      </c>
    </row>
    <row r="88" customFormat="false" ht="21" hidden="false" customHeight="true" outlineLevel="0" collapsed="false">
      <c r="A88" s="91" t="str">
        <f aca="false">IF(名簿!$D88="","",名簿!$B88&amp;"")</f>
        <v/>
      </c>
      <c r="B88" s="91" t="str">
        <f aca="false">IF(名簿!$D88="","",名簿!$C88)</f>
        <v/>
      </c>
      <c r="C88" s="59" t="str">
        <f aca="false">IF(名簿!$D88="","",名簿!$D88&amp;IF(名簿!$F88="転出","（転出）",""))</f>
        <v/>
      </c>
      <c r="D88" s="149"/>
      <c r="E88" s="61" t="str">
        <f aca="false">IF(OR($C88="",名簿!$F88="転出"),"",IF($C$2="学級ごと",$A88,IF($C$2="前の単元と同じ",単元17!$E88&amp;"",$D88&amp;"")))</f>
        <v/>
      </c>
      <c r="F88" s="150"/>
      <c r="G88" s="150"/>
      <c r="H88" s="150"/>
      <c r="I88" s="151"/>
      <c r="J88" s="41" t="str">
        <f aca="false">IF($E88="","",$E88&amp;"|"&amp;COUNTIF($E$5:$E88,$E88))</f>
        <v/>
      </c>
      <c r="K88" s="40" t="str">
        <f aca="false">IF($I88="","",LEN($I88))</f>
        <v/>
      </c>
      <c r="L88" s="13"/>
      <c r="M88" s="13"/>
      <c r="N88" s="13"/>
      <c r="O88" s="13"/>
      <c r="P88" s="152"/>
      <c r="Q88" s="149"/>
      <c r="R88" s="152"/>
      <c r="S88" s="152"/>
      <c r="T88" s="62" t="str">
        <f aca="false">IF(OR($C88="",R88=""),"",IF(R88/IF($R$2="",100,$R$2)&gt;=設定!$I$28,設定!$G$8,IF(R88/IF($R$2="",100,$R$2)&lt;設定!$I$29,設定!$G$10,設定!$G$9)))</f>
        <v/>
      </c>
      <c r="U88" s="62" t="str">
        <f aca="false">IF(OR($C88="",S88=""),"",IF(S88/IF($S$2="",100,$S$2)&gt;=設定!$I$28,設定!$G$8,IF(S88/IF($S$2="",100,$S$2)&lt;設定!$I$29,設定!$G$10,設定!$G$9)))</f>
        <v/>
      </c>
    </row>
    <row r="89" customFormat="false" ht="21" hidden="false" customHeight="true" outlineLevel="0" collapsed="false">
      <c r="A89" s="91" t="str">
        <f aca="false">IF(名簿!$D89="","",名簿!$B89&amp;"")</f>
        <v/>
      </c>
      <c r="B89" s="91" t="str">
        <f aca="false">IF(名簿!$D89="","",名簿!$C89)</f>
        <v/>
      </c>
      <c r="C89" s="59" t="str">
        <f aca="false">IF(名簿!$D89="","",名簿!$D89&amp;IF(名簿!$F89="転出","（転出）",""))</f>
        <v/>
      </c>
      <c r="D89" s="149"/>
      <c r="E89" s="61" t="str">
        <f aca="false">IF(OR($C89="",名簿!$F89="転出"),"",IF($C$2="学級ごと",$A89,IF($C$2="前の単元と同じ",単元17!$E89&amp;"",$D89&amp;"")))</f>
        <v/>
      </c>
      <c r="F89" s="150"/>
      <c r="G89" s="150"/>
      <c r="H89" s="150"/>
      <c r="I89" s="151"/>
      <c r="J89" s="41" t="str">
        <f aca="false">IF($E89="","",$E89&amp;"|"&amp;COUNTIF($E$5:$E89,$E89))</f>
        <v/>
      </c>
      <c r="K89" s="40" t="str">
        <f aca="false">IF($I89="","",LEN($I89))</f>
        <v/>
      </c>
      <c r="L89" s="13"/>
      <c r="M89" s="13"/>
      <c r="N89" s="13"/>
      <c r="O89" s="13"/>
      <c r="P89" s="152"/>
      <c r="Q89" s="149"/>
      <c r="R89" s="152"/>
      <c r="S89" s="152"/>
      <c r="T89" s="62" t="str">
        <f aca="false">IF(OR($C89="",R89=""),"",IF(R89/IF($R$2="",100,$R$2)&gt;=設定!$I$28,設定!$G$8,IF(R89/IF($R$2="",100,$R$2)&lt;設定!$I$29,設定!$G$10,設定!$G$9)))</f>
        <v/>
      </c>
      <c r="U89" s="62" t="str">
        <f aca="false">IF(OR($C89="",S89=""),"",IF(S89/IF($S$2="",100,$S$2)&gt;=設定!$I$28,設定!$G$8,IF(S89/IF($S$2="",100,$S$2)&lt;設定!$I$29,設定!$G$10,設定!$G$9)))</f>
        <v/>
      </c>
    </row>
    <row r="90" customFormat="false" ht="21" hidden="false" customHeight="true" outlineLevel="0" collapsed="false">
      <c r="A90" s="91" t="str">
        <f aca="false">IF(名簿!$D90="","",名簿!$B90&amp;"")</f>
        <v/>
      </c>
      <c r="B90" s="91" t="str">
        <f aca="false">IF(名簿!$D90="","",名簿!$C90)</f>
        <v/>
      </c>
      <c r="C90" s="59" t="str">
        <f aca="false">IF(名簿!$D90="","",名簿!$D90&amp;IF(名簿!$F90="転出","（転出）",""))</f>
        <v/>
      </c>
      <c r="D90" s="149"/>
      <c r="E90" s="61" t="str">
        <f aca="false">IF(OR($C90="",名簿!$F90="転出"),"",IF($C$2="学級ごと",$A90,IF($C$2="前の単元と同じ",単元17!$E90&amp;"",$D90&amp;"")))</f>
        <v/>
      </c>
      <c r="F90" s="150"/>
      <c r="G90" s="150"/>
      <c r="H90" s="150"/>
      <c r="I90" s="151"/>
      <c r="J90" s="41" t="str">
        <f aca="false">IF($E90="","",$E90&amp;"|"&amp;COUNTIF($E$5:$E90,$E90))</f>
        <v/>
      </c>
      <c r="K90" s="40" t="str">
        <f aca="false">IF($I90="","",LEN($I90))</f>
        <v/>
      </c>
      <c r="L90" s="13"/>
      <c r="M90" s="13"/>
      <c r="N90" s="13"/>
      <c r="O90" s="13"/>
      <c r="P90" s="152"/>
      <c r="Q90" s="149"/>
      <c r="R90" s="152"/>
      <c r="S90" s="152"/>
      <c r="T90" s="62" t="str">
        <f aca="false">IF(OR($C90="",R90=""),"",IF(R90/IF($R$2="",100,$R$2)&gt;=設定!$I$28,設定!$G$8,IF(R90/IF($R$2="",100,$R$2)&lt;設定!$I$29,設定!$G$10,設定!$G$9)))</f>
        <v/>
      </c>
      <c r="U90" s="62" t="str">
        <f aca="false">IF(OR($C90="",S90=""),"",IF(S90/IF($S$2="",100,$S$2)&gt;=設定!$I$28,設定!$G$8,IF(S90/IF($S$2="",100,$S$2)&lt;設定!$I$29,設定!$G$10,設定!$G$9)))</f>
        <v/>
      </c>
    </row>
    <row r="91" customFormat="false" ht="21" hidden="false" customHeight="true" outlineLevel="0" collapsed="false">
      <c r="A91" s="91" t="str">
        <f aca="false">IF(名簿!$D91="","",名簿!$B91&amp;"")</f>
        <v/>
      </c>
      <c r="B91" s="91" t="str">
        <f aca="false">IF(名簿!$D91="","",名簿!$C91)</f>
        <v/>
      </c>
      <c r="C91" s="59" t="str">
        <f aca="false">IF(名簿!$D91="","",名簿!$D91&amp;IF(名簿!$F91="転出","（転出）",""))</f>
        <v/>
      </c>
      <c r="D91" s="149"/>
      <c r="E91" s="61" t="str">
        <f aca="false">IF(OR($C91="",名簿!$F91="転出"),"",IF($C$2="学級ごと",$A91,IF($C$2="前の単元と同じ",単元17!$E91&amp;"",$D91&amp;"")))</f>
        <v/>
      </c>
      <c r="F91" s="150"/>
      <c r="G91" s="150"/>
      <c r="H91" s="150"/>
      <c r="I91" s="151"/>
      <c r="J91" s="41" t="str">
        <f aca="false">IF($E91="","",$E91&amp;"|"&amp;COUNTIF($E$5:$E91,$E91))</f>
        <v/>
      </c>
      <c r="K91" s="40" t="str">
        <f aca="false">IF($I91="","",LEN($I91))</f>
        <v/>
      </c>
      <c r="L91" s="13"/>
      <c r="M91" s="13"/>
      <c r="N91" s="13"/>
      <c r="O91" s="13"/>
      <c r="P91" s="152"/>
      <c r="Q91" s="149"/>
      <c r="R91" s="152"/>
      <c r="S91" s="152"/>
      <c r="T91" s="62" t="str">
        <f aca="false">IF(OR($C91="",R91=""),"",IF(R91/IF($R$2="",100,$R$2)&gt;=設定!$I$28,設定!$G$8,IF(R91/IF($R$2="",100,$R$2)&lt;設定!$I$29,設定!$G$10,設定!$G$9)))</f>
        <v/>
      </c>
      <c r="U91" s="62" t="str">
        <f aca="false">IF(OR($C91="",S91=""),"",IF(S91/IF($S$2="",100,$S$2)&gt;=設定!$I$28,設定!$G$8,IF(S91/IF($S$2="",100,$S$2)&lt;設定!$I$29,設定!$G$10,設定!$G$9)))</f>
        <v/>
      </c>
    </row>
    <row r="92" customFormat="false" ht="21" hidden="false" customHeight="true" outlineLevel="0" collapsed="false">
      <c r="A92" s="91" t="str">
        <f aca="false">IF(名簿!$D92="","",名簿!$B92&amp;"")</f>
        <v/>
      </c>
      <c r="B92" s="91" t="str">
        <f aca="false">IF(名簿!$D92="","",名簿!$C92)</f>
        <v/>
      </c>
      <c r="C92" s="59" t="str">
        <f aca="false">IF(名簿!$D92="","",名簿!$D92&amp;IF(名簿!$F92="転出","（転出）",""))</f>
        <v/>
      </c>
      <c r="D92" s="149"/>
      <c r="E92" s="61" t="str">
        <f aca="false">IF(OR($C92="",名簿!$F92="転出"),"",IF($C$2="学級ごと",$A92,IF($C$2="前の単元と同じ",単元17!$E92&amp;"",$D92&amp;"")))</f>
        <v/>
      </c>
      <c r="F92" s="150"/>
      <c r="G92" s="150"/>
      <c r="H92" s="150"/>
      <c r="I92" s="151"/>
      <c r="J92" s="41" t="str">
        <f aca="false">IF($E92="","",$E92&amp;"|"&amp;COUNTIF($E$5:$E92,$E92))</f>
        <v/>
      </c>
      <c r="K92" s="40" t="str">
        <f aca="false">IF($I92="","",LEN($I92))</f>
        <v/>
      </c>
      <c r="L92" s="13"/>
      <c r="M92" s="13"/>
      <c r="N92" s="13"/>
      <c r="O92" s="13"/>
      <c r="P92" s="152"/>
      <c r="Q92" s="149"/>
      <c r="R92" s="152"/>
      <c r="S92" s="152"/>
      <c r="T92" s="62" t="str">
        <f aca="false">IF(OR($C92="",R92=""),"",IF(R92/IF($R$2="",100,$R$2)&gt;=設定!$I$28,設定!$G$8,IF(R92/IF($R$2="",100,$R$2)&lt;設定!$I$29,設定!$G$10,設定!$G$9)))</f>
        <v/>
      </c>
      <c r="U92" s="62" t="str">
        <f aca="false">IF(OR($C92="",S92=""),"",IF(S92/IF($S$2="",100,$S$2)&gt;=設定!$I$28,設定!$G$8,IF(S92/IF($S$2="",100,$S$2)&lt;設定!$I$29,設定!$G$10,設定!$G$9)))</f>
        <v/>
      </c>
    </row>
    <row r="93" customFormat="false" ht="21" hidden="false" customHeight="true" outlineLevel="0" collapsed="false">
      <c r="A93" s="91" t="str">
        <f aca="false">IF(名簿!$D93="","",名簿!$B93&amp;"")</f>
        <v/>
      </c>
      <c r="B93" s="91" t="str">
        <f aca="false">IF(名簿!$D93="","",名簿!$C93)</f>
        <v/>
      </c>
      <c r="C93" s="59" t="str">
        <f aca="false">IF(名簿!$D93="","",名簿!$D93&amp;IF(名簿!$F93="転出","（転出）",""))</f>
        <v/>
      </c>
      <c r="D93" s="149"/>
      <c r="E93" s="61" t="str">
        <f aca="false">IF(OR($C93="",名簿!$F93="転出"),"",IF($C$2="学級ごと",$A93,IF($C$2="前の単元と同じ",単元17!$E93&amp;"",$D93&amp;"")))</f>
        <v/>
      </c>
      <c r="F93" s="150"/>
      <c r="G93" s="150"/>
      <c r="H93" s="150"/>
      <c r="I93" s="151"/>
      <c r="J93" s="41" t="str">
        <f aca="false">IF($E93="","",$E93&amp;"|"&amp;COUNTIF($E$5:$E93,$E93))</f>
        <v/>
      </c>
      <c r="K93" s="40" t="str">
        <f aca="false">IF($I93="","",LEN($I93))</f>
        <v/>
      </c>
      <c r="L93" s="13"/>
      <c r="M93" s="13"/>
      <c r="N93" s="13"/>
      <c r="O93" s="13"/>
      <c r="P93" s="152"/>
      <c r="Q93" s="149"/>
      <c r="R93" s="152"/>
      <c r="S93" s="152"/>
      <c r="T93" s="62" t="str">
        <f aca="false">IF(OR($C93="",R93=""),"",IF(R93/IF($R$2="",100,$R$2)&gt;=設定!$I$28,設定!$G$8,IF(R93/IF($R$2="",100,$R$2)&lt;設定!$I$29,設定!$G$10,設定!$G$9)))</f>
        <v/>
      </c>
      <c r="U93" s="62" t="str">
        <f aca="false">IF(OR($C93="",S93=""),"",IF(S93/IF($S$2="",100,$S$2)&gt;=設定!$I$28,設定!$G$8,IF(S93/IF($S$2="",100,$S$2)&lt;設定!$I$29,設定!$G$10,設定!$G$9)))</f>
        <v/>
      </c>
    </row>
    <row r="94" customFormat="false" ht="21" hidden="false" customHeight="true" outlineLevel="0" collapsed="false">
      <c r="A94" s="91" t="str">
        <f aca="false">IF(名簿!$D94="","",名簿!$B94&amp;"")</f>
        <v/>
      </c>
      <c r="B94" s="91" t="str">
        <f aca="false">IF(名簿!$D94="","",名簿!$C94)</f>
        <v/>
      </c>
      <c r="C94" s="59" t="str">
        <f aca="false">IF(名簿!$D94="","",名簿!$D94&amp;IF(名簿!$F94="転出","（転出）",""))</f>
        <v/>
      </c>
      <c r="D94" s="149"/>
      <c r="E94" s="61" t="str">
        <f aca="false">IF(OR($C94="",名簿!$F94="転出"),"",IF($C$2="学級ごと",$A94,IF($C$2="前の単元と同じ",単元17!$E94&amp;"",$D94&amp;"")))</f>
        <v/>
      </c>
      <c r="F94" s="150"/>
      <c r="G94" s="150"/>
      <c r="H94" s="150"/>
      <c r="I94" s="151"/>
      <c r="J94" s="41" t="str">
        <f aca="false">IF($E94="","",$E94&amp;"|"&amp;COUNTIF($E$5:$E94,$E94))</f>
        <v/>
      </c>
      <c r="K94" s="40" t="str">
        <f aca="false">IF($I94="","",LEN($I94))</f>
        <v/>
      </c>
      <c r="L94" s="13"/>
      <c r="M94" s="13"/>
      <c r="N94" s="13"/>
      <c r="O94" s="13"/>
      <c r="P94" s="152"/>
      <c r="Q94" s="149"/>
      <c r="R94" s="152"/>
      <c r="S94" s="152"/>
      <c r="T94" s="62" t="str">
        <f aca="false">IF(OR($C94="",R94=""),"",IF(R94/IF($R$2="",100,$R$2)&gt;=設定!$I$28,設定!$G$8,IF(R94/IF($R$2="",100,$R$2)&lt;設定!$I$29,設定!$G$10,設定!$G$9)))</f>
        <v/>
      </c>
      <c r="U94" s="62" t="str">
        <f aca="false">IF(OR($C94="",S94=""),"",IF(S94/IF($S$2="",100,$S$2)&gt;=設定!$I$28,設定!$G$8,IF(S94/IF($S$2="",100,$S$2)&lt;設定!$I$29,設定!$G$10,設定!$G$9)))</f>
        <v/>
      </c>
    </row>
    <row r="95" customFormat="false" ht="21" hidden="false" customHeight="true" outlineLevel="0" collapsed="false">
      <c r="A95" s="91" t="str">
        <f aca="false">IF(名簿!$D95="","",名簿!$B95&amp;"")</f>
        <v/>
      </c>
      <c r="B95" s="91" t="str">
        <f aca="false">IF(名簿!$D95="","",名簿!$C95)</f>
        <v/>
      </c>
      <c r="C95" s="59" t="str">
        <f aca="false">IF(名簿!$D95="","",名簿!$D95&amp;IF(名簿!$F95="転出","（転出）",""))</f>
        <v/>
      </c>
      <c r="D95" s="149"/>
      <c r="E95" s="61" t="str">
        <f aca="false">IF(OR($C95="",名簿!$F95="転出"),"",IF($C$2="学級ごと",$A95,IF($C$2="前の単元と同じ",単元17!$E95&amp;"",$D95&amp;"")))</f>
        <v/>
      </c>
      <c r="F95" s="150"/>
      <c r="G95" s="150"/>
      <c r="H95" s="150"/>
      <c r="I95" s="151"/>
      <c r="J95" s="41" t="str">
        <f aca="false">IF($E95="","",$E95&amp;"|"&amp;COUNTIF($E$5:$E95,$E95))</f>
        <v/>
      </c>
      <c r="K95" s="40" t="str">
        <f aca="false">IF($I95="","",LEN($I95))</f>
        <v/>
      </c>
      <c r="L95" s="13"/>
      <c r="M95" s="13"/>
      <c r="N95" s="13"/>
      <c r="O95" s="13"/>
      <c r="P95" s="152"/>
      <c r="Q95" s="149"/>
      <c r="R95" s="152"/>
      <c r="S95" s="152"/>
      <c r="T95" s="62" t="str">
        <f aca="false">IF(OR($C95="",R95=""),"",IF(R95/IF($R$2="",100,$R$2)&gt;=設定!$I$28,設定!$G$8,IF(R95/IF($R$2="",100,$R$2)&lt;設定!$I$29,設定!$G$10,設定!$G$9)))</f>
        <v/>
      </c>
      <c r="U95" s="62" t="str">
        <f aca="false">IF(OR($C95="",S95=""),"",IF(S95/IF($S$2="",100,$S$2)&gt;=設定!$I$28,設定!$G$8,IF(S95/IF($S$2="",100,$S$2)&lt;設定!$I$29,設定!$G$10,設定!$G$9)))</f>
        <v/>
      </c>
    </row>
    <row r="96" customFormat="false" ht="21" hidden="false" customHeight="true" outlineLevel="0" collapsed="false">
      <c r="A96" s="91" t="str">
        <f aca="false">IF(名簿!$D96="","",名簿!$B96&amp;"")</f>
        <v/>
      </c>
      <c r="B96" s="91" t="str">
        <f aca="false">IF(名簿!$D96="","",名簿!$C96)</f>
        <v/>
      </c>
      <c r="C96" s="59" t="str">
        <f aca="false">IF(名簿!$D96="","",名簿!$D96&amp;IF(名簿!$F96="転出","（転出）",""))</f>
        <v/>
      </c>
      <c r="D96" s="149"/>
      <c r="E96" s="61" t="str">
        <f aca="false">IF(OR($C96="",名簿!$F96="転出"),"",IF($C$2="学級ごと",$A96,IF($C$2="前の単元と同じ",単元17!$E96&amp;"",$D96&amp;"")))</f>
        <v/>
      </c>
      <c r="F96" s="150"/>
      <c r="G96" s="150"/>
      <c r="H96" s="150"/>
      <c r="I96" s="151"/>
      <c r="J96" s="41" t="str">
        <f aca="false">IF($E96="","",$E96&amp;"|"&amp;COUNTIF($E$5:$E96,$E96))</f>
        <v/>
      </c>
      <c r="K96" s="40" t="str">
        <f aca="false">IF($I96="","",LEN($I96))</f>
        <v/>
      </c>
      <c r="L96" s="13"/>
      <c r="M96" s="13"/>
      <c r="N96" s="13"/>
      <c r="O96" s="13"/>
      <c r="P96" s="152"/>
      <c r="Q96" s="149"/>
      <c r="R96" s="152"/>
      <c r="S96" s="152"/>
      <c r="T96" s="62" t="str">
        <f aca="false">IF(OR($C96="",R96=""),"",IF(R96/IF($R$2="",100,$R$2)&gt;=設定!$I$28,設定!$G$8,IF(R96/IF($R$2="",100,$R$2)&lt;設定!$I$29,設定!$G$10,設定!$G$9)))</f>
        <v/>
      </c>
      <c r="U96" s="62" t="str">
        <f aca="false">IF(OR($C96="",S96=""),"",IF(S96/IF($S$2="",100,$S$2)&gt;=設定!$I$28,設定!$G$8,IF(S96/IF($S$2="",100,$S$2)&lt;設定!$I$29,設定!$G$10,設定!$G$9)))</f>
        <v/>
      </c>
    </row>
    <row r="97" customFormat="false" ht="21" hidden="false" customHeight="true" outlineLevel="0" collapsed="false">
      <c r="A97" s="91" t="str">
        <f aca="false">IF(名簿!$D97="","",名簿!$B97&amp;"")</f>
        <v/>
      </c>
      <c r="B97" s="91" t="str">
        <f aca="false">IF(名簿!$D97="","",名簿!$C97)</f>
        <v/>
      </c>
      <c r="C97" s="59" t="str">
        <f aca="false">IF(名簿!$D97="","",名簿!$D97&amp;IF(名簿!$F97="転出","（転出）",""))</f>
        <v/>
      </c>
      <c r="D97" s="149"/>
      <c r="E97" s="61" t="str">
        <f aca="false">IF(OR($C97="",名簿!$F97="転出"),"",IF($C$2="学級ごと",$A97,IF($C$2="前の単元と同じ",単元17!$E97&amp;"",$D97&amp;"")))</f>
        <v/>
      </c>
      <c r="F97" s="150"/>
      <c r="G97" s="150"/>
      <c r="H97" s="150"/>
      <c r="I97" s="151"/>
      <c r="J97" s="41" t="str">
        <f aca="false">IF($E97="","",$E97&amp;"|"&amp;COUNTIF($E$5:$E97,$E97))</f>
        <v/>
      </c>
      <c r="K97" s="40" t="str">
        <f aca="false">IF($I97="","",LEN($I97))</f>
        <v/>
      </c>
      <c r="L97" s="13"/>
      <c r="M97" s="13"/>
      <c r="N97" s="13"/>
      <c r="O97" s="13"/>
      <c r="P97" s="152"/>
      <c r="Q97" s="149"/>
      <c r="R97" s="152"/>
      <c r="S97" s="152"/>
      <c r="T97" s="62" t="str">
        <f aca="false">IF(OR($C97="",R97=""),"",IF(R97/IF($R$2="",100,$R$2)&gt;=設定!$I$28,設定!$G$8,IF(R97/IF($R$2="",100,$R$2)&lt;設定!$I$29,設定!$G$10,設定!$G$9)))</f>
        <v/>
      </c>
      <c r="U97" s="62" t="str">
        <f aca="false">IF(OR($C97="",S97=""),"",IF(S97/IF($S$2="",100,$S$2)&gt;=設定!$I$28,設定!$G$8,IF(S97/IF($S$2="",100,$S$2)&lt;設定!$I$29,設定!$G$10,設定!$G$9)))</f>
        <v/>
      </c>
    </row>
    <row r="98" customFormat="false" ht="21" hidden="false" customHeight="true" outlineLevel="0" collapsed="false">
      <c r="A98" s="91" t="str">
        <f aca="false">IF(名簿!$D98="","",名簿!$B98&amp;"")</f>
        <v/>
      </c>
      <c r="B98" s="91" t="str">
        <f aca="false">IF(名簿!$D98="","",名簿!$C98)</f>
        <v/>
      </c>
      <c r="C98" s="59" t="str">
        <f aca="false">IF(名簿!$D98="","",名簿!$D98&amp;IF(名簿!$F98="転出","（転出）",""))</f>
        <v/>
      </c>
      <c r="D98" s="149"/>
      <c r="E98" s="61" t="str">
        <f aca="false">IF(OR($C98="",名簿!$F98="転出"),"",IF($C$2="学級ごと",$A98,IF($C$2="前の単元と同じ",単元17!$E98&amp;"",$D98&amp;"")))</f>
        <v/>
      </c>
      <c r="F98" s="150"/>
      <c r="G98" s="150"/>
      <c r="H98" s="150"/>
      <c r="I98" s="151"/>
      <c r="J98" s="41" t="str">
        <f aca="false">IF($E98="","",$E98&amp;"|"&amp;COUNTIF($E$5:$E98,$E98))</f>
        <v/>
      </c>
      <c r="K98" s="40" t="str">
        <f aca="false">IF($I98="","",LEN($I98))</f>
        <v/>
      </c>
      <c r="L98" s="13"/>
      <c r="M98" s="13"/>
      <c r="N98" s="13"/>
      <c r="O98" s="13"/>
      <c r="P98" s="152"/>
      <c r="Q98" s="149"/>
      <c r="R98" s="152"/>
      <c r="S98" s="152"/>
      <c r="T98" s="62" t="str">
        <f aca="false">IF(OR($C98="",R98=""),"",IF(R98/IF($R$2="",100,$R$2)&gt;=設定!$I$28,設定!$G$8,IF(R98/IF($R$2="",100,$R$2)&lt;設定!$I$29,設定!$G$10,設定!$G$9)))</f>
        <v/>
      </c>
      <c r="U98" s="62" t="str">
        <f aca="false">IF(OR($C98="",S98=""),"",IF(S98/IF($S$2="",100,$S$2)&gt;=設定!$I$28,設定!$G$8,IF(S98/IF($S$2="",100,$S$2)&lt;設定!$I$29,設定!$G$10,設定!$G$9)))</f>
        <v/>
      </c>
    </row>
    <row r="99" customFormat="false" ht="21" hidden="false" customHeight="true" outlineLevel="0" collapsed="false">
      <c r="A99" s="91" t="str">
        <f aca="false">IF(名簿!$D99="","",名簿!$B99&amp;"")</f>
        <v/>
      </c>
      <c r="B99" s="91" t="str">
        <f aca="false">IF(名簿!$D99="","",名簿!$C99)</f>
        <v/>
      </c>
      <c r="C99" s="59" t="str">
        <f aca="false">IF(名簿!$D99="","",名簿!$D99&amp;IF(名簿!$F99="転出","（転出）",""))</f>
        <v/>
      </c>
      <c r="D99" s="149"/>
      <c r="E99" s="61" t="str">
        <f aca="false">IF(OR($C99="",名簿!$F99="転出"),"",IF($C$2="学級ごと",$A99,IF($C$2="前の単元と同じ",単元17!$E99&amp;"",$D99&amp;"")))</f>
        <v/>
      </c>
      <c r="F99" s="150"/>
      <c r="G99" s="150"/>
      <c r="H99" s="150"/>
      <c r="I99" s="151"/>
      <c r="J99" s="41" t="str">
        <f aca="false">IF($E99="","",$E99&amp;"|"&amp;COUNTIF($E$5:$E99,$E99))</f>
        <v/>
      </c>
      <c r="K99" s="40" t="str">
        <f aca="false">IF($I99="","",LEN($I99))</f>
        <v/>
      </c>
      <c r="L99" s="13"/>
      <c r="M99" s="13"/>
      <c r="N99" s="13"/>
      <c r="O99" s="13"/>
      <c r="P99" s="152"/>
      <c r="Q99" s="149"/>
      <c r="R99" s="152"/>
      <c r="S99" s="152"/>
      <c r="T99" s="62" t="str">
        <f aca="false">IF(OR($C99="",R99=""),"",IF(R99/IF($R$2="",100,$R$2)&gt;=設定!$I$28,設定!$G$8,IF(R99/IF($R$2="",100,$R$2)&lt;設定!$I$29,設定!$G$10,設定!$G$9)))</f>
        <v/>
      </c>
      <c r="U99" s="62" t="str">
        <f aca="false">IF(OR($C99="",S99=""),"",IF(S99/IF($S$2="",100,$S$2)&gt;=設定!$I$28,設定!$G$8,IF(S99/IF($S$2="",100,$S$2)&lt;設定!$I$29,設定!$G$10,設定!$G$9)))</f>
        <v/>
      </c>
    </row>
    <row r="100" customFormat="false" ht="21" hidden="false" customHeight="true" outlineLevel="0" collapsed="false">
      <c r="A100" s="91" t="str">
        <f aca="false">IF(名簿!$D100="","",名簿!$B100&amp;"")</f>
        <v/>
      </c>
      <c r="B100" s="91" t="str">
        <f aca="false">IF(名簿!$D100="","",名簿!$C100)</f>
        <v/>
      </c>
      <c r="C100" s="59" t="str">
        <f aca="false">IF(名簿!$D100="","",名簿!$D100&amp;IF(名簿!$F100="転出","（転出）",""))</f>
        <v/>
      </c>
      <c r="D100" s="149"/>
      <c r="E100" s="61" t="str">
        <f aca="false">IF(OR($C100="",名簿!$F100="転出"),"",IF($C$2="学級ごと",$A100,IF($C$2="前の単元と同じ",単元17!$E100&amp;"",$D100&amp;"")))</f>
        <v/>
      </c>
      <c r="F100" s="150"/>
      <c r="G100" s="150"/>
      <c r="H100" s="150"/>
      <c r="I100" s="151"/>
      <c r="J100" s="41" t="str">
        <f aca="false">IF($E100="","",$E100&amp;"|"&amp;COUNTIF($E$5:$E100,$E100))</f>
        <v/>
      </c>
      <c r="K100" s="40" t="str">
        <f aca="false">IF($I100="","",LEN($I100))</f>
        <v/>
      </c>
      <c r="L100" s="13"/>
      <c r="M100" s="13"/>
      <c r="N100" s="13"/>
      <c r="O100" s="13"/>
      <c r="P100" s="152"/>
      <c r="Q100" s="149"/>
      <c r="R100" s="152"/>
      <c r="S100" s="152"/>
      <c r="T100" s="62" t="str">
        <f aca="false">IF(OR($C100="",R100=""),"",IF(R100/IF($R$2="",100,$R$2)&gt;=設定!$I$28,設定!$G$8,IF(R100/IF($R$2="",100,$R$2)&lt;設定!$I$29,設定!$G$10,設定!$G$9)))</f>
        <v/>
      </c>
      <c r="U100" s="62" t="str">
        <f aca="false">IF(OR($C100="",S100=""),"",IF(S100/IF($S$2="",100,$S$2)&gt;=設定!$I$28,設定!$G$8,IF(S100/IF($S$2="",100,$S$2)&lt;設定!$I$29,設定!$G$10,設定!$G$9)))</f>
        <v/>
      </c>
    </row>
    <row r="101" customFormat="false" ht="21" hidden="false" customHeight="true" outlineLevel="0" collapsed="false">
      <c r="A101" s="91" t="str">
        <f aca="false">IF(名簿!$D101="","",名簿!$B101&amp;"")</f>
        <v/>
      </c>
      <c r="B101" s="91" t="str">
        <f aca="false">IF(名簿!$D101="","",名簿!$C101)</f>
        <v/>
      </c>
      <c r="C101" s="59" t="str">
        <f aca="false">IF(名簿!$D101="","",名簿!$D101&amp;IF(名簿!$F101="転出","（転出）",""))</f>
        <v/>
      </c>
      <c r="D101" s="149"/>
      <c r="E101" s="61" t="str">
        <f aca="false">IF(OR($C101="",名簿!$F101="転出"),"",IF($C$2="学級ごと",$A101,IF($C$2="前の単元と同じ",単元17!$E101&amp;"",$D101&amp;"")))</f>
        <v/>
      </c>
      <c r="F101" s="150"/>
      <c r="G101" s="150"/>
      <c r="H101" s="150"/>
      <c r="I101" s="151"/>
      <c r="J101" s="41" t="str">
        <f aca="false">IF($E101="","",$E101&amp;"|"&amp;COUNTIF($E$5:$E101,$E101))</f>
        <v/>
      </c>
      <c r="K101" s="40" t="str">
        <f aca="false">IF($I101="","",LEN($I101))</f>
        <v/>
      </c>
      <c r="L101" s="13"/>
      <c r="M101" s="13"/>
      <c r="N101" s="13"/>
      <c r="O101" s="13"/>
      <c r="P101" s="152"/>
      <c r="Q101" s="149"/>
      <c r="R101" s="152"/>
      <c r="S101" s="152"/>
      <c r="T101" s="62" t="str">
        <f aca="false">IF(OR($C101="",R101=""),"",IF(R101/IF($R$2="",100,$R$2)&gt;=設定!$I$28,設定!$G$8,IF(R101/IF($R$2="",100,$R$2)&lt;設定!$I$29,設定!$G$10,設定!$G$9)))</f>
        <v/>
      </c>
      <c r="U101" s="62" t="str">
        <f aca="false">IF(OR($C101="",S101=""),"",IF(S101/IF($S$2="",100,$S$2)&gt;=設定!$I$28,設定!$G$8,IF(S101/IF($S$2="",100,$S$2)&lt;設定!$I$29,設定!$G$10,設定!$G$9)))</f>
        <v/>
      </c>
    </row>
    <row r="102" customFormat="false" ht="21" hidden="false" customHeight="true" outlineLevel="0" collapsed="false">
      <c r="A102" s="91" t="str">
        <f aca="false">IF(名簿!$D102="","",名簿!$B102&amp;"")</f>
        <v/>
      </c>
      <c r="B102" s="91" t="str">
        <f aca="false">IF(名簿!$D102="","",名簿!$C102)</f>
        <v/>
      </c>
      <c r="C102" s="59" t="str">
        <f aca="false">IF(名簿!$D102="","",名簿!$D102&amp;IF(名簿!$F102="転出","（転出）",""))</f>
        <v/>
      </c>
      <c r="D102" s="149"/>
      <c r="E102" s="61" t="str">
        <f aca="false">IF(OR($C102="",名簿!$F102="転出"),"",IF($C$2="学級ごと",$A102,IF($C$2="前の単元と同じ",単元17!$E102&amp;"",$D102&amp;"")))</f>
        <v/>
      </c>
      <c r="F102" s="150"/>
      <c r="G102" s="150"/>
      <c r="H102" s="150"/>
      <c r="I102" s="151"/>
      <c r="J102" s="41" t="str">
        <f aca="false">IF($E102="","",$E102&amp;"|"&amp;COUNTIF($E$5:$E102,$E102))</f>
        <v/>
      </c>
      <c r="K102" s="40" t="str">
        <f aca="false">IF($I102="","",LEN($I102))</f>
        <v/>
      </c>
      <c r="L102" s="13"/>
      <c r="M102" s="13"/>
      <c r="N102" s="13"/>
      <c r="O102" s="13"/>
      <c r="P102" s="152"/>
      <c r="Q102" s="149"/>
      <c r="R102" s="152"/>
      <c r="S102" s="152"/>
      <c r="T102" s="62" t="str">
        <f aca="false">IF(OR($C102="",R102=""),"",IF(R102/IF($R$2="",100,$R$2)&gt;=設定!$I$28,設定!$G$8,IF(R102/IF($R$2="",100,$R$2)&lt;設定!$I$29,設定!$G$10,設定!$G$9)))</f>
        <v/>
      </c>
      <c r="U102" s="62" t="str">
        <f aca="false">IF(OR($C102="",S102=""),"",IF(S102/IF($S$2="",100,$S$2)&gt;=設定!$I$28,設定!$G$8,IF(S102/IF($S$2="",100,$S$2)&lt;設定!$I$29,設定!$G$10,設定!$G$9)))</f>
        <v/>
      </c>
    </row>
    <row r="103" customFormat="false" ht="21" hidden="false" customHeight="true" outlineLevel="0" collapsed="false">
      <c r="A103" s="91" t="str">
        <f aca="false">IF(名簿!$D103="","",名簿!$B103&amp;"")</f>
        <v/>
      </c>
      <c r="B103" s="91" t="str">
        <f aca="false">IF(名簿!$D103="","",名簿!$C103)</f>
        <v/>
      </c>
      <c r="C103" s="59" t="str">
        <f aca="false">IF(名簿!$D103="","",名簿!$D103&amp;IF(名簿!$F103="転出","（転出）",""))</f>
        <v/>
      </c>
      <c r="D103" s="149"/>
      <c r="E103" s="61" t="str">
        <f aca="false">IF(OR($C103="",名簿!$F103="転出"),"",IF($C$2="学級ごと",$A103,IF($C$2="前の単元と同じ",単元17!$E103&amp;"",$D103&amp;"")))</f>
        <v/>
      </c>
      <c r="F103" s="150"/>
      <c r="G103" s="150"/>
      <c r="H103" s="150"/>
      <c r="I103" s="151"/>
      <c r="J103" s="41" t="str">
        <f aca="false">IF($E103="","",$E103&amp;"|"&amp;COUNTIF($E$5:$E103,$E103))</f>
        <v/>
      </c>
      <c r="K103" s="40" t="str">
        <f aca="false">IF($I103="","",LEN($I103))</f>
        <v/>
      </c>
      <c r="L103" s="13"/>
      <c r="M103" s="13"/>
      <c r="N103" s="13"/>
      <c r="O103" s="13"/>
      <c r="P103" s="152"/>
      <c r="Q103" s="149"/>
      <c r="R103" s="152"/>
      <c r="S103" s="152"/>
      <c r="T103" s="62" t="str">
        <f aca="false">IF(OR($C103="",R103=""),"",IF(R103/IF($R$2="",100,$R$2)&gt;=設定!$I$28,設定!$G$8,IF(R103/IF($R$2="",100,$R$2)&lt;設定!$I$29,設定!$G$10,設定!$G$9)))</f>
        <v/>
      </c>
      <c r="U103" s="62" t="str">
        <f aca="false">IF(OR($C103="",S103=""),"",IF(S103/IF($S$2="",100,$S$2)&gt;=設定!$I$28,設定!$G$8,IF(S103/IF($S$2="",100,$S$2)&lt;設定!$I$29,設定!$G$10,設定!$G$9)))</f>
        <v/>
      </c>
    </row>
    <row r="104" customFormat="false" ht="21" hidden="false" customHeight="true" outlineLevel="0" collapsed="false">
      <c r="A104" s="91" t="str">
        <f aca="false">IF(名簿!$D104="","",名簿!$B104&amp;"")</f>
        <v/>
      </c>
      <c r="B104" s="91" t="str">
        <f aca="false">IF(名簿!$D104="","",名簿!$C104)</f>
        <v/>
      </c>
      <c r="C104" s="59" t="str">
        <f aca="false">IF(名簿!$D104="","",名簿!$D104&amp;IF(名簿!$F104="転出","（転出）",""))</f>
        <v/>
      </c>
      <c r="D104" s="149"/>
      <c r="E104" s="61" t="str">
        <f aca="false">IF(OR($C104="",名簿!$F104="転出"),"",IF($C$2="学級ごと",$A104,IF($C$2="前の単元と同じ",単元17!$E104&amp;"",$D104&amp;"")))</f>
        <v/>
      </c>
      <c r="F104" s="150"/>
      <c r="G104" s="150"/>
      <c r="H104" s="150"/>
      <c r="I104" s="151"/>
      <c r="J104" s="41" t="str">
        <f aca="false">IF($E104="","",$E104&amp;"|"&amp;COUNTIF($E$5:$E104,$E104))</f>
        <v/>
      </c>
      <c r="K104" s="40" t="str">
        <f aca="false">IF($I104="","",LEN($I104))</f>
        <v/>
      </c>
      <c r="L104" s="13"/>
      <c r="M104" s="13"/>
      <c r="N104" s="13"/>
      <c r="O104" s="13"/>
      <c r="P104" s="152"/>
      <c r="Q104" s="149"/>
      <c r="R104" s="152"/>
      <c r="S104" s="152"/>
      <c r="T104" s="62" t="str">
        <f aca="false">IF(OR($C104="",R104=""),"",IF(R104/IF($R$2="",100,$R$2)&gt;=設定!$I$28,設定!$G$8,IF(R104/IF($R$2="",100,$R$2)&lt;設定!$I$29,設定!$G$10,設定!$G$9)))</f>
        <v/>
      </c>
      <c r="U104" s="62" t="str">
        <f aca="false">IF(OR($C104="",S104=""),"",IF(S104/IF($S$2="",100,$S$2)&gt;=設定!$I$28,設定!$G$8,IF(S104/IF($S$2="",100,$S$2)&lt;設定!$I$29,設定!$G$10,設定!$G$9)))</f>
        <v/>
      </c>
    </row>
    <row r="105" customFormat="false" ht="21" hidden="false" customHeight="true" outlineLevel="0" collapsed="false">
      <c r="A105" s="91" t="str">
        <f aca="false">IF(名簿!$D105="","",名簿!$B105&amp;"")</f>
        <v/>
      </c>
      <c r="B105" s="91" t="str">
        <f aca="false">IF(名簿!$D105="","",名簿!$C105)</f>
        <v/>
      </c>
      <c r="C105" s="59" t="str">
        <f aca="false">IF(名簿!$D105="","",名簿!$D105&amp;IF(名簿!$F105="転出","（転出）",""))</f>
        <v/>
      </c>
      <c r="D105" s="149"/>
      <c r="E105" s="61" t="str">
        <f aca="false">IF(OR($C105="",名簿!$F105="転出"),"",IF($C$2="学級ごと",$A105,IF($C$2="前の単元と同じ",単元17!$E105&amp;"",$D105&amp;"")))</f>
        <v/>
      </c>
      <c r="F105" s="150"/>
      <c r="G105" s="150"/>
      <c r="H105" s="150"/>
      <c r="I105" s="151"/>
      <c r="J105" s="41" t="str">
        <f aca="false">IF($E105="","",$E105&amp;"|"&amp;COUNTIF($E$5:$E105,$E105))</f>
        <v/>
      </c>
      <c r="K105" s="40" t="str">
        <f aca="false">IF($I105="","",LEN($I105))</f>
        <v/>
      </c>
      <c r="L105" s="13"/>
      <c r="M105" s="13"/>
      <c r="N105" s="13"/>
      <c r="O105" s="13"/>
      <c r="P105" s="152"/>
      <c r="Q105" s="149"/>
      <c r="R105" s="152"/>
      <c r="S105" s="152"/>
      <c r="T105" s="62" t="str">
        <f aca="false">IF(OR($C105="",R105=""),"",IF(R105/IF($R$2="",100,$R$2)&gt;=設定!$I$28,設定!$G$8,IF(R105/IF($R$2="",100,$R$2)&lt;設定!$I$29,設定!$G$10,設定!$G$9)))</f>
        <v/>
      </c>
      <c r="U105" s="62" t="str">
        <f aca="false">IF(OR($C105="",S105=""),"",IF(S105/IF($S$2="",100,$S$2)&gt;=設定!$I$28,設定!$G$8,IF(S105/IF($S$2="",100,$S$2)&lt;設定!$I$29,設定!$G$10,設定!$G$9)))</f>
        <v/>
      </c>
    </row>
    <row r="106" customFormat="false" ht="21" hidden="false" customHeight="true" outlineLevel="0" collapsed="false">
      <c r="A106" s="91" t="str">
        <f aca="false">IF(名簿!$D106="","",名簿!$B106&amp;"")</f>
        <v/>
      </c>
      <c r="B106" s="91" t="str">
        <f aca="false">IF(名簿!$D106="","",名簿!$C106)</f>
        <v/>
      </c>
      <c r="C106" s="59" t="str">
        <f aca="false">IF(名簿!$D106="","",名簿!$D106&amp;IF(名簿!$F106="転出","（転出）",""))</f>
        <v/>
      </c>
      <c r="D106" s="149"/>
      <c r="E106" s="61" t="str">
        <f aca="false">IF(OR($C106="",名簿!$F106="転出"),"",IF($C$2="学級ごと",$A106,IF($C$2="前の単元と同じ",単元17!$E106&amp;"",$D106&amp;"")))</f>
        <v/>
      </c>
      <c r="F106" s="150"/>
      <c r="G106" s="150"/>
      <c r="H106" s="150"/>
      <c r="I106" s="151"/>
      <c r="J106" s="41" t="str">
        <f aca="false">IF($E106="","",$E106&amp;"|"&amp;COUNTIF($E$5:$E106,$E106))</f>
        <v/>
      </c>
      <c r="K106" s="40" t="str">
        <f aca="false">IF($I106="","",LEN($I106))</f>
        <v/>
      </c>
      <c r="L106" s="13"/>
      <c r="M106" s="13"/>
      <c r="N106" s="13"/>
      <c r="O106" s="13"/>
      <c r="P106" s="152"/>
      <c r="Q106" s="149"/>
      <c r="R106" s="152"/>
      <c r="S106" s="152"/>
      <c r="T106" s="62" t="str">
        <f aca="false">IF(OR($C106="",R106=""),"",IF(R106/IF($R$2="",100,$R$2)&gt;=設定!$I$28,設定!$G$8,IF(R106/IF($R$2="",100,$R$2)&lt;設定!$I$29,設定!$G$10,設定!$G$9)))</f>
        <v/>
      </c>
      <c r="U106" s="62" t="str">
        <f aca="false">IF(OR($C106="",S106=""),"",IF(S106/IF($S$2="",100,$S$2)&gt;=設定!$I$28,設定!$G$8,IF(S106/IF($S$2="",100,$S$2)&lt;設定!$I$29,設定!$G$10,設定!$G$9)))</f>
        <v/>
      </c>
    </row>
    <row r="107" customFormat="false" ht="21" hidden="false" customHeight="true" outlineLevel="0" collapsed="false">
      <c r="A107" s="91" t="str">
        <f aca="false">IF(名簿!$D107="","",名簿!$B107&amp;"")</f>
        <v/>
      </c>
      <c r="B107" s="91" t="str">
        <f aca="false">IF(名簿!$D107="","",名簿!$C107)</f>
        <v/>
      </c>
      <c r="C107" s="59" t="str">
        <f aca="false">IF(名簿!$D107="","",名簿!$D107&amp;IF(名簿!$F107="転出","（転出）",""))</f>
        <v/>
      </c>
      <c r="D107" s="149"/>
      <c r="E107" s="61" t="str">
        <f aca="false">IF(OR($C107="",名簿!$F107="転出"),"",IF($C$2="学級ごと",$A107,IF($C$2="前の単元と同じ",単元17!$E107&amp;"",$D107&amp;"")))</f>
        <v/>
      </c>
      <c r="F107" s="150"/>
      <c r="G107" s="150"/>
      <c r="H107" s="150"/>
      <c r="I107" s="151"/>
      <c r="J107" s="41" t="str">
        <f aca="false">IF($E107="","",$E107&amp;"|"&amp;COUNTIF($E$5:$E107,$E107))</f>
        <v/>
      </c>
      <c r="K107" s="40" t="str">
        <f aca="false">IF($I107="","",LEN($I107))</f>
        <v/>
      </c>
      <c r="L107" s="13"/>
      <c r="M107" s="13"/>
      <c r="N107" s="13"/>
      <c r="O107" s="13"/>
      <c r="P107" s="152"/>
      <c r="Q107" s="149"/>
      <c r="R107" s="152"/>
      <c r="S107" s="152"/>
      <c r="T107" s="62" t="str">
        <f aca="false">IF(OR($C107="",R107=""),"",IF(R107/IF($R$2="",100,$R$2)&gt;=設定!$I$28,設定!$G$8,IF(R107/IF($R$2="",100,$R$2)&lt;設定!$I$29,設定!$G$10,設定!$G$9)))</f>
        <v/>
      </c>
      <c r="U107" s="62" t="str">
        <f aca="false">IF(OR($C107="",S107=""),"",IF(S107/IF($S$2="",100,$S$2)&gt;=設定!$I$28,設定!$G$8,IF(S107/IF($S$2="",100,$S$2)&lt;設定!$I$29,設定!$G$10,設定!$G$9)))</f>
        <v/>
      </c>
    </row>
    <row r="108" customFormat="false" ht="21" hidden="false" customHeight="true" outlineLevel="0" collapsed="false">
      <c r="A108" s="91" t="str">
        <f aca="false">IF(名簿!$D108="","",名簿!$B108&amp;"")</f>
        <v/>
      </c>
      <c r="B108" s="91" t="str">
        <f aca="false">IF(名簿!$D108="","",名簿!$C108)</f>
        <v/>
      </c>
      <c r="C108" s="59" t="str">
        <f aca="false">IF(名簿!$D108="","",名簿!$D108&amp;IF(名簿!$F108="転出","（転出）",""))</f>
        <v/>
      </c>
      <c r="D108" s="149"/>
      <c r="E108" s="61" t="str">
        <f aca="false">IF(OR($C108="",名簿!$F108="転出"),"",IF($C$2="学級ごと",$A108,IF($C$2="前の単元と同じ",単元17!$E108&amp;"",$D108&amp;"")))</f>
        <v/>
      </c>
      <c r="F108" s="150"/>
      <c r="G108" s="150"/>
      <c r="H108" s="150"/>
      <c r="I108" s="151"/>
      <c r="J108" s="41" t="str">
        <f aca="false">IF($E108="","",$E108&amp;"|"&amp;COUNTIF($E$5:$E108,$E108))</f>
        <v/>
      </c>
      <c r="K108" s="40" t="str">
        <f aca="false">IF($I108="","",LEN($I108))</f>
        <v/>
      </c>
      <c r="L108" s="13"/>
      <c r="M108" s="13"/>
      <c r="N108" s="13"/>
      <c r="O108" s="13"/>
      <c r="P108" s="152"/>
      <c r="Q108" s="149"/>
      <c r="R108" s="152"/>
      <c r="S108" s="152"/>
      <c r="T108" s="62" t="str">
        <f aca="false">IF(OR($C108="",R108=""),"",IF(R108/IF($R$2="",100,$R$2)&gt;=設定!$I$28,設定!$G$8,IF(R108/IF($R$2="",100,$R$2)&lt;設定!$I$29,設定!$G$10,設定!$G$9)))</f>
        <v/>
      </c>
      <c r="U108" s="62" t="str">
        <f aca="false">IF(OR($C108="",S108=""),"",IF(S108/IF($S$2="",100,$S$2)&gt;=設定!$I$28,設定!$G$8,IF(S108/IF($S$2="",100,$S$2)&lt;設定!$I$29,設定!$G$10,設定!$G$9)))</f>
        <v/>
      </c>
    </row>
    <row r="109" customFormat="false" ht="21" hidden="false" customHeight="true" outlineLevel="0" collapsed="false">
      <c r="A109" s="91" t="str">
        <f aca="false">IF(名簿!$D109="","",名簿!$B109&amp;"")</f>
        <v/>
      </c>
      <c r="B109" s="91" t="str">
        <f aca="false">IF(名簿!$D109="","",名簿!$C109)</f>
        <v/>
      </c>
      <c r="C109" s="59" t="str">
        <f aca="false">IF(名簿!$D109="","",名簿!$D109&amp;IF(名簿!$F109="転出","（転出）",""))</f>
        <v/>
      </c>
      <c r="D109" s="149"/>
      <c r="E109" s="61" t="str">
        <f aca="false">IF(OR($C109="",名簿!$F109="転出"),"",IF($C$2="学級ごと",$A109,IF($C$2="前の単元と同じ",単元17!$E109&amp;"",$D109&amp;"")))</f>
        <v/>
      </c>
      <c r="F109" s="150"/>
      <c r="G109" s="150"/>
      <c r="H109" s="150"/>
      <c r="I109" s="151"/>
      <c r="J109" s="41" t="str">
        <f aca="false">IF($E109="","",$E109&amp;"|"&amp;COUNTIF($E$5:$E109,$E109))</f>
        <v/>
      </c>
      <c r="K109" s="40" t="str">
        <f aca="false">IF($I109="","",LEN($I109))</f>
        <v/>
      </c>
      <c r="L109" s="13"/>
      <c r="M109" s="13"/>
      <c r="N109" s="13"/>
      <c r="O109" s="13"/>
      <c r="P109" s="152"/>
      <c r="Q109" s="149"/>
      <c r="R109" s="152"/>
      <c r="S109" s="152"/>
      <c r="T109" s="62" t="str">
        <f aca="false">IF(OR($C109="",R109=""),"",IF(R109/IF($R$2="",100,$R$2)&gt;=設定!$I$28,設定!$G$8,IF(R109/IF($R$2="",100,$R$2)&lt;設定!$I$29,設定!$G$10,設定!$G$9)))</f>
        <v/>
      </c>
      <c r="U109" s="62" t="str">
        <f aca="false">IF(OR($C109="",S109=""),"",IF(S109/IF($S$2="",100,$S$2)&gt;=設定!$I$28,設定!$G$8,IF(S109/IF($S$2="",100,$S$2)&lt;設定!$I$29,設定!$G$10,設定!$G$9)))</f>
        <v/>
      </c>
    </row>
    <row r="110" customFormat="false" ht="21" hidden="false" customHeight="true" outlineLevel="0" collapsed="false">
      <c r="A110" s="91" t="str">
        <f aca="false">IF(名簿!$D110="","",名簿!$B110&amp;"")</f>
        <v/>
      </c>
      <c r="B110" s="91" t="str">
        <f aca="false">IF(名簿!$D110="","",名簿!$C110)</f>
        <v/>
      </c>
      <c r="C110" s="59" t="str">
        <f aca="false">IF(名簿!$D110="","",名簿!$D110&amp;IF(名簿!$F110="転出","（転出）",""))</f>
        <v/>
      </c>
      <c r="D110" s="149"/>
      <c r="E110" s="61" t="str">
        <f aca="false">IF(OR($C110="",名簿!$F110="転出"),"",IF($C$2="学級ごと",$A110,IF($C$2="前の単元と同じ",単元17!$E110&amp;"",$D110&amp;"")))</f>
        <v/>
      </c>
      <c r="F110" s="150"/>
      <c r="G110" s="150"/>
      <c r="H110" s="150"/>
      <c r="I110" s="151"/>
      <c r="J110" s="41" t="str">
        <f aca="false">IF($E110="","",$E110&amp;"|"&amp;COUNTIF($E$5:$E110,$E110))</f>
        <v/>
      </c>
      <c r="K110" s="40" t="str">
        <f aca="false">IF($I110="","",LEN($I110))</f>
        <v/>
      </c>
      <c r="L110" s="13"/>
      <c r="M110" s="13"/>
      <c r="N110" s="13"/>
      <c r="O110" s="13"/>
      <c r="P110" s="152"/>
      <c r="Q110" s="149"/>
      <c r="R110" s="152"/>
      <c r="S110" s="152"/>
      <c r="T110" s="62" t="str">
        <f aca="false">IF(OR($C110="",R110=""),"",IF(R110/IF($R$2="",100,$R$2)&gt;=設定!$I$28,設定!$G$8,IF(R110/IF($R$2="",100,$R$2)&lt;設定!$I$29,設定!$G$10,設定!$G$9)))</f>
        <v/>
      </c>
      <c r="U110" s="62" t="str">
        <f aca="false">IF(OR($C110="",S110=""),"",IF(S110/IF($S$2="",100,$S$2)&gt;=設定!$I$28,設定!$G$8,IF(S110/IF($S$2="",100,$S$2)&lt;設定!$I$29,設定!$G$10,設定!$G$9)))</f>
        <v/>
      </c>
    </row>
    <row r="111" customFormat="false" ht="21" hidden="false" customHeight="true" outlineLevel="0" collapsed="false">
      <c r="A111" s="91" t="str">
        <f aca="false">IF(名簿!$D111="","",名簿!$B111&amp;"")</f>
        <v/>
      </c>
      <c r="B111" s="91" t="str">
        <f aca="false">IF(名簿!$D111="","",名簿!$C111)</f>
        <v/>
      </c>
      <c r="C111" s="59" t="str">
        <f aca="false">IF(名簿!$D111="","",名簿!$D111&amp;IF(名簿!$F111="転出","（転出）",""))</f>
        <v/>
      </c>
      <c r="D111" s="149"/>
      <c r="E111" s="61" t="str">
        <f aca="false">IF(OR($C111="",名簿!$F111="転出"),"",IF($C$2="学級ごと",$A111,IF($C$2="前の単元と同じ",単元17!$E111&amp;"",$D111&amp;"")))</f>
        <v/>
      </c>
      <c r="F111" s="150"/>
      <c r="G111" s="150"/>
      <c r="H111" s="150"/>
      <c r="I111" s="151"/>
      <c r="J111" s="41" t="str">
        <f aca="false">IF($E111="","",$E111&amp;"|"&amp;COUNTIF($E$5:$E111,$E111))</f>
        <v/>
      </c>
      <c r="K111" s="40" t="str">
        <f aca="false">IF($I111="","",LEN($I111))</f>
        <v/>
      </c>
      <c r="L111" s="13"/>
      <c r="M111" s="13"/>
      <c r="N111" s="13"/>
      <c r="O111" s="13"/>
      <c r="P111" s="152"/>
      <c r="Q111" s="149"/>
      <c r="R111" s="152"/>
      <c r="S111" s="152"/>
      <c r="T111" s="62" t="str">
        <f aca="false">IF(OR($C111="",R111=""),"",IF(R111/IF($R$2="",100,$R$2)&gt;=設定!$I$28,設定!$G$8,IF(R111/IF($R$2="",100,$R$2)&lt;設定!$I$29,設定!$G$10,設定!$G$9)))</f>
        <v/>
      </c>
      <c r="U111" s="62" t="str">
        <f aca="false">IF(OR($C111="",S111=""),"",IF(S111/IF($S$2="",100,$S$2)&gt;=設定!$I$28,設定!$G$8,IF(S111/IF($S$2="",100,$S$2)&lt;設定!$I$29,設定!$G$10,設定!$G$9)))</f>
        <v/>
      </c>
    </row>
    <row r="112" customFormat="false" ht="21" hidden="false" customHeight="true" outlineLevel="0" collapsed="false">
      <c r="A112" s="91" t="str">
        <f aca="false">IF(名簿!$D112="","",名簿!$B112&amp;"")</f>
        <v/>
      </c>
      <c r="B112" s="91" t="str">
        <f aca="false">IF(名簿!$D112="","",名簿!$C112)</f>
        <v/>
      </c>
      <c r="C112" s="59" t="str">
        <f aca="false">IF(名簿!$D112="","",名簿!$D112&amp;IF(名簿!$F112="転出","（転出）",""))</f>
        <v/>
      </c>
      <c r="D112" s="149"/>
      <c r="E112" s="61" t="str">
        <f aca="false">IF(OR($C112="",名簿!$F112="転出"),"",IF($C$2="学級ごと",$A112,IF($C$2="前の単元と同じ",単元17!$E112&amp;"",$D112&amp;"")))</f>
        <v/>
      </c>
      <c r="F112" s="150"/>
      <c r="G112" s="150"/>
      <c r="H112" s="150"/>
      <c r="I112" s="151"/>
      <c r="J112" s="41" t="str">
        <f aca="false">IF($E112="","",$E112&amp;"|"&amp;COUNTIF($E$5:$E112,$E112))</f>
        <v/>
      </c>
      <c r="K112" s="40" t="str">
        <f aca="false">IF($I112="","",LEN($I112))</f>
        <v/>
      </c>
      <c r="L112" s="13"/>
      <c r="M112" s="13"/>
      <c r="N112" s="13"/>
      <c r="O112" s="13"/>
      <c r="P112" s="152"/>
      <c r="Q112" s="149"/>
      <c r="R112" s="152"/>
      <c r="S112" s="152"/>
      <c r="T112" s="62" t="str">
        <f aca="false">IF(OR($C112="",R112=""),"",IF(R112/IF($R$2="",100,$R$2)&gt;=設定!$I$28,設定!$G$8,IF(R112/IF($R$2="",100,$R$2)&lt;設定!$I$29,設定!$G$10,設定!$G$9)))</f>
        <v/>
      </c>
      <c r="U112" s="62" t="str">
        <f aca="false">IF(OR($C112="",S112=""),"",IF(S112/IF($S$2="",100,$S$2)&gt;=設定!$I$28,設定!$G$8,IF(S112/IF($S$2="",100,$S$2)&lt;設定!$I$29,設定!$G$10,設定!$G$9)))</f>
        <v/>
      </c>
    </row>
    <row r="113" customFormat="false" ht="21" hidden="false" customHeight="true" outlineLevel="0" collapsed="false">
      <c r="A113" s="91" t="str">
        <f aca="false">IF(名簿!$D113="","",名簿!$B113&amp;"")</f>
        <v/>
      </c>
      <c r="B113" s="91" t="str">
        <f aca="false">IF(名簿!$D113="","",名簿!$C113)</f>
        <v/>
      </c>
      <c r="C113" s="59" t="str">
        <f aca="false">IF(名簿!$D113="","",名簿!$D113&amp;IF(名簿!$F113="転出","（転出）",""))</f>
        <v/>
      </c>
      <c r="D113" s="149"/>
      <c r="E113" s="61" t="str">
        <f aca="false">IF(OR($C113="",名簿!$F113="転出"),"",IF($C$2="学級ごと",$A113,IF($C$2="前の単元と同じ",単元17!$E113&amp;"",$D113&amp;"")))</f>
        <v/>
      </c>
      <c r="F113" s="150"/>
      <c r="G113" s="150"/>
      <c r="H113" s="150"/>
      <c r="I113" s="151"/>
      <c r="J113" s="41" t="str">
        <f aca="false">IF($E113="","",$E113&amp;"|"&amp;COUNTIF($E$5:$E113,$E113))</f>
        <v/>
      </c>
      <c r="K113" s="40" t="str">
        <f aca="false">IF($I113="","",LEN($I113))</f>
        <v/>
      </c>
      <c r="L113" s="13"/>
      <c r="M113" s="13"/>
      <c r="N113" s="13"/>
      <c r="O113" s="13"/>
      <c r="P113" s="152"/>
      <c r="Q113" s="149"/>
      <c r="R113" s="152"/>
      <c r="S113" s="152"/>
      <c r="T113" s="62" t="str">
        <f aca="false">IF(OR($C113="",R113=""),"",IF(R113/IF($R$2="",100,$R$2)&gt;=設定!$I$28,設定!$G$8,IF(R113/IF($R$2="",100,$R$2)&lt;設定!$I$29,設定!$G$10,設定!$G$9)))</f>
        <v/>
      </c>
      <c r="U113" s="62" t="str">
        <f aca="false">IF(OR($C113="",S113=""),"",IF(S113/IF($S$2="",100,$S$2)&gt;=設定!$I$28,設定!$G$8,IF(S113/IF($S$2="",100,$S$2)&lt;設定!$I$29,設定!$G$10,設定!$G$9)))</f>
        <v/>
      </c>
    </row>
    <row r="114" customFormat="false" ht="21" hidden="false" customHeight="true" outlineLevel="0" collapsed="false">
      <c r="A114" s="91" t="str">
        <f aca="false">IF(名簿!$D114="","",名簿!$B114&amp;"")</f>
        <v/>
      </c>
      <c r="B114" s="91" t="str">
        <f aca="false">IF(名簿!$D114="","",名簿!$C114)</f>
        <v/>
      </c>
      <c r="C114" s="59" t="str">
        <f aca="false">IF(名簿!$D114="","",名簿!$D114&amp;IF(名簿!$F114="転出","（転出）",""))</f>
        <v/>
      </c>
      <c r="D114" s="149"/>
      <c r="E114" s="61" t="str">
        <f aca="false">IF(OR($C114="",名簿!$F114="転出"),"",IF($C$2="学級ごと",$A114,IF($C$2="前の単元と同じ",単元17!$E114&amp;"",$D114&amp;"")))</f>
        <v/>
      </c>
      <c r="F114" s="150"/>
      <c r="G114" s="150"/>
      <c r="H114" s="150"/>
      <c r="I114" s="151"/>
      <c r="J114" s="41" t="str">
        <f aca="false">IF($E114="","",$E114&amp;"|"&amp;COUNTIF($E$5:$E114,$E114))</f>
        <v/>
      </c>
      <c r="K114" s="40" t="str">
        <f aca="false">IF($I114="","",LEN($I114))</f>
        <v/>
      </c>
      <c r="L114" s="13"/>
      <c r="M114" s="13"/>
      <c r="N114" s="13"/>
      <c r="O114" s="13"/>
      <c r="P114" s="152"/>
      <c r="Q114" s="149"/>
      <c r="R114" s="152"/>
      <c r="S114" s="152"/>
      <c r="T114" s="62" t="str">
        <f aca="false">IF(OR($C114="",R114=""),"",IF(R114/IF($R$2="",100,$R$2)&gt;=設定!$I$28,設定!$G$8,IF(R114/IF($R$2="",100,$R$2)&lt;設定!$I$29,設定!$G$10,設定!$G$9)))</f>
        <v/>
      </c>
      <c r="U114" s="62" t="str">
        <f aca="false">IF(OR($C114="",S114=""),"",IF(S114/IF($S$2="",100,$S$2)&gt;=設定!$I$28,設定!$G$8,IF(S114/IF($S$2="",100,$S$2)&lt;設定!$I$29,設定!$G$10,設定!$G$9)))</f>
        <v/>
      </c>
    </row>
    <row r="115" customFormat="false" ht="21" hidden="false" customHeight="true" outlineLevel="0" collapsed="false">
      <c r="A115" s="91" t="str">
        <f aca="false">IF(名簿!$D115="","",名簿!$B115&amp;"")</f>
        <v/>
      </c>
      <c r="B115" s="91" t="str">
        <f aca="false">IF(名簿!$D115="","",名簿!$C115)</f>
        <v/>
      </c>
      <c r="C115" s="59" t="str">
        <f aca="false">IF(名簿!$D115="","",名簿!$D115&amp;IF(名簿!$F115="転出","（転出）",""))</f>
        <v/>
      </c>
      <c r="D115" s="149"/>
      <c r="E115" s="61" t="str">
        <f aca="false">IF(OR($C115="",名簿!$F115="転出"),"",IF($C$2="学級ごと",$A115,IF($C$2="前の単元と同じ",単元17!$E115&amp;"",$D115&amp;"")))</f>
        <v/>
      </c>
      <c r="F115" s="150"/>
      <c r="G115" s="150"/>
      <c r="H115" s="150"/>
      <c r="I115" s="151"/>
      <c r="J115" s="41" t="str">
        <f aca="false">IF($E115="","",$E115&amp;"|"&amp;COUNTIF($E$5:$E115,$E115))</f>
        <v/>
      </c>
      <c r="K115" s="40" t="str">
        <f aca="false">IF($I115="","",LEN($I115))</f>
        <v/>
      </c>
      <c r="L115" s="13"/>
      <c r="M115" s="13"/>
      <c r="N115" s="13"/>
      <c r="O115" s="13"/>
      <c r="P115" s="152"/>
      <c r="Q115" s="149"/>
      <c r="R115" s="152"/>
      <c r="S115" s="152"/>
      <c r="T115" s="62" t="str">
        <f aca="false">IF(OR($C115="",R115=""),"",IF(R115/IF($R$2="",100,$R$2)&gt;=設定!$I$28,設定!$G$8,IF(R115/IF($R$2="",100,$R$2)&lt;設定!$I$29,設定!$G$10,設定!$G$9)))</f>
        <v/>
      </c>
      <c r="U115" s="62" t="str">
        <f aca="false">IF(OR($C115="",S115=""),"",IF(S115/IF($S$2="",100,$S$2)&gt;=設定!$I$28,設定!$G$8,IF(S115/IF($S$2="",100,$S$2)&lt;設定!$I$29,設定!$G$10,設定!$G$9)))</f>
        <v/>
      </c>
    </row>
    <row r="116" customFormat="false" ht="21" hidden="false" customHeight="true" outlineLevel="0" collapsed="false">
      <c r="A116" s="91" t="str">
        <f aca="false">IF(名簿!$D116="","",名簿!$B116&amp;"")</f>
        <v/>
      </c>
      <c r="B116" s="91" t="str">
        <f aca="false">IF(名簿!$D116="","",名簿!$C116)</f>
        <v/>
      </c>
      <c r="C116" s="59" t="str">
        <f aca="false">IF(名簿!$D116="","",名簿!$D116&amp;IF(名簿!$F116="転出","（転出）",""))</f>
        <v/>
      </c>
      <c r="D116" s="149"/>
      <c r="E116" s="61" t="str">
        <f aca="false">IF(OR($C116="",名簿!$F116="転出"),"",IF($C$2="学級ごと",$A116,IF($C$2="前の単元と同じ",単元17!$E116&amp;"",$D116&amp;"")))</f>
        <v/>
      </c>
      <c r="F116" s="150"/>
      <c r="G116" s="150"/>
      <c r="H116" s="150"/>
      <c r="I116" s="151"/>
      <c r="J116" s="41" t="str">
        <f aca="false">IF($E116="","",$E116&amp;"|"&amp;COUNTIF($E$5:$E116,$E116))</f>
        <v/>
      </c>
      <c r="K116" s="40" t="str">
        <f aca="false">IF($I116="","",LEN($I116))</f>
        <v/>
      </c>
      <c r="L116" s="13"/>
      <c r="M116" s="13"/>
      <c r="N116" s="13"/>
      <c r="O116" s="13"/>
      <c r="P116" s="152"/>
      <c r="Q116" s="149"/>
      <c r="R116" s="152"/>
      <c r="S116" s="152"/>
      <c r="T116" s="62" t="str">
        <f aca="false">IF(OR($C116="",R116=""),"",IF(R116/IF($R$2="",100,$R$2)&gt;=設定!$I$28,設定!$G$8,IF(R116/IF($R$2="",100,$R$2)&lt;設定!$I$29,設定!$G$10,設定!$G$9)))</f>
        <v/>
      </c>
      <c r="U116" s="62" t="str">
        <f aca="false">IF(OR($C116="",S116=""),"",IF(S116/IF($S$2="",100,$S$2)&gt;=設定!$I$28,設定!$G$8,IF(S116/IF($S$2="",100,$S$2)&lt;設定!$I$29,設定!$G$10,設定!$G$9)))</f>
        <v/>
      </c>
    </row>
    <row r="117" customFormat="false" ht="21" hidden="false" customHeight="true" outlineLevel="0" collapsed="false">
      <c r="A117" s="91" t="str">
        <f aca="false">IF(名簿!$D117="","",名簿!$B117&amp;"")</f>
        <v/>
      </c>
      <c r="B117" s="91" t="str">
        <f aca="false">IF(名簿!$D117="","",名簿!$C117)</f>
        <v/>
      </c>
      <c r="C117" s="59" t="str">
        <f aca="false">IF(名簿!$D117="","",名簿!$D117&amp;IF(名簿!$F117="転出","（転出）",""))</f>
        <v/>
      </c>
      <c r="D117" s="149"/>
      <c r="E117" s="61" t="str">
        <f aca="false">IF(OR($C117="",名簿!$F117="転出"),"",IF($C$2="学級ごと",$A117,IF($C$2="前の単元と同じ",単元17!$E117&amp;"",$D117&amp;"")))</f>
        <v/>
      </c>
      <c r="F117" s="150"/>
      <c r="G117" s="150"/>
      <c r="H117" s="150"/>
      <c r="I117" s="151"/>
      <c r="J117" s="41" t="str">
        <f aca="false">IF($E117="","",$E117&amp;"|"&amp;COUNTIF($E$5:$E117,$E117))</f>
        <v/>
      </c>
      <c r="K117" s="40" t="str">
        <f aca="false">IF($I117="","",LEN($I117))</f>
        <v/>
      </c>
      <c r="L117" s="13"/>
      <c r="M117" s="13"/>
      <c r="N117" s="13"/>
      <c r="O117" s="13"/>
      <c r="P117" s="152"/>
      <c r="Q117" s="149"/>
      <c r="R117" s="152"/>
      <c r="S117" s="152"/>
      <c r="T117" s="62" t="str">
        <f aca="false">IF(OR($C117="",R117=""),"",IF(R117/IF($R$2="",100,$R$2)&gt;=設定!$I$28,設定!$G$8,IF(R117/IF($R$2="",100,$R$2)&lt;設定!$I$29,設定!$G$10,設定!$G$9)))</f>
        <v/>
      </c>
      <c r="U117" s="62" t="str">
        <f aca="false">IF(OR($C117="",S117=""),"",IF(S117/IF($S$2="",100,$S$2)&gt;=設定!$I$28,設定!$G$8,IF(S117/IF($S$2="",100,$S$2)&lt;設定!$I$29,設定!$G$10,設定!$G$9)))</f>
        <v/>
      </c>
    </row>
    <row r="118" customFormat="false" ht="21" hidden="false" customHeight="true" outlineLevel="0" collapsed="false">
      <c r="A118" s="91" t="str">
        <f aca="false">IF(名簿!$D118="","",名簿!$B118&amp;"")</f>
        <v/>
      </c>
      <c r="B118" s="91" t="str">
        <f aca="false">IF(名簿!$D118="","",名簿!$C118)</f>
        <v/>
      </c>
      <c r="C118" s="59" t="str">
        <f aca="false">IF(名簿!$D118="","",名簿!$D118&amp;IF(名簿!$F118="転出","（転出）",""))</f>
        <v/>
      </c>
      <c r="D118" s="149"/>
      <c r="E118" s="61" t="str">
        <f aca="false">IF(OR($C118="",名簿!$F118="転出"),"",IF($C$2="学級ごと",$A118,IF($C$2="前の単元と同じ",単元17!$E118&amp;"",$D118&amp;"")))</f>
        <v/>
      </c>
      <c r="F118" s="150"/>
      <c r="G118" s="150"/>
      <c r="H118" s="150"/>
      <c r="I118" s="151"/>
      <c r="J118" s="41" t="str">
        <f aca="false">IF($E118="","",$E118&amp;"|"&amp;COUNTIF($E$5:$E118,$E118))</f>
        <v/>
      </c>
      <c r="K118" s="40" t="str">
        <f aca="false">IF($I118="","",LEN($I118))</f>
        <v/>
      </c>
      <c r="L118" s="13"/>
      <c r="M118" s="13"/>
      <c r="N118" s="13"/>
      <c r="O118" s="13"/>
      <c r="P118" s="152"/>
      <c r="Q118" s="149"/>
      <c r="R118" s="152"/>
      <c r="S118" s="152"/>
      <c r="T118" s="62" t="str">
        <f aca="false">IF(OR($C118="",R118=""),"",IF(R118/IF($R$2="",100,$R$2)&gt;=設定!$I$28,設定!$G$8,IF(R118/IF($R$2="",100,$R$2)&lt;設定!$I$29,設定!$G$10,設定!$G$9)))</f>
        <v/>
      </c>
      <c r="U118" s="62" t="str">
        <f aca="false">IF(OR($C118="",S118=""),"",IF(S118/IF($S$2="",100,$S$2)&gt;=設定!$I$28,設定!$G$8,IF(S118/IF($S$2="",100,$S$2)&lt;設定!$I$29,設定!$G$10,設定!$G$9)))</f>
        <v/>
      </c>
    </row>
    <row r="119" customFormat="false" ht="21" hidden="false" customHeight="true" outlineLevel="0" collapsed="false">
      <c r="A119" s="91" t="str">
        <f aca="false">IF(名簿!$D119="","",名簿!$B119&amp;"")</f>
        <v/>
      </c>
      <c r="B119" s="91" t="str">
        <f aca="false">IF(名簿!$D119="","",名簿!$C119)</f>
        <v/>
      </c>
      <c r="C119" s="59" t="str">
        <f aca="false">IF(名簿!$D119="","",名簿!$D119&amp;IF(名簿!$F119="転出","（転出）",""))</f>
        <v/>
      </c>
      <c r="D119" s="149"/>
      <c r="E119" s="61" t="str">
        <f aca="false">IF(OR($C119="",名簿!$F119="転出"),"",IF($C$2="学級ごと",$A119,IF($C$2="前の単元と同じ",単元17!$E119&amp;"",$D119&amp;"")))</f>
        <v/>
      </c>
      <c r="F119" s="150"/>
      <c r="G119" s="150"/>
      <c r="H119" s="150"/>
      <c r="I119" s="151"/>
      <c r="J119" s="41" t="str">
        <f aca="false">IF($E119="","",$E119&amp;"|"&amp;COUNTIF($E$5:$E119,$E119))</f>
        <v/>
      </c>
      <c r="K119" s="40" t="str">
        <f aca="false">IF($I119="","",LEN($I119))</f>
        <v/>
      </c>
      <c r="L119" s="13"/>
      <c r="M119" s="13"/>
      <c r="N119" s="13"/>
      <c r="O119" s="13"/>
      <c r="P119" s="152"/>
      <c r="Q119" s="149"/>
      <c r="R119" s="152"/>
      <c r="S119" s="152"/>
      <c r="T119" s="62" t="str">
        <f aca="false">IF(OR($C119="",R119=""),"",IF(R119/IF($R$2="",100,$R$2)&gt;=設定!$I$28,設定!$G$8,IF(R119/IF($R$2="",100,$R$2)&lt;設定!$I$29,設定!$G$10,設定!$G$9)))</f>
        <v/>
      </c>
      <c r="U119" s="62" t="str">
        <f aca="false">IF(OR($C119="",S119=""),"",IF(S119/IF($S$2="",100,$S$2)&gt;=設定!$I$28,設定!$G$8,IF(S119/IF($S$2="",100,$S$2)&lt;設定!$I$29,設定!$G$10,設定!$G$9)))</f>
        <v/>
      </c>
    </row>
    <row r="120" customFormat="false" ht="21" hidden="false" customHeight="true" outlineLevel="0" collapsed="false">
      <c r="A120" s="91" t="str">
        <f aca="false">IF(名簿!$D120="","",名簿!$B120&amp;"")</f>
        <v/>
      </c>
      <c r="B120" s="91" t="str">
        <f aca="false">IF(名簿!$D120="","",名簿!$C120)</f>
        <v/>
      </c>
      <c r="C120" s="59" t="str">
        <f aca="false">IF(名簿!$D120="","",名簿!$D120&amp;IF(名簿!$F120="転出","（転出）",""))</f>
        <v/>
      </c>
      <c r="D120" s="149"/>
      <c r="E120" s="61" t="str">
        <f aca="false">IF(OR($C120="",名簿!$F120="転出"),"",IF($C$2="学級ごと",$A120,IF($C$2="前の単元と同じ",単元17!$E120&amp;"",$D120&amp;"")))</f>
        <v/>
      </c>
      <c r="F120" s="150"/>
      <c r="G120" s="150"/>
      <c r="H120" s="150"/>
      <c r="I120" s="151"/>
      <c r="J120" s="41" t="str">
        <f aca="false">IF($E120="","",$E120&amp;"|"&amp;COUNTIF($E$5:$E120,$E120))</f>
        <v/>
      </c>
      <c r="K120" s="40" t="str">
        <f aca="false">IF($I120="","",LEN($I120))</f>
        <v/>
      </c>
      <c r="L120" s="13"/>
      <c r="M120" s="13"/>
      <c r="N120" s="13"/>
      <c r="O120" s="13"/>
      <c r="P120" s="152"/>
      <c r="Q120" s="149"/>
      <c r="R120" s="152"/>
      <c r="S120" s="152"/>
      <c r="T120" s="62" t="str">
        <f aca="false">IF(OR($C120="",R120=""),"",IF(R120/IF($R$2="",100,$R$2)&gt;=設定!$I$28,設定!$G$8,IF(R120/IF($R$2="",100,$R$2)&lt;設定!$I$29,設定!$G$10,設定!$G$9)))</f>
        <v/>
      </c>
      <c r="U120" s="62" t="str">
        <f aca="false">IF(OR($C120="",S120=""),"",IF(S120/IF($S$2="",100,$S$2)&gt;=設定!$I$28,設定!$G$8,IF(S120/IF($S$2="",100,$S$2)&lt;設定!$I$29,設定!$G$10,設定!$G$9)))</f>
        <v/>
      </c>
    </row>
    <row r="121" customFormat="false" ht="21" hidden="false" customHeight="true" outlineLevel="0" collapsed="false">
      <c r="A121" s="91" t="str">
        <f aca="false">IF(名簿!$D121="","",名簿!$B121&amp;"")</f>
        <v/>
      </c>
      <c r="B121" s="91" t="str">
        <f aca="false">IF(名簿!$D121="","",名簿!$C121)</f>
        <v/>
      </c>
      <c r="C121" s="59" t="str">
        <f aca="false">IF(名簿!$D121="","",名簿!$D121&amp;IF(名簿!$F121="転出","（転出）",""))</f>
        <v/>
      </c>
      <c r="D121" s="149"/>
      <c r="E121" s="61" t="str">
        <f aca="false">IF(OR($C121="",名簿!$F121="転出"),"",IF($C$2="学級ごと",$A121,IF($C$2="前の単元と同じ",単元17!$E121&amp;"",$D121&amp;"")))</f>
        <v/>
      </c>
      <c r="F121" s="150"/>
      <c r="G121" s="150"/>
      <c r="H121" s="150"/>
      <c r="I121" s="151"/>
      <c r="J121" s="41" t="str">
        <f aca="false">IF($E121="","",$E121&amp;"|"&amp;COUNTIF($E$5:$E121,$E121))</f>
        <v/>
      </c>
      <c r="K121" s="40" t="str">
        <f aca="false">IF($I121="","",LEN($I121))</f>
        <v/>
      </c>
      <c r="L121" s="13"/>
      <c r="M121" s="13"/>
      <c r="N121" s="13"/>
      <c r="O121" s="13"/>
      <c r="P121" s="152"/>
      <c r="Q121" s="149"/>
      <c r="R121" s="152"/>
      <c r="S121" s="152"/>
      <c r="T121" s="62" t="str">
        <f aca="false">IF(OR($C121="",R121=""),"",IF(R121/IF($R$2="",100,$R$2)&gt;=設定!$I$28,設定!$G$8,IF(R121/IF($R$2="",100,$R$2)&lt;設定!$I$29,設定!$G$10,設定!$G$9)))</f>
        <v/>
      </c>
      <c r="U121" s="62" t="str">
        <f aca="false">IF(OR($C121="",S121=""),"",IF(S121/IF($S$2="",100,$S$2)&gt;=設定!$I$28,設定!$G$8,IF(S121/IF($S$2="",100,$S$2)&lt;設定!$I$29,設定!$G$10,設定!$G$9)))</f>
        <v/>
      </c>
    </row>
    <row r="122" customFormat="false" ht="21" hidden="false" customHeight="true" outlineLevel="0" collapsed="false">
      <c r="A122" s="91" t="str">
        <f aca="false">IF(名簿!$D122="","",名簿!$B122&amp;"")</f>
        <v/>
      </c>
      <c r="B122" s="91" t="str">
        <f aca="false">IF(名簿!$D122="","",名簿!$C122)</f>
        <v/>
      </c>
      <c r="C122" s="59" t="str">
        <f aca="false">IF(名簿!$D122="","",名簿!$D122&amp;IF(名簿!$F122="転出","（転出）",""))</f>
        <v/>
      </c>
      <c r="D122" s="149"/>
      <c r="E122" s="61" t="str">
        <f aca="false">IF(OR($C122="",名簿!$F122="転出"),"",IF($C$2="学級ごと",$A122,IF($C$2="前の単元と同じ",単元17!$E122&amp;"",$D122&amp;"")))</f>
        <v/>
      </c>
      <c r="F122" s="150"/>
      <c r="G122" s="150"/>
      <c r="H122" s="150"/>
      <c r="I122" s="151"/>
      <c r="J122" s="41" t="str">
        <f aca="false">IF($E122="","",$E122&amp;"|"&amp;COUNTIF($E$5:$E122,$E122))</f>
        <v/>
      </c>
      <c r="K122" s="40" t="str">
        <f aca="false">IF($I122="","",LEN($I122))</f>
        <v/>
      </c>
      <c r="L122" s="13"/>
      <c r="M122" s="13"/>
      <c r="N122" s="13"/>
      <c r="O122" s="13"/>
      <c r="P122" s="152"/>
      <c r="Q122" s="149"/>
      <c r="R122" s="152"/>
      <c r="S122" s="152"/>
      <c r="T122" s="62" t="str">
        <f aca="false">IF(OR($C122="",R122=""),"",IF(R122/IF($R$2="",100,$R$2)&gt;=設定!$I$28,設定!$G$8,IF(R122/IF($R$2="",100,$R$2)&lt;設定!$I$29,設定!$G$10,設定!$G$9)))</f>
        <v/>
      </c>
      <c r="U122" s="62" t="str">
        <f aca="false">IF(OR($C122="",S122=""),"",IF(S122/IF($S$2="",100,$S$2)&gt;=設定!$I$28,設定!$G$8,IF(S122/IF($S$2="",100,$S$2)&lt;設定!$I$29,設定!$G$10,設定!$G$9)))</f>
        <v/>
      </c>
    </row>
    <row r="123" customFormat="false" ht="21" hidden="false" customHeight="true" outlineLevel="0" collapsed="false">
      <c r="A123" s="91" t="str">
        <f aca="false">IF(名簿!$D123="","",名簿!$B123&amp;"")</f>
        <v/>
      </c>
      <c r="B123" s="91" t="str">
        <f aca="false">IF(名簿!$D123="","",名簿!$C123)</f>
        <v/>
      </c>
      <c r="C123" s="59" t="str">
        <f aca="false">IF(名簿!$D123="","",名簿!$D123&amp;IF(名簿!$F123="転出","（転出）",""))</f>
        <v/>
      </c>
      <c r="D123" s="149"/>
      <c r="E123" s="61" t="str">
        <f aca="false">IF(OR($C123="",名簿!$F123="転出"),"",IF($C$2="学級ごと",$A123,IF($C$2="前の単元と同じ",単元17!$E123&amp;"",$D123&amp;"")))</f>
        <v/>
      </c>
      <c r="F123" s="150"/>
      <c r="G123" s="150"/>
      <c r="H123" s="150"/>
      <c r="I123" s="151"/>
      <c r="J123" s="41" t="str">
        <f aca="false">IF($E123="","",$E123&amp;"|"&amp;COUNTIF($E$5:$E123,$E123))</f>
        <v/>
      </c>
      <c r="K123" s="40" t="str">
        <f aca="false">IF($I123="","",LEN($I123))</f>
        <v/>
      </c>
      <c r="L123" s="13"/>
      <c r="M123" s="13"/>
      <c r="N123" s="13"/>
      <c r="O123" s="13"/>
      <c r="P123" s="152"/>
      <c r="Q123" s="149"/>
      <c r="R123" s="152"/>
      <c r="S123" s="152"/>
      <c r="T123" s="62" t="str">
        <f aca="false">IF(OR($C123="",R123=""),"",IF(R123/IF($R$2="",100,$R$2)&gt;=設定!$I$28,設定!$G$8,IF(R123/IF($R$2="",100,$R$2)&lt;設定!$I$29,設定!$G$10,設定!$G$9)))</f>
        <v/>
      </c>
      <c r="U123" s="62" t="str">
        <f aca="false">IF(OR($C123="",S123=""),"",IF(S123/IF($S$2="",100,$S$2)&gt;=設定!$I$28,設定!$G$8,IF(S123/IF($S$2="",100,$S$2)&lt;設定!$I$29,設定!$G$10,設定!$G$9)))</f>
        <v/>
      </c>
    </row>
    <row r="124" customFormat="false" ht="21" hidden="false" customHeight="true" outlineLevel="0" collapsed="false">
      <c r="A124" s="91" t="str">
        <f aca="false">IF(名簿!$D124="","",名簿!$B124&amp;"")</f>
        <v/>
      </c>
      <c r="B124" s="91" t="str">
        <f aca="false">IF(名簿!$D124="","",名簿!$C124)</f>
        <v/>
      </c>
      <c r="C124" s="59" t="str">
        <f aca="false">IF(名簿!$D124="","",名簿!$D124&amp;IF(名簿!$F124="転出","（転出）",""))</f>
        <v/>
      </c>
      <c r="D124" s="149"/>
      <c r="E124" s="61" t="str">
        <f aca="false">IF(OR($C124="",名簿!$F124="転出"),"",IF($C$2="学級ごと",$A124,IF($C$2="前の単元と同じ",単元17!$E124&amp;"",$D124&amp;"")))</f>
        <v/>
      </c>
      <c r="F124" s="150"/>
      <c r="G124" s="150"/>
      <c r="H124" s="150"/>
      <c r="I124" s="151"/>
      <c r="J124" s="41" t="str">
        <f aca="false">IF($E124="","",$E124&amp;"|"&amp;COUNTIF($E$5:$E124,$E124))</f>
        <v/>
      </c>
      <c r="K124" s="40" t="str">
        <f aca="false">IF($I124="","",LEN($I124))</f>
        <v/>
      </c>
      <c r="L124" s="13"/>
      <c r="M124" s="13"/>
      <c r="N124" s="13"/>
      <c r="O124" s="13"/>
      <c r="P124" s="152"/>
      <c r="Q124" s="149"/>
      <c r="R124" s="152"/>
      <c r="S124" s="152"/>
      <c r="T124" s="62" t="str">
        <f aca="false">IF(OR($C124="",R124=""),"",IF(R124/IF($R$2="",100,$R$2)&gt;=設定!$I$28,設定!$G$8,IF(R124/IF($R$2="",100,$R$2)&lt;設定!$I$29,設定!$G$10,設定!$G$9)))</f>
        <v/>
      </c>
      <c r="U124" s="62" t="str">
        <f aca="false">IF(OR($C124="",S124=""),"",IF(S124/IF($S$2="",100,$S$2)&gt;=設定!$I$28,設定!$G$8,IF(S124/IF($S$2="",100,$S$2)&lt;設定!$I$29,設定!$G$10,設定!$G$9)))</f>
        <v/>
      </c>
    </row>
    <row r="125" customFormat="false" ht="21" hidden="false" customHeight="true" outlineLevel="0" collapsed="false">
      <c r="A125" s="91" t="str">
        <f aca="false">IF(名簿!$D125="","",名簿!$B125&amp;"")</f>
        <v/>
      </c>
      <c r="B125" s="91" t="str">
        <f aca="false">IF(名簿!$D125="","",名簿!$C125)</f>
        <v/>
      </c>
      <c r="C125" s="59" t="str">
        <f aca="false">IF(名簿!$D125="","",名簿!$D125&amp;IF(名簿!$F125="転出","（転出）",""))</f>
        <v/>
      </c>
      <c r="D125" s="149"/>
      <c r="E125" s="61" t="str">
        <f aca="false">IF(OR($C125="",名簿!$F125="転出"),"",IF($C$2="学級ごと",$A125,IF($C$2="前の単元と同じ",単元17!$E125&amp;"",$D125&amp;"")))</f>
        <v/>
      </c>
      <c r="F125" s="150"/>
      <c r="G125" s="150"/>
      <c r="H125" s="150"/>
      <c r="I125" s="151"/>
      <c r="J125" s="41" t="str">
        <f aca="false">IF($E125="","",$E125&amp;"|"&amp;COUNTIF($E$5:$E125,$E125))</f>
        <v/>
      </c>
      <c r="K125" s="40" t="str">
        <f aca="false">IF($I125="","",LEN($I125))</f>
        <v/>
      </c>
      <c r="L125" s="13"/>
      <c r="M125" s="13"/>
      <c r="N125" s="13"/>
      <c r="O125" s="13"/>
      <c r="P125" s="152"/>
      <c r="Q125" s="149"/>
      <c r="R125" s="152"/>
      <c r="S125" s="152"/>
      <c r="T125" s="62" t="str">
        <f aca="false">IF(OR($C125="",R125=""),"",IF(R125/IF($R$2="",100,$R$2)&gt;=設定!$I$28,設定!$G$8,IF(R125/IF($R$2="",100,$R$2)&lt;設定!$I$29,設定!$G$10,設定!$G$9)))</f>
        <v/>
      </c>
      <c r="U125" s="62" t="str">
        <f aca="false">IF(OR($C125="",S125=""),"",IF(S125/IF($S$2="",100,$S$2)&gt;=設定!$I$28,設定!$G$8,IF(S125/IF($S$2="",100,$S$2)&lt;設定!$I$29,設定!$G$10,設定!$G$9)))</f>
        <v/>
      </c>
    </row>
    <row r="126" customFormat="false" ht="21" hidden="false" customHeight="true" outlineLevel="0" collapsed="false">
      <c r="A126" s="91" t="str">
        <f aca="false">IF(名簿!$D126="","",名簿!$B126&amp;"")</f>
        <v/>
      </c>
      <c r="B126" s="91" t="str">
        <f aca="false">IF(名簿!$D126="","",名簿!$C126)</f>
        <v/>
      </c>
      <c r="C126" s="59" t="str">
        <f aca="false">IF(名簿!$D126="","",名簿!$D126&amp;IF(名簿!$F126="転出","（転出）",""))</f>
        <v/>
      </c>
      <c r="D126" s="149"/>
      <c r="E126" s="61" t="str">
        <f aca="false">IF(OR($C126="",名簿!$F126="転出"),"",IF($C$2="学級ごと",$A126,IF($C$2="前の単元と同じ",単元17!$E126&amp;"",$D126&amp;"")))</f>
        <v/>
      </c>
      <c r="F126" s="150"/>
      <c r="G126" s="150"/>
      <c r="H126" s="150"/>
      <c r="I126" s="151"/>
      <c r="J126" s="41" t="str">
        <f aca="false">IF($E126="","",$E126&amp;"|"&amp;COUNTIF($E$5:$E126,$E126))</f>
        <v/>
      </c>
      <c r="K126" s="40" t="str">
        <f aca="false">IF($I126="","",LEN($I126))</f>
        <v/>
      </c>
      <c r="L126" s="13"/>
      <c r="M126" s="13"/>
      <c r="N126" s="13"/>
      <c r="O126" s="13"/>
      <c r="P126" s="152"/>
      <c r="Q126" s="149"/>
      <c r="R126" s="152"/>
      <c r="S126" s="152"/>
      <c r="T126" s="62" t="str">
        <f aca="false">IF(OR($C126="",R126=""),"",IF(R126/IF($R$2="",100,$R$2)&gt;=設定!$I$28,設定!$G$8,IF(R126/IF($R$2="",100,$R$2)&lt;設定!$I$29,設定!$G$10,設定!$G$9)))</f>
        <v/>
      </c>
      <c r="U126" s="62" t="str">
        <f aca="false">IF(OR($C126="",S126=""),"",IF(S126/IF($S$2="",100,$S$2)&gt;=設定!$I$28,設定!$G$8,IF(S126/IF($S$2="",100,$S$2)&lt;設定!$I$29,設定!$G$10,設定!$G$9)))</f>
        <v/>
      </c>
    </row>
    <row r="127" customFormat="false" ht="21" hidden="false" customHeight="true" outlineLevel="0" collapsed="false">
      <c r="A127" s="91" t="str">
        <f aca="false">IF(名簿!$D127="","",名簿!$B127&amp;"")</f>
        <v/>
      </c>
      <c r="B127" s="91" t="str">
        <f aca="false">IF(名簿!$D127="","",名簿!$C127)</f>
        <v/>
      </c>
      <c r="C127" s="59" t="str">
        <f aca="false">IF(名簿!$D127="","",名簿!$D127&amp;IF(名簿!$F127="転出","（転出）",""))</f>
        <v/>
      </c>
      <c r="D127" s="149"/>
      <c r="E127" s="61" t="str">
        <f aca="false">IF(OR($C127="",名簿!$F127="転出"),"",IF($C$2="学級ごと",$A127,IF($C$2="前の単元と同じ",単元17!$E127&amp;"",$D127&amp;"")))</f>
        <v/>
      </c>
      <c r="F127" s="150"/>
      <c r="G127" s="150"/>
      <c r="H127" s="150"/>
      <c r="I127" s="151"/>
      <c r="J127" s="41" t="str">
        <f aca="false">IF($E127="","",$E127&amp;"|"&amp;COUNTIF($E$5:$E127,$E127))</f>
        <v/>
      </c>
      <c r="K127" s="40" t="str">
        <f aca="false">IF($I127="","",LEN($I127))</f>
        <v/>
      </c>
      <c r="L127" s="13"/>
      <c r="M127" s="13"/>
      <c r="N127" s="13"/>
      <c r="O127" s="13"/>
      <c r="P127" s="152"/>
      <c r="Q127" s="149"/>
      <c r="R127" s="152"/>
      <c r="S127" s="152"/>
      <c r="T127" s="62" t="str">
        <f aca="false">IF(OR($C127="",R127=""),"",IF(R127/IF($R$2="",100,$R$2)&gt;=設定!$I$28,設定!$G$8,IF(R127/IF($R$2="",100,$R$2)&lt;設定!$I$29,設定!$G$10,設定!$G$9)))</f>
        <v/>
      </c>
      <c r="U127" s="62" t="str">
        <f aca="false">IF(OR($C127="",S127=""),"",IF(S127/IF($S$2="",100,$S$2)&gt;=設定!$I$28,設定!$G$8,IF(S127/IF($S$2="",100,$S$2)&lt;設定!$I$29,設定!$G$10,設定!$G$9)))</f>
        <v/>
      </c>
    </row>
    <row r="128" customFormat="false" ht="21" hidden="false" customHeight="true" outlineLevel="0" collapsed="false">
      <c r="A128" s="91" t="str">
        <f aca="false">IF(名簿!$D128="","",名簿!$B128&amp;"")</f>
        <v/>
      </c>
      <c r="B128" s="91" t="str">
        <f aca="false">IF(名簿!$D128="","",名簿!$C128)</f>
        <v/>
      </c>
      <c r="C128" s="59" t="str">
        <f aca="false">IF(名簿!$D128="","",名簿!$D128&amp;IF(名簿!$F128="転出","（転出）",""))</f>
        <v/>
      </c>
      <c r="D128" s="149"/>
      <c r="E128" s="61" t="str">
        <f aca="false">IF(OR($C128="",名簿!$F128="転出"),"",IF($C$2="学級ごと",$A128,IF($C$2="前の単元と同じ",単元17!$E128&amp;"",$D128&amp;"")))</f>
        <v/>
      </c>
      <c r="F128" s="150"/>
      <c r="G128" s="150"/>
      <c r="H128" s="150"/>
      <c r="I128" s="151"/>
      <c r="J128" s="41" t="str">
        <f aca="false">IF($E128="","",$E128&amp;"|"&amp;COUNTIF($E$5:$E128,$E128))</f>
        <v/>
      </c>
      <c r="K128" s="40" t="str">
        <f aca="false">IF($I128="","",LEN($I128))</f>
        <v/>
      </c>
      <c r="L128" s="13"/>
      <c r="M128" s="13"/>
      <c r="N128" s="13"/>
      <c r="O128" s="13"/>
      <c r="P128" s="152"/>
      <c r="Q128" s="149"/>
      <c r="R128" s="152"/>
      <c r="S128" s="152"/>
      <c r="T128" s="62" t="str">
        <f aca="false">IF(OR($C128="",R128=""),"",IF(R128/IF($R$2="",100,$R$2)&gt;=設定!$I$28,設定!$G$8,IF(R128/IF($R$2="",100,$R$2)&lt;設定!$I$29,設定!$G$10,設定!$G$9)))</f>
        <v/>
      </c>
      <c r="U128" s="62" t="str">
        <f aca="false">IF(OR($C128="",S128=""),"",IF(S128/IF($S$2="",100,$S$2)&gt;=設定!$I$28,設定!$G$8,IF(S128/IF($S$2="",100,$S$2)&lt;設定!$I$29,設定!$G$10,設定!$G$9)))</f>
        <v/>
      </c>
    </row>
    <row r="129" customFormat="false" ht="21" hidden="false" customHeight="true" outlineLevel="0" collapsed="false">
      <c r="A129" s="91" t="str">
        <f aca="false">IF(名簿!$D129="","",名簿!$B129&amp;"")</f>
        <v/>
      </c>
      <c r="B129" s="91" t="str">
        <f aca="false">IF(名簿!$D129="","",名簿!$C129)</f>
        <v/>
      </c>
      <c r="C129" s="59" t="str">
        <f aca="false">IF(名簿!$D129="","",名簿!$D129&amp;IF(名簿!$F129="転出","（転出）",""))</f>
        <v/>
      </c>
      <c r="D129" s="149"/>
      <c r="E129" s="61" t="str">
        <f aca="false">IF(OR($C129="",名簿!$F129="転出"),"",IF($C$2="学級ごと",$A129,IF($C$2="前の単元と同じ",単元17!$E129&amp;"",$D129&amp;"")))</f>
        <v/>
      </c>
      <c r="F129" s="150"/>
      <c r="G129" s="150"/>
      <c r="H129" s="150"/>
      <c r="I129" s="151"/>
      <c r="J129" s="41" t="str">
        <f aca="false">IF($E129="","",$E129&amp;"|"&amp;COUNTIF($E$5:$E129,$E129))</f>
        <v/>
      </c>
      <c r="K129" s="40" t="str">
        <f aca="false">IF($I129="","",LEN($I129))</f>
        <v/>
      </c>
      <c r="L129" s="13"/>
      <c r="M129" s="13"/>
      <c r="N129" s="13"/>
      <c r="O129" s="13"/>
      <c r="P129" s="152"/>
      <c r="Q129" s="149"/>
      <c r="R129" s="152"/>
      <c r="S129" s="152"/>
      <c r="T129" s="62" t="str">
        <f aca="false">IF(OR($C129="",R129=""),"",IF(R129/IF($R$2="",100,$R$2)&gt;=設定!$I$28,設定!$G$8,IF(R129/IF($R$2="",100,$R$2)&lt;設定!$I$29,設定!$G$10,設定!$G$9)))</f>
        <v/>
      </c>
      <c r="U129" s="62" t="str">
        <f aca="false">IF(OR($C129="",S129=""),"",IF(S129/IF($S$2="",100,$S$2)&gt;=設定!$I$28,設定!$G$8,IF(S129/IF($S$2="",100,$S$2)&lt;設定!$I$29,設定!$G$10,設定!$G$9)))</f>
        <v/>
      </c>
    </row>
    <row r="130" customFormat="false" ht="21" hidden="false" customHeight="true" outlineLevel="0" collapsed="false">
      <c r="A130" s="91" t="str">
        <f aca="false">IF(名簿!$D130="","",名簿!$B130&amp;"")</f>
        <v/>
      </c>
      <c r="B130" s="91" t="str">
        <f aca="false">IF(名簿!$D130="","",名簿!$C130)</f>
        <v/>
      </c>
      <c r="C130" s="59" t="str">
        <f aca="false">IF(名簿!$D130="","",名簿!$D130&amp;IF(名簿!$F130="転出","（転出）",""))</f>
        <v/>
      </c>
      <c r="D130" s="149"/>
      <c r="E130" s="61" t="str">
        <f aca="false">IF(OR($C130="",名簿!$F130="転出"),"",IF($C$2="学級ごと",$A130,IF($C$2="前の単元と同じ",単元17!$E130&amp;"",$D130&amp;"")))</f>
        <v/>
      </c>
      <c r="F130" s="150"/>
      <c r="G130" s="150"/>
      <c r="H130" s="150"/>
      <c r="I130" s="151"/>
      <c r="J130" s="41" t="str">
        <f aca="false">IF($E130="","",$E130&amp;"|"&amp;COUNTIF($E$5:$E130,$E130))</f>
        <v/>
      </c>
      <c r="K130" s="40" t="str">
        <f aca="false">IF($I130="","",LEN($I130))</f>
        <v/>
      </c>
      <c r="L130" s="13"/>
      <c r="M130" s="13"/>
      <c r="N130" s="13"/>
      <c r="O130" s="13"/>
      <c r="P130" s="152"/>
      <c r="Q130" s="149"/>
      <c r="R130" s="152"/>
      <c r="S130" s="152"/>
      <c r="T130" s="62" t="str">
        <f aca="false">IF(OR($C130="",R130=""),"",IF(R130/IF($R$2="",100,$R$2)&gt;=設定!$I$28,設定!$G$8,IF(R130/IF($R$2="",100,$R$2)&lt;設定!$I$29,設定!$G$10,設定!$G$9)))</f>
        <v/>
      </c>
      <c r="U130" s="62" t="str">
        <f aca="false">IF(OR($C130="",S130=""),"",IF(S130/IF($S$2="",100,$S$2)&gt;=設定!$I$28,設定!$G$8,IF(S130/IF($S$2="",100,$S$2)&lt;設定!$I$29,設定!$G$10,設定!$G$9)))</f>
        <v/>
      </c>
    </row>
    <row r="131" customFormat="false" ht="21" hidden="false" customHeight="true" outlineLevel="0" collapsed="false">
      <c r="A131" s="91" t="str">
        <f aca="false">IF(名簿!$D131="","",名簿!$B131&amp;"")</f>
        <v/>
      </c>
      <c r="B131" s="91" t="str">
        <f aca="false">IF(名簿!$D131="","",名簿!$C131)</f>
        <v/>
      </c>
      <c r="C131" s="59" t="str">
        <f aca="false">IF(名簿!$D131="","",名簿!$D131&amp;IF(名簿!$F131="転出","（転出）",""))</f>
        <v/>
      </c>
      <c r="D131" s="149"/>
      <c r="E131" s="61" t="str">
        <f aca="false">IF(OR($C131="",名簿!$F131="転出"),"",IF($C$2="学級ごと",$A131,IF($C$2="前の単元と同じ",単元17!$E131&amp;"",$D131&amp;"")))</f>
        <v/>
      </c>
      <c r="F131" s="150"/>
      <c r="G131" s="150"/>
      <c r="H131" s="150"/>
      <c r="I131" s="151"/>
      <c r="J131" s="41" t="str">
        <f aca="false">IF($E131="","",$E131&amp;"|"&amp;COUNTIF($E$5:$E131,$E131))</f>
        <v/>
      </c>
      <c r="K131" s="40" t="str">
        <f aca="false">IF($I131="","",LEN($I131))</f>
        <v/>
      </c>
      <c r="L131" s="13"/>
      <c r="M131" s="13"/>
      <c r="N131" s="13"/>
      <c r="O131" s="13"/>
      <c r="P131" s="152"/>
      <c r="Q131" s="149"/>
      <c r="R131" s="152"/>
      <c r="S131" s="152"/>
      <c r="T131" s="62" t="str">
        <f aca="false">IF(OR($C131="",R131=""),"",IF(R131/IF($R$2="",100,$R$2)&gt;=設定!$I$28,設定!$G$8,IF(R131/IF($R$2="",100,$R$2)&lt;設定!$I$29,設定!$G$10,設定!$G$9)))</f>
        <v/>
      </c>
      <c r="U131" s="62" t="str">
        <f aca="false">IF(OR($C131="",S131=""),"",IF(S131/IF($S$2="",100,$S$2)&gt;=設定!$I$28,設定!$G$8,IF(S131/IF($S$2="",100,$S$2)&lt;設定!$I$29,設定!$G$10,設定!$G$9)))</f>
        <v/>
      </c>
    </row>
    <row r="132" customFormat="false" ht="21" hidden="false" customHeight="true" outlineLevel="0" collapsed="false">
      <c r="A132" s="91" t="str">
        <f aca="false">IF(名簿!$D132="","",名簿!$B132&amp;"")</f>
        <v/>
      </c>
      <c r="B132" s="91" t="str">
        <f aca="false">IF(名簿!$D132="","",名簿!$C132)</f>
        <v/>
      </c>
      <c r="C132" s="59" t="str">
        <f aca="false">IF(名簿!$D132="","",名簿!$D132&amp;IF(名簿!$F132="転出","（転出）",""))</f>
        <v/>
      </c>
      <c r="D132" s="149"/>
      <c r="E132" s="61" t="str">
        <f aca="false">IF(OR($C132="",名簿!$F132="転出"),"",IF($C$2="学級ごと",$A132,IF($C$2="前の単元と同じ",単元17!$E132&amp;"",$D132&amp;"")))</f>
        <v/>
      </c>
      <c r="F132" s="150"/>
      <c r="G132" s="150"/>
      <c r="H132" s="150"/>
      <c r="I132" s="151"/>
      <c r="J132" s="41" t="str">
        <f aca="false">IF($E132="","",$E132&amp;"|"&amp;COUNTIF($E$5:$E132,$E132))</f>
        <v/>
      </c>
      <c r="K132" s="40" t="str">
        <f aca="false">IF($I132="","",LEN($I132))</f>
        <v/>
      </c>
      <c r="L132" s="13"/>
      <c r="M132" s="13"/>
      <c r="N132" s="13"/>
      <c r="O132" s="13"/>
      <c r="P132" s="152"/>
      <c r="Q132" s="149"/>
      <c r="R132" s="152"/>
      <c r="S132" s="152"/>
      <c r="T132" s="62" t="str">
        <f aca="false">IF(OR($C132="",R132=""),"",IF(R132/IF($R$2="",100,$R$2)&gt;=設定!$I$28,設定!$G$8,IF(R132/IF($R$2="",100,$R$2)&lt;設定!$I$29,設定!$G$10,設定!$G$9)))</f>
        <v/>
      </c>
      <c r="U132" s="62" t="str">
        <f aca="false">IF(OR($C132="",S132=""),"",IF(S132/IF($S$2="",100,$S$2)&gt;=設定!$I$28,設定!$G$8,IF(S132/IF($S$2="",100,$S$2)&lt;設定!$I$29,設定!$G$10,設定!$G$9)))</f>
        <v/>
      </c>
    </row>
    <row r="133" customFormat="false" ht="21" hidden="false" customHeight="true" outlineLevel="0" collapsed="false">
      <c r="A133" s="91" t="str">
        <f aca="false">IF(名簿!$D133="","",名簿!$B133&amp;"")</f>
        <v/>
      </c>
      <c r="B133" s="91" t="str">
        <f aca="false">IF(名簿!$D133="","",名簿!$C133)</f>
        <v/>
      </c>
      <c r="C133" s="59" t="str">
        <f aca="false">IF(名簿!$D133="","",名簿!$D133&amp;IF(名簿!$F133="転出","（転出）",""))</f>
        <v/>
      </c>
      <c r="D133" s="149"/>
      <c r="E133" s="61" t="str">
        <f aca="false">IF(OR($C133="",名簿!$F133="転出"),"",IF($C$2="学級ごと",$A133,IF($C$2="前の単元と同じ",単元17!$E133&amp;"",$D133&amp;"")))</f>
        <v/>
      </c>
      <c r="F133" s="150"/>
      <c r="G133" s="150"/>
      <c r="H133" s="150"/>
      <c r="I133" s="151"/>
      <c r="J133" s="41" t="str">
        <f aca="false">IF($E133="","",$E133&amp;"|"&amp;COUNTIF($E$5:$E133,$E133))</f>
        <v/>
      </c>
      <c r="K133" s="40" t="str">
        <f aca="false">IF($I133="","",LEN($I133))</f>
        <v/>
      </c>
      <c r="L133" s="13"/>
      <c r="M133" s="13"/>
      <c r="N133" s="13"/>
      <c r="O133" s="13"/>
      <c r="P133" s="152"/>
      <c r="Q133" s="149"/>
      <c r="R133" s="152"/>
      <c r="S133" s="152"/>
      <c r="T133" s="62" t="str">
        <f aca="false">IF(OR($C133="",R133=""),"",IF(R133/IF($R$2="",100,$R$2)&gt;=設定!$I$28,設定!$G$8,IF(R133/IF($R$2="",100,$R$2)&lt;設定!$I$29,設定!$G$10,設定!$G$9)))</f>
        <v/>
      </c>
      <c r="U133" s="62" t="str">
        <f aca="false">IF(OR($C133="",S133=""),"",IF(S133/IF($S$2="",100,$S$2)&gt;=設定!$I$28,設定!$G$8,IF(S133/IF($S$2="",100,$S$2)&lt;設定!$I$29,設定!$G$10,設定!$G$9)))</f>
        <v/>
      </c>
    </row>
    <row r="134" customFormat="false" ht="21" hidden="false" customHeight="true" outlineLevel="0" collapsed="false">
      <c r="A134" s="91" t="str">
        <f aca="false">IF(名簿!$D134="","",名簿!$B134&amp;"")</f>
        <v/>
      </c>
      <c r="B134" s="91" t="str">
        <f aca="false">IF(名簿!$D134="","",名簿!$C134)</f>
        <v/>
      </c>
      <c r="C134" s="59" t="str">
        <f aca="false">IF(名簿!$D134="","",名簿!$D134&amp;IF(名簿!$F134="転出","（転出）",""))</f>
        <v/>
      </c>
      <c r="D134" s="149"/>
      <c r="E134" s="61" t="str">
        <f aca="false">IF(OR($C134="",名簿!$F134="転出"),"",IF($C$2="学級ごと",$A134,IF($C$2="前の単元と同じ",単元17!$E134&amp;"",$D134&amp;"")))</f>
        <v/>
      </c>
      <c r="F134" s="150"/>
      <c r="G134" s="150"/>
      <c r="H134" s="150"/>
      <c r="I134" s="151"/>
      <c r="J134" s="41" t="str">
        <f aca="false">IF($E134="","",$E134&amp;"|"&amp;COUNTIF($E$5:$E134,$E134))</f>
        <v/>
      </c>
      <c r="K134" s="40" t="str">
        <f aca="false">IF($I134="","",LEN($I134))</f>
        <v/>
      </c>
      <c r="L134" s="13"/>
      <c r="M134" s="13"/>
      <c r="N134" s="13"/>
      <c r="O134" s="13"/>
      <c r="P134" s="152"/>
      <c r="Q134" s="149"/>
      <c r="R134" s="152"/>
      <c r="S134" s="152"/>
      <c r="T134" s="62" t="str">
        <f aca="false">IF(OR($C134="",R134=""),"",IF(R134/IF($R$2="",100,$R$2)&gt;=設定!$I$28,設定!$G$8,IF(R134/IF($R$2="",100,$R$2)&lt;設定!$I$29,設定!$G$10,設定!$G$9)))</f>
        <v/>
      </c>
      <c r="U134" s="62" t="str">
        <f aca="false">IF(OR($C134="",S134=""),"",IF(S134/IF($S$2="",100,$S$2)&gt;=設定!$I$28,設定!$G$8,IF(S134/IF($S$2="",100,$S$2)&lt;設定!$I$29,設定!$G$10,設定!$G$9)))</f>
        <v/>
      </c>
    </row>
    <row r="135" customFormat="false" ht="21" hidden="false" customHeight="true" outlineLevel="0" collapsed="false">
      <c r="A135" s="91" t="str">
        <f aca="false">IF(名簿!$D135="","",名簿!$B135&amp;"")</f>
        <v/>
      </c>
      <c r="B135" s="91" t="str">
        <f aca="false">IF(名簿!$D135="","",名簿!$C135)</f>
        <v/>
      </c>
      <c r="C135" s="59" t="str">
        <f aca="false">IF(名簿!$D135="","",名簿!$D135&amp;IF(名簿!$F135="転出","（転出）",""))</f>
        <v/>
      </c>
      <c r="D135" s="149"/>
      <c r="E135" s="61" t="str">
        <f aca="false">IF(OR($C135="",名簿!$F135="転出"),"",IF($C$2="学級ごと",$A135,IF($C$2="前の単元と同じ",単元17!$E135&amp;"",$D135&amp;"")))</f>
        <v/>
      </c>
      <c r="F135" s="150"/>
      <c r="G135" s="150"/>
      <c r="H135" s="150"/>
      <c r="I135" s="151"/>
      <c r="J135" s="41" t="str">
        <f aca="false">IF($E135="","",$E135&amp;"|"&amp;COUNTIF($E$5:$E135,$E135))</f>
        <v/>
      </c>
      <c r="K135" s="40" t="str">
        <f aca="false">IF($I135="","",LEN($I135))</f>
        <v/>
      </c>
      <c r="L135" s="13"/>
      <c r="M135" s="13"/>
      <c r="N135" s="13"/>
      <c r="O135" s="13"/>
      <c r="P135" s="152"/>
      <c r="Q135" s="149"/>
      <c r="R135" s="152"/>
      <c r="S135" s="152"/>
      <c r="T135" s="62" t="str">
        <f aca="false">IF(OR($C135="",R135=""),"",IF(R135/IF($R$2="",100,$R$2)&gt;=設定!$I$28,設定!$G$8,IF(R135/IF($R$2="",100,$R$2)&lt;設定!$I$29,設定!$G$10,設定!$G$9)))</f>
        <v/>
      </c>
      <c r="U135" s="62" t="str">
        <f aca="false">IF(OR($C135="",S135=""),"",IF(S135/IF($S$2="",100,$S$2)&gt;=設定!$I$28,設定!$G$8,IF(S135/IF($S$2="",100,$S$2)&lt;設定!$I$29,設定!$G$10,設定!$G$9)))</f>
        <v/>
      </c>
    </row>
    <row r="136" customFormat="false" ht="21" hidden="false" customHeight="true" outlineLevel="0" collapsed="false">
      <c r="A136" s="91" t="str">
        <f aca="false">IF(名簿!$D136="","",名簿!$B136&amp;"")</f>
        <v/>
      </c>
      <c r="B136" s="91" t="str">
        <f aca="false">IF(名簿!$D136="","",名簿!$C136)</f>
        <v/>
      </c>
      <c r="C136" s="59" t="str">
        <f aca="false">IF(名簿!$D136="","",名簿!$D136&amp;IF(名簿!$F136="転出","（転出）",""))</f>
        <v/>
      </c>
      <c r="D136" s="149"/>
      <c r="E136" s="61" t="str">
        <f aca="false">IF(OR($C136="",名簿!$F136="転出"),"",IF($C$2="学級ごと",$A136,IF($C$2="前の単元と同じ",単元17!$E136&amp;"",$D136&amp;"")))</f>
        <v/>
      </c>
      <c r="F136" s="150"/>
      <c r="G136" s="150"/>
      <c r="H136" s="150"/>
      <c r="I136" s="151"/>
      <c r="J136" s="41" t="str">
        <f aca="false">IF($E136="","",$E136&amp;"|"&amp;COUNTIF($E$5:$E136,$E136))</f>
        <v/>
      </c>
      <c r="K136" s="40" t="str">
        <f aca="false">IF($I136="","",LEN($I136))</f>
        <v/>
      </c>
      <c r="L136" s="13"/>
      <c r="M136" s="13"/>
      <c r="N136" s="13"/>
      <c r="O136" s="13"/>
      <c r="P136" s="152"/>
      <c r="Q136" s="149"/>
      <c r="R136" s="152"/>
      <c r="S136" s="152"/>
      <c r="T136" s="62" t="str">
        <f aca="false">IF(OR($C136="",R136=""),"",IF(R136/IF($R$2="",100,$R$2)&gt;=設定!$I$28,設定!$G$8,IF(R136/IF($R$2="",100,$R$2)&lt;設定!$I$29,設定!$G$10,設定!$G$9)))</f>
        <v/>
      </c>
      <c r="U136" s="62" t="str">
        <f aca="false">IF(OR($C136="",S136=""),"",IF(S136/IF($S$2="",100,$S$2)&gt;=設定!$I$28,設定!$G$8,IF(S136/IF($S$2="",100,$S$2)&lt;設定!$I$29,設定!$G$10,設定!$G$9)))</f>
        <v/>
      </c>
    </row>
    <row r="137" customFormat="false" ht="21" hidden="false" customHeight="true" outlineLevel="0" collapsed="false">
      <c r="A137" s="91" t="str">
        <f aca="false">IF(名簿!$D137="","",名簿!$B137&amp;"")</f>
        <v/>
      </c>
      <c r="B137" s="91" t="str">
        <f aca="false">IF(名簿!$D137="","",名簿!$C137)</f>
        <v/>
      </c>
      <c r="C137" s="59" t="str">
        <f aca="false">IF(名簿!$D137="","",名簿!$D137&amp;IF(名簿!$F137="転出","（転出）",""))</f>
        <v/>
      </c>
      <c r="D137" s="149"/>
      <c r="E137" s="61" t="str">
        <f aca="false">IF(OR($C137="",名簿!$F137="転出"),"",IF($C$2="学級ごと",$A137,IF($C$2="前の単元と同じ",単元17!$E137&amp;"",$D137&amp;"")))</f>
        <v/>
      </c>
      <c r="F137" s="150"/>
      <c r="G137" s="150"/>
      <c r="H137" s="150"/>
      <c r="I137" s="151"/>
      <c r="J137" s="41" t="str">
        <f aca="false">IF($E137="","",$E137&amp;"|"&amp;COUNTIF($E$5:$E137,$E137))</f>
        <v/>
      </c>
      <c r="K137" s="40" t="str">
        <f aca="false">IF($I137="","",LEN($I137))</f>
        <v/>
      </c>
      <c r="L137" s="13"/>
      <c r="M137" s="13"/>
      <c r="N137" s="13"/>
      <c r="O137" s="13"/>
      <c r="P137" s="152"/>
      <c r="Q137" s="149"/>
      <c r="R137" s="152"/>
      <c r="S137" s="152"/>
      <c r="T137" s="62" t="str">
        <f aca="false">IF(OR($C137="",R137=""),"",IF(R137/IF($R$2="",100,$R$2)&gt;=設定!$I$28,設定!$G$8,IF(R137/IF($R$2="",100,$R$2)&lt;設定!$I$29,設定!$G$10,設定!$G$9)))</f>
        <v/>
      </c>
      <c r="U137" s="62" t="str">
        <f aca="false">IF(OR($C137="",S137=""),"",IF(S137/IF($S$2="",100,$S$2)&gt;=設定!$I$28,設定!$G$8,IF(S137/IF($S$2="",100,$S$2)&lt;設定!$I$29,設定!$G$10,設定!$G$9)))</f>
        <v/>
      </c>
    </row>
    <row r="138" customFormat="false" ht="21" hidden="false" customHeight="true" outlineLevel="0" collapsed="false">
      <c r="A138" s="91" t="str">
        <f aca="false">IF(名簿!$D138="","",名簿!$B138&amp;"")</f>
        <v/>
      </c>
      <c r="B138" s="91" t="str">
        <f aca="false">IF(名簿!$D138="","",名簿!$C138)</f>
        <v/>
      </c>
      <c r="C138" s="59" t="str">
        <f aca="false">IF(名簿!$D138="","",名簿!$D138&amp;IF(名簿!$F138="転出","（転出）",""))</f>
        <v/>
      </c>
      <c r="D138" s="149"/>
      <c r="E138" s="61" t="str">
        <f aca="false">IF(OR($C138="",名簿!$F138="転出"),"",IF($C$2="学級ごと",$A138,IF($C$2="前の単元と同じ",単元17!$E138&amp;"",$D138&amp;"")))</f>
        <v/>
      </c>
      <c r="F138" s="150"/>
      <c r="G138" s="150"/>
      <c r="H138" s="150"/>
      <c r="I138" s="151"/>
      <c r="J138" s="41" t="str">
        <f aca="false">IF($E138="","",$E138&amp;"|"&amp;COUNTIF($E$5:$E138,$E138))</f>
        <v/>
      </c>
      <c r="K138" s="40" t="str">
        <f aca="false">IF($I138="","",LEN($I138))</f>
        <v/>
      </c>
      <c r="L138" s="13"/>
      <c r="M138" s="13"/>
      <c r="N138" s="13"/>
      <c r="O138" s="13"/>
      <c r="P138" s="152"/>
      <c r="Q138" s="149"/>
      <c r="R138" s="152"/>
      <c r="S138" s="152"/>
      <c r="T138" s="62" t="str">
        <f aca="false">IF(OR($C138="",R138=""),"",IF(R138/IF($R$2="",100,$R$2)&gt;=設定!$I$28,設定!$G$8,IF(R138/IF($R$2="",100,$R$2)&lt;設定!$I$29,設定!$G$10,設定!$G$9)))</f>
        <v/>
      </c>
      <c r="U138" s="62" t="str">
        <f aca="false">IF(OR($C138="",S138=""),"",IF(S138/IF($S$2="",100,$S$2)&gt;=設定!$I$28,設定!$G$8,IF(S138/IF($S$2="",100,$S$2)&lt;設定!$I$29,設定!$G$10,設定!$G$9)))</f>
        <v/>
      </c>
    </row>
    <row r="139" customFormat="false" ht="21" hidden="false" customHeight="true" outlineLevel="0" collapsed="false">
      <c r="A139" s="91" t="str">
        <f aca="false">IF(名簿!$D139="","",名簿!$B139&amp;"")</f>
        <v/>
      </c>
      <c r="B139" s="91" t="str">
        <f aca="false">IF(名簿!$D139="","",名簿!$C139)</f>
        <v/>
      </c>
      <c r="C139" s="59" t="str">
        <f aca="false">IF(名簿!$D139="","",名簿!$D139&amp;IF(名簿!$F139="転出","（転出）",""))</f>
        <v/>
      </c>
      <c r="D139" s="149"/>
      <c r="E139" s="61" t="str">
        <f aca="false">IF(OR($C139="",名簿!$F139="転出"),"",IF($C$2="学級ごと",$A139,IF($C$2="前の単元と同じ",単元17!$E139&amp;"",$D139&amp;"")))</f>
        <v/>
      </c>
      <c r="F139" s="150"/>
      <c r="G139" s="150"/>
      <c r="H139" s="150"/>
      <c r="I139" s="151"/>
      <c r="J139" s="41" t="str">
        <f aca="false">IF($E139="","",$E139&amp;"|"&amp;COUNTIF($E$5:$E139,$E139))</f>
        <v/>
      </c>
      <c r="K139" s="40" t="str">
        <f aca="false">IF($I139="","",LEN($I139))</f>
        <v/>
      </c>
      <c r="L139" s="13"/>
      <c r="M139" s="13"/>
      <c r="N139" s="13"/>
      <c r="O139" s="13"/>
      <c r="P139" s="152"/>
      <c r="Q139" s="149"/>
      <c r="R139" s="152"/>
      <c r="S139" s="152"/>
      <c r="T139" s="62" t="str">
        <f aca="false">IF(OR($C139="",R139=""),"",IF(R139/IF($R$2="",100,$R$2)&gt;=設定!$I$28,設定!$G$8,IF(R139/IF($R$2="",100,$R$2)&lt;設定!$I$29,設定!$G$10,設定!$G$9)))</f>
        <v/>
      </c>
      <c r="U139" s="62" t="str">
        <f aca="false">IF(OR($C139="",S139=""),"",IF(S139/IF($S$2="",100,$S$2)&gt;=設定!$I$28,設定!$G$8,IF(S139/IF($S$2="",100,$S$2)&lt;設定!$I$29,設定!$G$10,設定!$G$9)))</f>
        <v/>
      </c>
    </row>
    <row r="140" customFormat="false" ht="21" hidden="false" customHeight="true" outlineLevel="0" collapsed="false">
      <c r="A140" s="91" t="str">
        <f aca="false">IF(名簿!$D140="","",名簿!$B140&amp;"")</f>
        <v/>
      </c>
      <c r="B140" s="91" t="str">
        <f aca="false">IF(名簿!$D140="","",名簿!$C140)</f>
        <v/>
      </c>
      <c r="C140" s="59" t="str">
        <f aca="false">IF(名簿!$D140="","",名簿!$D140&amp;IF(名簿!$F140="転出","（転出）",""))</f>
        <v/>
      </c>
      <c r="D140" s="149"/>
      <c r="E140" s="61" t="str">
        <f aca="false">IF(OR($C140="",名簿!$F140="転出"),"",IF($C$2="学級ごと",$A140,IF($C$2="前の単元と同じ",単元17!$E140&amp;"",$D140&amp;"")))</f>
        <v/>
      </c>
      <c r="F140" s="150"/>
      <c r="G140" s="150"/>
      <c r="H140" s="150"/>
      <c r="I140" s="151"/>
      <c r="J140" s="41" t="str">
        <f aca="false">IF($E140="","",$E140&amp;"|"&amp;COUNTIF($E$5:$E140,$E140))</f>
        <v/>
      </c>
      <c r="K140" s="40" t="str">
        <f aca="false">IF($I140="","",LEN($I140))</f>
        <v/>
      </c>
      <c r="L140" s="13"/>
      <c r="M140" s="13"/>
      <c r="N140" s="13"/>
      <c r="O140" s="13"/>
      <c r="P140" s="152"/>
      <c r="Q140" s="149"/>
      <c r="R140" s="152"/>
      <c r="S140" s="152"/>
      <c r="T140" s="62" t="str">
        <f aca="false">IF(OR($C140="",R140=""),"",IF(R140/IF($R$2="",100,$R$2)&gt;=設定!$I$28,設定!$G$8,IF(R140/IF($R$2="",100,$R$2)&lt;設定!$I$29,設定!$G$10,設定!$G$9)))</f>
        <v/>
      </c>
      <c r="U140" s="62" t="str">
        <f aca="false">IF(OR($C140="",S140=""),"",IF(S140/IF($S$2="",100,$S$2)&gt;=設定!$I$28,設定!$G$8,IF(S140/IF($S$2="",100,$S$2)&lt;設定!$I$29,設定!$G$10,設定!$G$9)))</f>
        <v/>
      </c>
    </row>
    <row r="141" customFormat="false" ht="21" hidden="false" customHeight="true" outlineLevel="0" collapsed="false">
      <c r="A141" s="91" t="str">
        <f aca="false">IF(名簿!$D141="","",名簿!$B141&amp;"")</f>
        <v/>
      </c>
      <c r="B141" s="91" t="str">
        <f aca="false">IF(名簿!$D141="","",名簿!$C141)</f>
        <v/>
      </c>
      <c r="C141" s="59" t="str">
        <f aca="false">IF(名簿!$D141="","",名簿!$D141&amp;IF(名簿!$F141="転出","（転出）",""))</f>
        <v/>
      </c>
      <c r="D141" s="149"/>
      <c r="E141" s="61" t="str">
        <f aca="false">IF(OR($C141="",名簿!$F141="転出"),"",IF($C$2="学級ごと",$A141,IF($C$2="前の単元と同じ",単元17!$E141&amp;"",$D141&amp;"")))</f>
        <v/>
      </c>
      <c r="F141" s="150"/>
      <c r="G141" s="150"/>
      <c r="H141" s="150"/>
      <c r="I141" s="151"/>
      <c r="J141" s="41" t="str">
        <f aca="false">IF($E141="","",$E141&amp;"|"&amp;COUNTIF($E$5:$E141,$E141))</f>
        <v/>
      </c>
      <c r="K141" s="40" t="str">
        <f aca="false">IF($I141="","",LEN($I141))</f>
        <v/>
      </c>
      <c r="L141" s="13"/>
      <c r="M141" s="13"/>
      <c r="N141" s="13"/>
      <c r="O141" s="13"/>
      <c r="P141" s="152"/>
      <c r="Q141" s="149"/>
      <c r="R141" s="152"/>
      <c r="S141" s="152"/>
      <c r="T141" s="62" t="str">
        <f aca="false">IF(OR($C141="",R141=""),"",IF(R141/IF($R$2="",100,$R$2)&gt;=設定!$I$28,設定!$G$8,IF(R141/IF($R$2="",100,$R$2)&lt;設定!$I$29,設定!$G$10,設定!$G$9)))</f>
        <v/>
      </c>
      <c r="U141" s="62" t="str">
        <f aca="false">IF(OR($C141="",S141=""),"",IF(S141/IF($S$2="",100,$S$2)&gt;=設定!$I$28,設定!$G$8,IF(S141/IF($S$2="",100,$S$2)&lt;設定!$I$29,設定!$G$10,設定!$G$9)))</f>
        <v/>
      </c>
    </row>
    <row r="142" customFormat="false" ht="21" hidden="false" customHeight="true" outlineLevel="0" collapsed="false">
      <c r="A142" s="91" t="str">
        <f aca="false">IF(名簿!$D142="","",名簿!$B142&amp;"")</f>
        <v/>
      </c>
      <c r="B142" s="91" t="str">
        <f aca="false">IF(名簿!$D142="","",名簿!$C142)</f>
        <v/>
      </c>
      <c r="C142" s="59" t="str">
        <f aca="false">IF(名簿!$D142="","",名簿!$D142&amp;IF(名簿!$F142="転出","（転出）",""))</f>
        <v/>
      </c>
      <c r="D142" s="149"/>
      <c r="E142" s="61" t="str">
        <f aca="false">IF(OR($C142="",名簿!$F142="転出"),"",IF($C$2="学級ごと",$A142,IF($C$2="前の単元と同じ",単元17!$E142&amp;"",$D142&amp;"")))</f>
        <v/>
      </c>
      <c r="F142" s="150"/>
      <c r="G142" s="150"/>
      <c r="H142" s="150"/>
      <c r="I142" s="151"/>
      <c r="J142" s="41" t="str">
        <f aca="false">IF($E142="","",$E142&amp;"|"&amp;COUNTIF($E$5:$E142,$E142))</f>
        <v/>
      </c>
      <c r="K142" s="40" t="str">
        <f aca="false">IF($I142="","",LEN($I142))</f>
        <v/>
      </c>
      <c r="L142" s="13"/>
      <c r="M142" s="13"/>
      <c r="N142" s="13"/>
      <c r="O142" s="13"/>
      <c r="P142" s="152"/>
      <c r="Q142" s="149"/>
      <c r="R142" s="152"/>
      <c r="S142" s="152"/>
      <c r="T142" s="62" t="str">
        <f aca="false">IF(OR($C142="",R142=""),"",IF(R142/IF($R$2="",100,$R$2)&gt;=設定!$I$28,設定!$G$8,IF(R142/IF($R$2="",100,$R$2)&lt;設定!$I$29,設定!$G$10,設定!$G$9)))</f>
        <v/>
      </c>
      <c r="U142" s="62" t="str">
        <f aca="false">IF(OR($C142="",S142=""),"",IF(S142/IF($S$2="",100,$S$2)&gt;=設定!$I$28,設定!$G$8,IF(S142/IF($S$2="",100,$S$2)&lt;設定!$I$29,設定!$G$10,設定!$G$9)))</f>
        <v/>
      </c>
    </row>
    <row r="143" customFormat="false" ht="21" hidden="false" customHeight="true" outlineLevel="0" collapsed="false">
      <c r="A143" s="91" t="str">
        <f aca="false">IF(名簿!$D143="","",名簿!$B143&amp;"")</f>
        <v/>
      </c>
      <c r="B143" s="91" t="str">
        <f aca="false">IF(名簿!$D143="","",名簿!$C143)</f>
        <v/>
      </c>
      <c r="C143" s="59" t="str">
        <f aca="false">IF(名簿!$D143="","",名簿!$D143&amp;IF(名簿!$F143="転出","（転出）",""))</f>
        <v/>
      </c>
      <c r="D143" s="149"/>
      <c r="E143" s="61" t="str">
        <f aca="false">IF(OR($C143="",名簿!$F143="転出"),"",IF($C$2="学級ごと",$A143,IF($C$2="前の単元と同じ",単元17!$E143&amp;"",$D143&amp;"")))</f>
        <v/>
      </c>
      <c r="F143" s="150"/>
      <c r="G143" s="150"/>
      <c r="H143" s="150"/>
      <c r="I143" s="151"/>
      <c r="J143" s="41" t="str">
        <f aca="false">IF($E143="","",$E143&amp;"|"&amp;COUNTIF($E$5:$E143,$E143))</f>
        <v/>
      </c>
      <c r="K143" s="40" t="str">
        <f aca="false">IF($I143="","",LEN($I143))</f>
        <v/>
      </c>
      <c r="L143" s="13"/>
      <c r="M143" s="13"/>
      <c r="N143" s="13"/>
      <c r="O143" s="13"/>
      <c r="P143" s="152"/>
      <c r="Q143" s="149"/>
      <c r="R143" s="152"/>
      <c r="S143" s="152"/>
      <c r="T143" s="62" t="str">
        <f aca="false">IF(OR($C143="",R143=""),"",IF(R143/IF($R$2="",100,$R$2)&gt;=設定!$I$28,設定!$G$8,IF(R143/IF($R$2="",100,$R$2)&lt;設定!$I$29,設定!$G$10,設定!$G$9)))</f>
        <v/>
      </c>
      <c r="U143" s="62" t="str">
        <f aca="false">IF(OR($C143="",S143=""),"",IF(S143/IF($S$2="",100,$S$2)&gt;=設定!$I$28,設定!$G$8,IF(S143/IF($S$2="",100,$S$2)&lt;設定!$I$29,設定!$G$10,設定!$G$9)))</f>
        <v/>
      </c>
    </row>
    <row r="144" customFormat="false" ht="21" hidden="false" customHeight="true" outlineLevel="0" collapsed="false">
      <c r="A144" s="91" t="str">
        <f aca="false">IF(名簿!$D144="","",名簿!$B144&amp;"")</f>
        <v/>
      </c>
      <c r="B144" s="91" t="str">
        <f aca="false">IF(名簿!$D144="","",名簿!$C144)</f>
        <v/>
      </c>
      <c r="C144" s="59" t="str">
        <f aca="false">IF(名簿!$D144="","",名簿!$D144&amp;IF(名簿!$F144="転出","（転出）",""))</f>
        <v/>
      </c>
      <c r="D144" s="149"/>
      <c r="E144" s="61" t="str">
        <f aca="false">IF(OR($C144="",名簿!$F144="転出"),"",IF($C$2="学級ごと",$A144,IF($C$2="前の単元と同じ",単元17!$E144&amp;"",$D144&amp;"")))</f>
        <v/>
      </c>
      <c r="F144" s="150"/>
      <c r="G144" s="150"/>
      <c r="H144" s="150"/>
      <c r="I144" s="151"/>
      <c r="J144" s="41" t="str">
        <f aca="false">IF($E144="","",$E144&amp;"|"&amp;COUNTIF($E$5:$E144,$E144))</f>
        <v/>
      </c>
      <c r="K144" s="40" t="str">
        <f aca="false">IF($I144="","",LEN($I144))</f>
        <v/>
      </c>
      <c r="L144" s="13"/>
      <c r="M144" s="13"/>
      <c r="N144" s="13"/>
      <c r="O144" s="13"/>
      <c r="P144" s="152"/>
      <c r="Q144" s="149"/>
      <c r="R144" s="152"/>
      <c r="S144" s="152"/>
      <c r="T144" s="62" t="str">
        <f aca="false">IF(OR($C144="",R144=""),"",IF(R144/IF($R$2="",100,$R$2)&gt;=設定!$I$28,設定!$G$8,IF(R144/IF($R$2="",100,$R$2)&lt;設定!$I$29,設定!$G$10,設定!$G$9)))</f>
        <v/>
      </c>
      <c r="U144" s="62" t="str">
        <f aca="false">IF(OR($C144="",S144=""),"",IF(S144/IF($S$2="",100,$S$2)&gt;=設定!$I$28,設定!$G$8,IF(S144/IF($S$2="",100,$S$2)&lt;設定!$I$29,設定!$G$10,設定!$G$9)))</f>
        <v/>
      </c>
    </row>
    <row r="145" customFormat="false" ht="21" hidden="false" customHeight="true" outlineLevel="0" collapsed="false">
      <c r="A145" s="91" t="str">
        <f aca="false">IF(名簿!$D145="","",名簿!$B145&amp;"")</f>
        <v/>
      </c>
      <c r="B145" s="91" t="str">
        <f aca="false">IF(名簿!$D145="","",名簿!$C145)</f>
        <v/>
      </c>
      <c r="C145" s="59" t="str">
        <f aca="false">IF(名簿!$D145="","",名簿!$D145&amp;IF(名簿!$F145="転出","（転出）",""))</f>
        <v/>
      </c>
      <c r="D145" s="149"/>
      <c r="E145" s="61" t="str">
        <f aca="false">IF(OR($C145="",名簿!$F145="転出"),"",IF($C$2="学級ごと",$A145,IF($C$2="前の単元と同じ",単元17!$E145&amp;"",$D145&amp;"")))</f>
        <v/>
      </c>
      <c r="F145" s="150"/>
      <c r="G145" s="150"/>
      <c r="H145" s="150"/>
      <c r="I145" s="151"/>
      <c r="J145" s="41" t="str">
        <f aca="false">IF($E145="","",$E145&amp;"|"&amp;COUNTIF($E$5:$E145,$E145))</f>
        <v/>
      </c>
      <c r="K145" s="40" t="str">
        <f aca="false">IF($I145="","",LEN($I145))</f>
        <v/>
      </c>
      <c r="L145" s="13"/>
      <c r="M145" s="13"/>
      <c r="N145" s="13"/>
      <c r="O145" s="13"/>
      <c r="P145" s="152"/>
      <c r="Q145" s="149"/>
      <c r="R145" s="152"/>
      <c r="S145" s="152"/>
      <c r="T145" s="62" t="str">
        <f aca="false">IF(OR($C145="",R145=""),"",IF(R145/IF($R$2="",100,$R$2)&gt;=設定!$I$28,設定!$G$8,IF(R145/IF($R$2="",100,$R$2)&lt;設定!$I$29,設定!$G$10,設定!$G$9)))</f>
        <v/>
      </c>
      <c r="U145" s="62" t="str">
        <f aca="false">IF(OR($C145="",S145=""),"",IF(S145/IF($S$2="",100,$S$2)&gt;=設定!$I$28,設定!$G$8,IF(S145/IF($S$2="",100,$S$2)&lt;設定!$I$29,設定!$G$10,設定!$G$9)))</f>
        <v/>
      </c>
    </row>
    <row r="146" customFormat="false" ht="21" hidden="false" customHeight="true" outlineLevel="0" collapsed="false">
      <c r="A146" s="91" t="str">
        <f aca="false">IF(名簿!$D146="","",名簿!$B146&amp;"")</f>
        <v/>
      </c>
      <c r="B146" s="91" t="str">
        <f aca="false">IF(名簿!$D146="","",名簿!$C146)</f>
        <v/>
      </c>
      <c r="C146" s="59" t="str">
        <f aca="false">IF(名簿!$D146="","",名簿!$D146&amp;IF(名簿!$F146="転出","（転出）",""))</f>
        <v/>
      </c>
      <c r="D146" s="149"/>
      <c r="E146" s="61" t="str">
        <f aca="false">IF(OR($C146="",名簿!$F146="転出"),"",IF($C$2="学級ごと",$A146,IF($C$2="前の単元と同じ",単元17!$E146&amp;"",$D146&amp;"")))</f>
        <v/>
      </c>
      <c r="F146" s="150"/>
      <c r="G146" s="150"/>
      <c r="H146" s="150"/>
      <c r="I146" s="151"/>
      <c r="J146" s="41" t="str">
        <f aca="false">IF($E146="","",$E146&amp;"|"&amp;COUNTIF($E$5:$E146,$E146))</f>
        <v/>
      </c>
      <c r="K146" s="40" t="str">
        <f aca="false">IF($I146="","",LEN($I146))</f>
        <v/>
      </c>
      <c r="L146" s="13"/>
      <c r="M146" s="13"/>
      <c r="N146" s="13"/>
      <c r="O146" s="13"/>
      <c r="P146" s="152"/>
      <c r="Q146" s="149"/>
      <c r="R146" s="152"/>
      <c r="S146" s="152"/>
      <c r="T146" s="62" t="str">
        <f aca="false">IF(OR($C146="",R146=""),"",IF(R146/IF($R$2="",100,$R$2)&gt;=設定!$I$28,設定!$G$8,IF(R146/IF($R$2="",100,$R$2)&lt;設定!$I$29,設定!$G$10,設定!$G$9)))</f>
        <v/>
      </c>
      <c r="U146" s="62" t="str">
        <f aca="false">IF(OR($C146="",S146=""),"",IF(S146/IF($S$2="",100,$S$2)&gt;=設定!$I$28,設定!$G$8,IF(S146/IF($S$2="",100,$S$2)&lt;設定!$I$29,設定!$G$10,設定!$G$9)))</f>
        <v/>
      </c>
    </row>
    <row r="147" customFormat="false" ht="21" hidden="false" customHeight="true" outlineLevel="0" collapsed="false">
      <c r="A147" s="91" t="str">
        <f aca="false">IF(名簿!$D147="","",名簿!$B147&amp;"")</f>
        <v/>
      </c>
      <c r="B147" s="91" t="str">
        <f aca="false">IF(名簿!$D147="","",名簿!$C147)</f>
        <v/>
      </c>
      <c r="C147" s="59" t="str">
        <f aca="false">IF(名簿!$D147="","",名簿!$D147&amp;IF(名簿!$F147="転出","（転出）",""))</f>
        <v/>
      </c>
      <c r="D147" s="149"/>
      <c r="E147" s="61" t="str">
        <f aca="false">IF(OR($C147="",名簿!$F147="転出"),"",IF($C$2="学級ごと",$A147,IF($C$2="前の単元と同じ",単元17!$E147&amp;"",$D147&amp;"")))</f>
        <v/>
      </c>
      <c r="F147" s="150"/>
      <c r="G147" s="150"/>
      <c r="H147" s="150"/>
      <c r="I147" s="151"/>
      <c r="J147" s="41" t="str">
        <f aca="false">IF($E147="","",$E147&amp;"|"&amp;COUNTIF($E$5:$E147,$E147))</f>
        <v/>
      </c>
      <c r="K147" s="40" t="str">
        <f aca="false">IF($I147="","",LEN($I147))</f>
        <v/>
      </c>
      <c r="L147" s="13"/>
      <c r="M147" s="13"/>
      <c r="N147" s="13"/>
      <c r="O147" s="13"/>
      <c r="P147" s="152"/>
      <c r="Q147" s="149"/>
      <c r="R147" s="152"/>
      <c r="S147" s="152"/>
      <c r="T147" s="62" t="str">
        <f aca="false">IF(OR($C147="",R147=""),"",IF(R147/IF($R$2="",100,$R$2)&gt;=設定!$I$28,設定!$G$8,IF(R147/IF($R$2="",100,$R$2)&lt;設定!$I$29,設定!$G$10,設定!$G$9)))</f>
        <v/>
      </c>
      <c r="U147" s="62" t="str">
        <f aca="false">IF(OR($C147="",S147=""),"",IF(S147/IF($S$2="",100,$S$2)&gt;=設定!$I$28,設定!$G$8,IF(S147/IF($S$2="",100,$S$2)&lt;設定!$I$29,設定!$G$10,設定!$G$9)))</f>
        <v/>
      </c>
    </row>
    <row r="148" customFormat="false" ht="21" hidden="false" customHeight="true" outlineLevel="0" collapsed="false">
      <c r="A148" s="91" t="str">
        <f aca="false">IF(名簿!$D148="","",名簿!$B148&amp;"")</f>
        <v/>
      </c>
      <c r="B148" s="91" t="str">
        <f aca="false">IF(名簿!$D148="","",名簿!$C148)</f>
        <v/>
      </c>
      <c r="C148" s="59" t="str">
        <f aca="false">IF(名簿!$D148="","",名簿!$D148&amp;IF(名簿!$F148="転出","（転出）",""))</f>
        <v/>
      </c>
      <c r="D148" s="149"/>
      <c r="E148" s="61" t="str">
        <f aca="false">IF(OR($C148="",名簿!$F148="転出"),"",IF($C$2="学級ごと",$A148,IF($C$2="前の単元と同じ",単元17!$E148&amp;"",$D148&amp;"")))</f>
        <v/>
      </c>
      <c r="F148" s="150"/>
      <c r="G148" s="150"/>
      <c r="H148" s="150"/>
      <c r="I148" s="151"/>
      <c r="J148" s="41" t="str">
        <f aca="false">IF($E148="","",$E148&amp;"|"&amp;COUNTIF($E$5:$E148,$E148))</f>
        <v/>
      </c>
      <c r="K148" s="40" t="str">
        <f aca="false">IF($I148="","",LEN($I148))</f>
        <v/>
      </c>
      <c r="L148" s="13"/>
      <c r="M148" s="13"/>
      <c r="N148" s="13"/>
      <c r="O148" s="13"/>
      <c r="P148" s="152"/>
      <c r="Q148" s="149"/>
      <c r="R148" s="152"/>
      <c r="S148" s="152"/>
      <c r="T148" s="62" t="str">
        <f aca="false">IF(OR($C148="",R148=""),"",IF(R148/IF($R$2="",100,$R$2)&gt;=設定!$I$28,設定!$G$8,IF(R148/IF($R$2="",100,$R$2)&lt;設定!$I$29,設定!$G$10,設定!$G$9)))</f>
        <v/>
      </c>
      <c r="U148" s="62" t="str">
        <f aca="false">IF(OR($C148="",S148=""),"",IF(S148/IF($S$2="",100,$S$2)&gt;=設定!$I$28,設定!$G$8,IF(S148/IF($S$2="",100,$S$2)&lt;設定!$I$29,設定!$G$10,設定!$G$9)))</f>
        <v/>
      </c>
    </row>
    <row r="149" customFormat="false" ht="21" hidden="false" customHeight="true" outlineLevel="0" collapsed="false">
      <c r="A149" s="91" t="str">
        <f aca="false">IF(名簿!$D149="","",名簿!$B149&amp;"")</f>
        <v/>
      </c>
      <c r="B149" s="91" t="str">
        <f aca="false">IF(名簿!$D149="","",名簿!$C149)</f>
        <v/>
      </c>
      <c r="C149" s="59" t="str">
        <f aca="false">IF(名簿!$D149="","",名簿!$D149&amp;IF(名簿!$F149="転出","（転出）",""))</f>
        <v/>
      </c>
      <c r="D149" s="149"/>
      <c r="E149" s="61" t="str">
        <f aca="false">IF(OR($C149="",名簿!$F149="転出"),"",IF($C$2="学級ごと",$A149,IF($C$2="前の単元と同じ",単元17!$E149&amp;"",$D149&amp;"")))</f>
        <v/>
      </c>
      <c r="F149" s="150"/>
      <c r="G149" s="150"/>
      <c r="H149" s="150"/>
      <c r="I149" s="151"/>
      <c r="J149" s="41" t="str">
        <f aca="false">IF($E149="","",$E149&amp;"|"&amp;COUNTIF($E$5:$E149,$E149))</f>
        <v/>
      </c>
      <c r="K149" s="40" t="str">
        <f aca="false">IF($I149="","",LEN($I149))</f>
        <v/>
      </c>
      <c r="L149" s="13"/>
      <c r="M149" s="13"/>
      <c r="N149" s="13"/>
      <c r="O149" s="13"/>
      <c r="P149" s="152"/>
      <c r="Q149" s="149"/>
      <c r="R149" s="152"/>
      <c r="S149" s="152"/>
      <c r="T149" s="62" t="str">
        <f aca="false">IF(OR($C149="",R149=""),"",IF(R149/IF($R$2="",100,$R$2)&gt;=設定!$I$28,設定!$G$8,IF(R149/IF($R$2="",100,$R$2)&lt;設定!$I$29,設定!$G$10,設定!$G$9)))</f>
        <v/>
      </c>
      <c r="U149" s="62" t="str">
        <f aca="false">IF(OR($C149="",S149=""),"",IF(S149/IF($S$2="",100,$S$2)&gt;=設定!$I$28,設定!$G$8,IF(S149/IF($S$2="",100,$S$2)&lt;設定!$I$29,設定!$G$10,設定!$G$9)))</f>
        <v/>
      </c>
    </row>
    <row r="150" customFormat="false" ht="21" hidden="false" customHeight="true" outlineLevel="0" collapsed="false">
      <c r="A150" s="91" t="str">
        <f aca="false">IF(名簿!$D150="","",名簿!$B150&amp;"")</f>
        <v/>
      </c>
      <c r="B150" s="91" t="str">
        <f aca="false">IF(名簿!$D150="","",名簿!$C150)</f>
        <v/>
      </c>
      <c r="C150" s="59" t="str">
        <f aca="false">IF(名簿!$D150="","",名簿!$D150&amp;IF(名簿!$F150="転出","（転出）",""))</f>
        <v/>
      </c>
      <c r="D150" s="149"/>
      <c r="E150" s="61" t="str">
        <f aca="false">IF(OR($C150="",名簿!$F150="転出"),"",IF($C$2="学級ごと",$A150,IF($C$2="前の単元と同じ",単元17!$E150&amp;"",$D150&amp;"")))</f>
        <v/>
      </c>
      <c r="F150" s="150"/>
      <c r="G150" s="150"/>
      <c r="H150" s="150"/>
      <c r="I150" s="151"/>
      <c r="J150" s="41" t="str">
        <f aca="false">IF($E150="","",$E150&amp;"|"&amp;COUNTIF($E$5:$E150,$E150))</f>
        <v/>
      </c>
      <c r="K150" s="40" t="str">
        <f aca="false">IF($I150="","",LEN($I150))</f>
        <v/>
      </c>
      <c r="L150" s="13"/>
      <c r="M150" s="13"/>
      <c r="N150" s="13"/>
      <c r="O150" s="13"/>
      <c r="P150" s="152"/>
      <c r="Q150" s="149"/>
      <c r="R150" s="152"/>
      <c r="S150" s="152"/>
      <c r="T150" s="62" t="str">
        <f aca="false">IF(OR($C150="",R150=""),"",IF(R150/IF($R$2="",100,$R$2)&gt;=設定!$I$28,設定!$G$8,IF(R150/IF($R$2="",100,$R$2)&lt;設定!$I$29,設定!$G$10,設定!$G$9)))</f>
        <v/>
      </c>
      <c r="U150" s="62" t="str">
        <f aca="false">IF(OR($C150="",S150=""),"",IF(S150/IF($S$2="",100,$S$2)&gt;=設定!$I$28,設定!$G$8,IF(S150/IF($S$2="",100,$S$2)&lt;設定!$I$29,設定!$G$10,設定!$G$9)))</f>
        <v/>
      </c>
    </row>
    <row r="151" customFormat="false" ht="21" hidden="false" customHeight="true" outlineLevel="0" collapsed="false">
      <c r="A151" s="91" t="str">
        <f aca="false">IF(名簿!$D151="","",名簿!$B151&amp;"")</f>
        <v/>
      </c>
      <c r="B151" s="91" t="str">
        <f aca="false">IF(名簿!$D151="","",名簿!$C151)</f>
        <v/>
      </c>
      <c r="C151" s="59" t="str">
        <f aca="false">IF(名簿!$D151="","",名簿!$D151&amp;IF(名簿!$F151="転出","（転出）",""))</f>
        <v/>
      </c>
      <c r="D151" s="149"/>
      <c r="E151" s="61" t="str">
        <f aca="false">IF(OR($C151="",名簿!$F151="転出"),"",IF($C$2="学級ごと",$A151,IF($C$2="前の単元と同じ",単元17!$E151&amp;"",$D151&amp;"")))</f>
        <v/>
      </c>
      <c r="F151" s="150"/>
      <c r="G151" s="150"/>
      <c r="H151" s="150"/>
      <c r="I151" s="151"/>
      <c r="J151" s="41" t="str">
        <f aca="false">IF($E151="","",$E151&amp;"|"&amp;COUNTIF($E$5:$E151,$E151))</f>
        <v/>
      </c>
      <c r="K151" s="40" t="str">
        <f aca="false">IF($I151="","",LEN($I151))</f>
        <v/>
      </c>
      <c r="L151" s="13"/>
      <c r="M151" s="13"/>
      <c r="N151" s="13"/>
      <c r="O151" s="13"/>
      <c r="P151" s="152"/>
      <c r="Q151" s="149"/>
      <c r="R151" s="152"/>
      <c r="S151" s="152"/>
      <c r="T151" s="62" t="str">
        <f aca="false">IF(OR($C151="",R151=""),"",IF(R151/IF($R$2="",100,$R$2)&gt;=設定!$I$28,設定!$G$8,IF(R151/IF($R$2="",100,$R$2)&lt;設定!$I$29,設定!$G$10,設定!$G$9)))</f>
        <v/>
      </c>
      <c r="U151" s="62" t="str">
        <f aca="false">IF(OR($C151="",S151=""),"",IF(S151/IF($S$2="",100,$S$2)&gt;=設定!$I$28,設定!$G$8,IF(S151/IF($S$2="",100,$S$2)&lt;設定!$I$29,設定!$G$10,設定!$G$9)))</f>
        <v/>
      </c>
    </row>
    <row r="152" customFormat="false" ht="21" hidden="false" customHeight="true" outlineLevel="0" collapsed="false">
      <c r="A152" s="91" t="str">
        <f aca="false">IF(名簿!$D152="","",名簿!$B152&amp;"")</f>
        <v/>
      </c>
      <c r="B152" s="91" t="str">
        <f aca="false">IF(名簿!$D152="","",名簿!$C152)</f>
        <v/>
      </c>
      <c r="C152" s="59" t="str">
        <f aca="false">IF(名簿!$D152="","",名簿!$D152&amp;IF(名簿!$F152="転出","（転出）",""))</f>
        <v/>
      </c>
      <c r="D152" s="149"/>
      <c r="E152" s="61" t="str">
        <f aca="false">IF(OR($C152="",名簿!$F152="転出"),"",IF($C$2="学級ごと",$A152,IF($C$2="前の単元と同じ",単元17!$E152&amp;"",$D152&amp;"")))</f>
        <v/>
      </c>
      <c r="F152" s="150"/>
      <c r="G152" s="150"/>
      <c r="H152" s="150"/>
      <c r="I152" s="151"/>
      <c r="J152" s="41" t="str">
        <f aca="false">IF($E152="","",$E152&amp;"|"&amp;COUNTIF($E$5:$E152,$E152))</f>
        <v/>
      </c>
      <c r="K152" s="40" t="str">
        <f aca="false">IF($I152="","",LEN($I152))</f>
        <v/>
      </c>
      <c r="L152" s="13"/>
      <c r="M152" s="13"/>
      <c r="N152" s="13"/>
      <c r="O152" s="13"/>
      <c r="P152" s="152"/>
      <c r="Q152" s="149"/>
      <c r="R152" s="152"/>
      <c r="S152" s="152"/>
      <c r="T152" s="62" t="str">
        <f aca="false">IF(OR($C152="",R152=""),"",IF(R152/IF($R$2="",100,$R$2)&gt;=設定!$I$28,設定!$G$8,IF(R152/IF($R$2="",100,$R$2)&lt;設定!$I$29,設定!$G$10,設定!$G$9)))</f>
        <v/>
      </c>
      <c r="U152" s="62" t="str">
        <f aca="false">IF(OR($C152="",S152=""),"",IF(S152/IF($S$2="",100,$S$2)&gt;=設定!$I$28,設定!$G$8,IF(S152/IF($S$2="",100,$S$2)&lt;設定!$I$29,設定!$G$10,設定!$G$9)))</f>
        <v/>
      </c>
    </row>
    <row r="153" customFormat="false" ht="21" hidden="false" customHeight="true" outlineLevel="0" collapsed="false">
      <c r="A153" s="91" t="str">
        <f aca="false">IF(名簿!$D153="","",名簿!$B153&amp;"")</f>
        <v/>
      </c>
      <c r="B153" s="91" t="str">
        <f aca="false">IF(名簿!$D153="","",名簿!$C153)</f>
        <v/>
      </c>
      <c r="C153" s="59" t="str">
        <f aca="false">IF(名簿!$D153="","",名簿!$D153&amp;IF(名簿!$F153="転出","（転出）",""))</f>
        <v/>
      </c>
      <c r="D153" s="149"/>
      <c r="E153" s="61" t="str">
        <f aca="false">IF(OR($C153="",名簿!$F153="転出"),"",IF($C$2="学級ごと",$A153,IF($C$2="前の単元と同じ",単元17!$E153&amp;"",$D153&amp;"")))</f>
        <v/>
      </c>
      <c r="F153" s="150"/>
      <c r="G153" s="150"/>
      <c r="H153" s="150"/>
      <c r="I153" s="151"/>
      <c r="J153" s="41" t="str">
        <f aca="false">IF($E153="","",$E153&amp;"|"&amp;COUNTIF($E$5:$E153,$E153))</f>
        <v/>
      </c>
      <c r="K153" s="40" t="str">
        <f aca="false">IF($I153="","",LEN($I153))</f>
        <v/>
      </c>
      <c r="L153" s="13"/>
      <c r="M153" s="13"/>
      <c r="N153" s="13"/>
      <c r="O153" s="13"/>
      <c r="P153" s="152"/>
      <c r="Q153" s="149"/>
      <c r="R153" s="152"/>
      <c r="S153" s="152"/>
      <c r="T153" s="62" t="str">
        <f aca="false">IF(OR($C153="",R153=""),"",IF(R153/IF($R$2="",100,$R$2)&gt;=設定!$I$28,設定!$G$8,IF(R153/IF($R$2="",100,$R$2)&lt;設定!$I$29,設定!$G$10,設定!$G$9)))</f>
        <v/>
      </c>
      <c r="U153" s="62" t="str">
        <f aca="false">IF(OR($C153="",S153=""),"",IF(S153/IF($S$2="",100,$S$2)&gt;=設定!$I$28,設定!$G$8,IF(S153/IF($S$2="",100,$S$2)&lt;設定!$I$29,設定!$G$10,設定!$G$9)))</f>
        <v/>
      </c>
    </row>
    <row r="154" customFormat="false" ht="21" hidden="false" customHeight="true" outlineLevel="0" collapsed="false">
      <c r="A154" s="91" t="str">
        <f aca="false">IF(名簿!$D154="","",名簿!$B154&amp;"")</f>
        <v/>
      </c>
      <c r="B154" s="91" t="str">
        <f aca="false">IF(名簿!$D154="","",名簿!$C154)</f>
        <v/>
      </c>
      <c r="C154" s="59" t="str">
        <f aca="false">IF(名簿!$D154="","",名簿!$D154&amp;IF(名簿!$F154="転出","（転出）",""))</f>
        <v/>
      </c>
      <c r="D154" s="149"/>
      <c r="E154" s="61" t="str">
        <f aca="false">IF(OR($C154="",名簿!$F154="転出"),"",IF($C$2="学級ごと",$A154,IF($C$2="前の単元と同じ",単元17!$E154&amp;"",$D154&amp;"")))</f>
        <v/>
      </c>
      <c r="F154" s="150"/>
      <c r="G154" s="150"/>
      <c r="H154" s="150"/>
      <c r="I154" s="151"/>
      <c r="J154" s="41" t="str">
        <f aca="false">IF($E154="","",$E154&amp;"|"&amp;COUNTIF($E$5:$E154,$E154))</f>
        <v/>
      </c>
      <c r="K154" s="40" t="str">
        <f aca="false">IF($I154="","",LEN($I154))</f>
        <v/>
      </c>
      <c r="L154" s="13"/>
      <c r="M154" s="13"/>
      <c r="N154" s="13"/>
      <c r="O154" s="13"/>
      <c r="P154" s="152"/>
      <c r="Q154" s="149"/>
      <c r="R154" s="152"/>
      <c r="S154" s="152"/>
      <c r="T154" s="62" t="str">
        <f aca="false">IF(OR($C154="",R154=""),"",IF(R154/IF($R$2="",100,$R$2)&gt;=設定!$I$28,設定!$G$8,IF(R154/IF($R$2="",100,$R$2)&lt;設定!$I$29,設定!$G$10,設定!$G$9)))</f>
        <v/>
      </c>
      <c r="U154" s="62" t="str">
        <f aca="false">IF(OR($C154="",S154=""),"",IF(S154/IF($S$2="",100,$S$2)&gt;=設定!$I$28,設定!$G$8,IF(S154/IF($S$2="",100,$S$2)&lt;設定!$I$29,設定!$G$10,設定!$G$9)))</f>
        <v/>
      </c>
    </row>
    <row r="155" customFormat="false" ht="21" hidden="false" customHeight="true" outlineLevel="0" collapsed="false">
      <c r="A155" s="91" t="str">
        <f aca="false">IF(名簿!$D155="","",名簿!$B155&amp;"")</f>
        <v/>
      </c>
      <c r="B155" s="91" t="str">
        <f aca="false">IF(名簿!$D155="","",名簿!$C155)</f>
        <v/>
      </c>
      <c r="C155" s="59" t="str">
        <f aca="false">IF(名簿!$D155="","",名簿!$D155&amp;IF(名簿!$F155="転出","（転出）",""))</f>
        <v/>
      </c>
      <c r="D155" s="149"/>
      <c r="E155" s="61" t="str">
        <f aca="false">IF(OR($C155="",名簿!$F155="転出"),"",IF($C$2="学級ごと",$A155,IF($C$2="前の単元と同じ",単元17!$E155&amp;"",$D155&amp;"")))</f>
        <v/>
      </c>
      <c r="F155" s="150"/>
      <c r="G155" s="150"/>
      <c r="H155" s="150"/>
      <c r="I155" s="151"/>
      <c r="J155" s="41" t="str">
        <f aca="false">IF($E155="","",$E155&amp;"|"&amp;COUNTIF($E$5:$E155,$E155))</f>
        <v/>
      </c>
      <c r="K155" s="40" t="str">
        <f aca="false">IF($I155="","",LEN($I155))</f>
        <v/>
      </c>
      <c r="L155" s="13"/>
      <c r="M155" s="13"/>
      <c r="N155" s="13"/>
      <c r="O155" s="13"/>
      <c r="P155" s="152"/>
      <c r="Q155" s="149"/>
      <c r="R155" s="152"/>
      <c r="S155" s="152"/>
      <c r="T155" s="62" t="str">
        <f aca="false">IF(OR($C155="",R155=""),"",IF(R155/IF($R$2="",100,$R$2)&gt;=設定!$I$28,設定!$G$8,IF(R155/IF($R$2="",100,$R$2)&lt;設定!$I$29,設定!$G$10,設定!$G$9)))</f>
        <v/>
      </c>
      <c r="U155" s="62" t="str">
        <f aca="false">IF(OR($C155="",S155=""),"",IF(S155/IF($S$2="",100,$S$2)&gt;=設定!$I$28,設定!$G$8,IF(S155/IF($S$2="",100,$S$2)&lt;設定!$I$29,設定!$G$10,設定!$G$9)))</f>
        <v/>
      </c>
    </row>
    <row r="156" customFormat="false" ht="21" hidden="false" customHeight="true" outlineLevel="0" collapsed="false">
      <c r="A156" s="91" t="str">
        <f aca="false">IF(名簿!$D156="","",名簿!$B156&amp;"")</f>
        <v/>
      </c>
      <c r="B156" s="91" t="str">
        <f aca="false">IF(名簿!$D156="","",名簿!$C156)</f>
        <v/>
      </c>
      <c r="C156" s="59" t="str">
        <f aca="false">IF(名簿!$D156="","",名簿!$D156&amp;IF(名簿!$F156="転出","（転出）",""))</f>
        <v/>
      </c>
      <c r="D156" s="149"/>
      <c r="E156" s="61" t="str">
        <f aca="false">IF(OR($C156="",名簿!$F156="転出"),"",IF($C$2="学級ごと",$A156,IF($C$2="前の単元と同じ",単元17!$E156&amp;"",$D156&amp;"")))</f>
        <v/>
      </c>
      <c r="F156" s="150"/>
      <c r="G156" s="150"/>
      <c r="H156" s="150"/>
      <c r="I156" s="151"/>
      <c r="J156" s="41" t="str">
        <f aca="false">IF($E156="","",$E156&amp;"|"&amp;COUNTIF($E$5:$E156,$E156))</f>
        <v/>
      </c>
      <c r="K156" s="40" t="str">
        <f aca="false">IF($I156="","",LEN($I156))</f>
        <v/>
      </c>
      <c r="L156" s="13"/>
      <c r="M156" s="13"/>
      <c r="N156" s="13"/>
      <c r="O156" s="13"/>
      <c r="P156" s="152"/>
      <c r="Q156" s="149"/>
      <c r="R156" s="152"/>
      <c r="S156" s="152"/>
      <c r="T156" s="62" t="str">
        <f aca="false">IF(OR($C156="",R156=""),"",IF(R156/IF($R$2="",100,$R$2)&gt;=設定!$I$28,設定!$G$8,IF(R156/IF($R$2="",100,$R$2)&lt;設定!$I$29,設定!$G$10,設定!$G$9)))</f>
        <v/>
      </c>
      <c r="U156" s="62" t="str">
        <f aca="false">IF(OR($C156="",S156=""),"",IF(S156/IF($S$2="",100,$S$2)&gt;=設定!$I$28,設定!$G$8,IF(S156/IF($S$2="",100,$S$2)&lt;設定!$I$29,設定!$G$10,設定!$G$9)))</f>
        <v/>
      </c>
    </row>
    <row r="157" customFormat="false" ht="21" hidden="false" customHeight="true" outlineLevel="0" collapsed="false">
      <c r="A157" s="91" t="str">
        <f aca="false">IF(名簿!$D157="","",名簿!$B157&amp;"")</f>
        <v/>
      </c>
      <c r="B157" s="91" t="str">
        <f aca="false">IF(名簿!$D157="","",名簿!$C157)</f>
        <v/>
      </c>
      <c r="C157" s="59" t="str">
        <f aca="false">IF(名簿!$D157="","",名簿!$D157&amp;IF(名簿!$F157="転出","（転出）",""))</f>
        <v/>
      </c>
      <c r="D157" s="149"/>
      <c r="E157" s="61" t="str">
        <f aca="false">IF(OR($C157="",名簿!$F157="転出"),"",IF($C$2="学級ごと",$A157,IF($C$2="前の単元と同じ",単元17!$E157&amp;"",$D157&amp;"")))</f>
        <v/>
      </c>
      <c r="F157" s="150"/>
      <c r="G157" s="150"/>
      <c r="H157" s="150"/>
      <c r="I157" s="151"/>
      <c r="J157" s="41" t="str">
        <f aca="false">IF($E157="","",$E157&amp;"|"&amp;COUNTIF($E$5:$E157,$E157))</f>
        <v/>
      </c>
      <c r="K157" s="40" t="str">
        <f aca="false">IF($I157="","",LEN($I157))</f>
        <v/>
      </c>
      <c r="L157" s="13"/>
      <c r="M157" s="13"/>
      <c r="N157" s="13"/>
      <c r="O157" s="13"/>
      <c r="P157" s="152"/>
      <c r="Q157" s="149"/>
      <c r="R157" s="152"/>
      <c r="S157" s="152"/>
      <c r="T157" s="62" t="str">
        <f aca="false">IF(OR($C157="",R157=""),"",IF(R157/IF($R$2="",100,$R$2)&gt;=設定!$I$28,設定!$G$8,IF(R157/IF($R$2="",100,$R$2)&lt;設定!$I$29,設定!$G$10,設定!$G$9)))</f>
        <v/>
      </c>
      <c r="U157" s="62" t="str">
        <f aca="false">IF(OR($C157="",S157=""),"",IF(S157/IF($S$2="",100,$S$2)&gt;=設定!$I$28,設定!$G$8,IF(S157/IF($S$2="",100,$S$2)&lt;設定!$I$29,設定!$G$10,設定!$G$9)))</f>
        <v/>
      </c>
    </row>
    <row r="158" customFormat="false" ht="21" hidden="false" customHeight="true" outlineLevel="0" collapsed="false">
      <c r="A158" s="91" t="str">
        <f aca="false">IF(名簿!$D158="","",名簿!$B158&amp;"")</f>
        <v/>
      </c>
      <c r="B158" s="91" t="str">
        <f aca="false">IF(名簿!$D158="","",名簿!$C158)</f>
        <v/>
      </c>
      <c r="C158" s="59" t="str">
        <f aca="false">IF(名簿!$D158="","",名簿!$D158&amp;IF(名簿!$F158="転出","（転出）",""))</f>
        <v/>
      </c>
      <c r="D158" s="149"/>
      <c r="E158" s="61" t="str">
        <f aca="false">IF(OR($C158="",名簿!$F158="転出"),"",IF($C$2="学級ごと",$A158,IF($C$2="前の単元と同じ",単元17!$E158&amp;"",$D158&amp;"")))</f>
        <v/>
      </c>
      <c r="F158" s="150"/>
      <c r="G158" s="150"/>
      <c r="H158" s="150"/>
      <c r="I158" s="151"/>
      <c r="J158" s="41" t="str">
        <f aca="false">IF($E158="","",$E158&amp;"|"&amp;COUNTIF($E$5:$E158,$E158))</f>
        <v/>
      </c>
      <c r="K158" s="40" t="str">
        <f aca="false">IF($I158="","",LEN($I158))</f>
        <v/>
      </c>
      <c r="L158" s="13"/>
      <c r="M158" s="13"/>
      <c r="N158" s="13"/>
      <c r="O158" s="13"/>
      <c r="P158" s="152"/>
      <c r="Q158" s="149"/>
      <c r="R158" s="152"/>
      <c r="S158" s="152"/>
      <c r="T158" s="62" t="str">
        <f aca="false">IF(OR($C158="",R158=""),"",IF(R158/IF($R$2="",100,$R$2)&gt;=設定!$I$28,設定!$G$8,IF(R158/IF($R$2="",100,$R$2)&lt;設定!$I$29,設定!$G$10,設定!$G$9)))</f>
        <v/>
      </c>
      <c r="U158" s="62" t="str">
        <f aca="false">IF(OR($C158="",S158=""),"",IF(S158/IF($S$2="",100,$S$2)&gt;=設定!$I$28,設定!$G$8,IF(S158/IF($S$2="",100,$S$2)&lt;設定!$I$29,設定!$G$10,設定!$G$9)))</f>
        <v/>
      </c>
    </row>
    <row r="159" customFormat="false" ht="21" hidden="false" customHeight="true" outlineLevel="0" collapsed="false">
      <c r="A159" s="91" t="str">
        <f aca="false">IF(名簿!$D159="","",名簿!$B159&amp;"")</f>
        <v/>
      </c>
      <c r="B159" s="91" t="str">
        <f aca="false">IF(名簿!$D159="","",名簿!$C159)</f>
        <v/>
      </c>
      <c r="C159" s="59" t="str">
        <f aca="false">IF(名簿!$D159="","",名簿!$D159&amp;IF(名簿!$F159="転出","（転出）",""))</f>
        <v/>
      </c>
      <c r="D159" s="149"/>
      <c r="E159" s="61" t="str">
        <f aca="false">IF(OR($C159="",名簿!$F159="転出"),"",IF($C$2="学級ごと",$A159,IF($C$2="前の単元と同じ",単元17!$E159&amp;"",$D159&amp;"")))</f>
        <v/>
      </c>
      <c r="F159" s="150"/>
      <c r="G159" s="150"/>
      <c r="H159" s="150"/>
      <c r="I159" s="151"/>
      <c r="J159" s="41" t="str">
        <f aca="false">IF($E159="","",$E159&amp;"|"&amp;COUNTIF($E$5:$E159,$E159))</f>
        <v/>
      </c>
      <c r="K159" s="40" t="str">
        <f aca="false">IF($I159="","",LEN($I159))</f>
        <v/>
      </c>
      <c r="L159" s="13"/>
      <c r="M159" s="13"/>
      <c r="N159" s="13"/>
      <c r="O159" s="13"/>
      <c r="P159" s="152"/>
      <c r="Q159" s="149"/>
      <c r="R159" s="152"/>
      <c r="S159" s="152"/>
      <c r="T159" s="62" t="str">
        <f aca="false">IF(OR($C159="",R159=""),"",IF(R159/IF($R$2="",100,$R$2)&gt;=設定!$I$28,設定!$G$8,IF(R159/IF($R$2="",100,$R$2)&lt;設定!$I$29,設定!$G$10,設定!$G$9)))</f>
        <v/>
      </c>
      <c r="U159" s="62" t="str">
        <f aca="false">IF(OR($C159="",S159=""),"",IF(S159/IF($S$2="",100,$S$2)&gt;=設定!$I$28,設定!$G$8,IF(S159/IF($S$2="",100,$S$2)&lt;設定!$I$29,設定!$G$10,設定!$G$9)))</f>
        <v/>
      </c>
    </row>
    <row r="160" customFormat="false" ht="21" hidden="false" customHeight="true" outlineLevel="0" collapsed="false">
      <c r="A160" s="91" t="str">
        <f aca="false">IF(名簿!$D160="","",名簿!$B160&amp;"")</f>
        <v/>
      </c>
      <c r="B160" s="91" t="str">
        <f aca="false">IF(名簿!$D160="","",名簿!$C160)</f>
        <v/>
      </c>
      <c r="C160" s="59" t="str">
        <f aca="false">IF(名簿!$D160="","",名簿!$D160&amp;IF(名簿!$F160="転出","（転出）",""))</f>
        <v/>
      </c>
      <c r="D160" s="149"/>
      <c r="E160" s="61" t="str">
        <f aca="false">IF(OR($C160="",名簿!$F160="転出"),"",IF($C$2="学級ごと",$A160,IF($C$2="前の単元と同じ",単元17!$E160&amp;"",$D160&amp;"")))</f>
        <v/>
      </c>
      <c r="F160" s="150"/>
      <c r="G160" s="150"/>
      <c r="H160" s="150"/>
      <c r="I160" s="151"/>
      <c r="J160" s="41" t="str">
        <f aca="false">IF($E160="","",$E160&amp;"|"&amp;COUNTIF($E$5:$E160,$E160))</f>
        <v/>
      </c>
      <c r="K160" s="40" t="str">
        <f aca="false">IF($I160="","",LEN($I160))</f>
        <v/>
      </c>
      <c r="L160" s="13"/>
      <c r="M160" s="13"/>
      <c r="N160" s="13"/>
      <c r="O160" s="13"/>
      <c r="P160" s="152"/>
      <c r="Q160" s="149"/>
      <c r="R160" s="152"/>
      <c r="S160" s="152"/>
      <c r="T160" s="62" t="str">
        <f aca="false">IF(OR($C160="",R160=""),"",IF(R160/IF($R$2="",100,$R$2)&gt;=設定!$I$28,設定!$G$8,IF(R160/IF($R$2="",100,$R$2)&lt;設定!$I$29,設定!$G$10,設定!$G$9)))</f>
        <v/>
      </c>
      <c r="U160" s="62" t="str">
        <f aca="false">IF(OR($C160="",S160=""),"",IF(S160/IF($S$2="",100,$S$2)&gt;=設定!$I$28,設定!$G$8,IF(S160/IF($S$2="",100,$S$2)&lt;設定!$I$29,設定!$G$10,設定!$G$9)))</f>
        <v/>
      </c>
    </row>
    <row r="161" customFormat="false" ht="21" hidden="false" customHeight="true" outlineLevel="0" collapsed="false">
      <c r="A161" s="91" t="str">
        <f aca="false">IF(名簿!$D161="","",名簿!$B161&amp;"")</f>
        <v/>
      </c>
      <c r="B161" s="91" t="str">
        <f aca="false">IF(名簿!$D161="","",名簿!$C161)</f>
        <v/>
      </c>
      <c r="C161" s="59" t="str">
        <f aca="false">IF(名簿!$D161="","",名簿!$D161&amp;IF(名簿!$F161="転出","（転出）",""))</f>
        <v/>
      </c>
      <c r="D161" s="149"/>
      <c r="E161" s="61" t="str">
        <f aca="false">IF(OR($C161="",名簿!$F161="転出"),"",IF($C$2="学級ごと",$A161,IF($C$2="前の単元と同じ",単元17!$E161&amp;"",$D161&amp;"")))</f>
        <v/>
      </c>
      <c r="F161" s="150"/>
      <c r="G161" s="150"/>
      <c r="H161" s="150"/>
      <c r="I161" s="151"/>
      <c r="J161" s="41" t="str">
        <f aca="false">IF($E161="","",$E161&amp;"|"&amp;COUNTIF($E$5:$E161,$E161))</f>
        <v/>
      </c>
      <c r="K161" s="40" t="str">
        <f aca="false">IF($I161="","",LEN($I161))</f>
        <v/>
      </c>
      <c r="L161" s="13"/>
      <c r="M161" s="13"/>
      <c r="N161" s="13"/>
      <c r="O161" s="13"/>
      <c r="P161" s="152"/>
      <c r="Q161" s="149"/>
      <c r="R161" s="152"/>
      <c r="S161" s="152"/>
      <c r="T161" s="62" t="str">
        <f aca="false">IF(OR($C161="",R161=""),"",IF(R161/IF($R$2="",100,$R$2)&gt;=設定!$I$28,設定!$G$8,IF(R161/IF($R$2="",100,$R$2)&lt;設定!$I$29,設定!$G$10,設定!$G$9)))</f>
        <v/>
      </c>
      <c r="U161" s="62" t="str">
        <f aca="false">IF(OR($C161="",S161=""),"",IF(S161/IF($S$2="",100,$S$2)&gt;=設定!$I$28,設定!$G$8,IF(S161/IF($S$2="",100,$S$2)&lt;設定!$I$29,設定!$G$10,設定!$G$9)))</f>
        <v/>
      </c>
    </row>
    <row r="162" customFormat="false" ht="21" hidden="false" customHeight="true" outlineLevel="0" collapsed="false">
      <c r="A162" s="91" t="str">
        <f aca="false">IF(名簿!$D162="","",名簿!$B162&amp;"")</f>
        <v/>
      </c>
      <c r="B162" s="91" t="str">
        <f aca="false">IF(名簿!$D162="","",名簿!$C162)</f>
        <v/>
      </c>
      <c r="C162" s="59" t="str">
        <f aca="false">IF(名簿!$D162="","",名簿!$D162&amp;IF(名簿!$F162="転出","（転出）",""))</f>
        <v/>
      </c>
      <c r="D162" s="149"/>
      <c r="E162" s="61" t="str">
        <f aca="false">IF(OR($C162="",名簿!$F162="転出"),"",IF($C$2="学級ごと",$A162,IF($C$2="前の単元と同じ",単元17!$E162&amp;"",$D162&amp;"")))</f>
        <v/>
      </c>
      <c r="F162" s="150"/>
      <c r="G162" s="150"/>
      <c r="H162" s="150"/>
      <c r="I162" s="151"/>
      <c r="J162" s="41" t="str">
        <f aca="false">IF($E162="","",$E162&amp;"|"&amp;COUNTIF($E$5:$E162,$E162))</f>
        <v/>
      </c>
      <c r="K162" s="40" t="str">
        <f aca="false">IF($I162="","",LEN($I162))</f>
        <v/>
      </c>
      <c r="L162" s="13"/>
      <c r="M162" s="13"/>
      <c r="N162" s="13"/>
      <c r="O162" s="13"/>
      <c r="P162" s="152"/>
      <c r="Q162" s="149"/>
      <c r="R162" s="152"/>
      <c r="S162" s="152"/>
      <c r="T162" s="62" t="str">
        <f aca="false">IF(OR($C162="",R162=""),"",IF(R162/IF($R$2="",100,$R$2)&gt;=設定!$I$28,設定!$G$8,IF(R162/IF($R$2="",100,$R$2)&lt;設定!$I$29,設定!$G$10,設定!$G$9)))</f>
        <v/>
      </c>
      <c r="U162" s="62" t="str">
        <f aca="false">IF(OR($C162="",S162=""),"",IF(S162/IF($S$2="",100,$S$2)&gt;=設定!$I$28,設定!$G$8,IF(S162/IF($S$2="",100,$S$2)&lt;設定!$I$29,設定!$G$10,設定!$G$9)))</f>
        <v/>
      </c>
    </row>
    <row r="163" customFormat="false" ht="21" hidden="false" customHeight="true" outlineLevel="0" collapsed="false">
      <c r="A163" s="91" t="str">
        <f aca="false">IF(名簿!$D163="","",名簿!$B163&amp;"")</f>
        <v/>
      </c>
      <c r="B163" s="91" t="str">
        <f aca="false">IF(名簿!$D163="","",名簿!$C163)</f>
        <v/>
      </c>
      <c r="C163" s="59" t="str">
        <f aca="false">IF(名簿!$D163="","",名簿!$D163&amp;IF(名簿!$F163="転出","（転出）",""))</f>
        <v/>
      </c>
      <c r="D163" s="149"/>
      <c r="E163" s="61" t="str">
        <f aca="false">IF(OR($C163="",名簿!$F163="転出"),"",IF($C$2="学級ごと",$A163,IF($C$2="前の単元と同じ",単元17!$E163&amp;"",$D163&amp;"")))</f>
        <v/>
      </c>
      <c r="F163" s="150"/>
      <c r="G163" s="150"/>
      <c r="H163" s="150"/>
      <c r="I163" s="151"/>
      <c r="J163" s="41" t="str">
        <f aca="false">IF($E163="","",$E163&amp;"|"&amp;COUNTIF($E$5:$E163,$E163))</f>
        <v/>
      </c>
      <c r="K163" s="40" t="str">
        <f aca="false">IF($I163="","",LEN($I163))</f>
        <v/>
      </c>
      <c r="L163" s="13"/>
      <c r="M163" s="13"/>
      <c r="N163" s="13"/>
      <c r="O163" s="13"/>
      <c r="P163" s="152"/>
      <c r="Q163" s="149"/>
      <c r="R163" s="152"/>
      <c r="S163" s="152"/>
      <c r="T163" s="62" t="str">
        <f aca="false">IF(OR($C163="",R163=""),"",IF(R163/IF($R$2="",100,$R$2)&gt;=設定!$I$28,設定!$G$8,IF(R163/IF($R$2="",100,$R$2)&lt;設定!$I$29,設定!$G$10,設定!$G$9)))</f>
        <v/>
      </c>
      <c r="U163" s="62" t="str">
        <f aca="false">IF(OR($C163="",S163=""),"",IF(S163/IF($S$2="",100,$S$2)&gt;=設定!$I$28,設定!$G$8,IF(S163/IF($S$2="",100,$S$2)&lt;設定!$I$29,設定!$G$10,設定!$G$9)))</f>
        <v/>
      </c>
    </row>
    <row r="164" customFormat="false" ht="21" hidden="false" customHeight="true" outlineLevel="0" collapsed="false">
      <c r="A164" s="91" t="str">
        <f aca="false">IF(名簿!$D164="","",名簿!$B164&amp;"")</f>
        <v/>
      </c>
      <c r="B164" s="91" t="str">
        <f aca="false">IF(名簿!$D164="","",名簿!$C164)</f>
        <v/>
      </c>
      <c r="C164" s="59" t="str">
        <f aca="false">IF(名簿!$D164="","",名簿!$D164&amp;IF(名簿!$F164="転出","（転出）",""))</f>
        <v/>
      </c>
      <c r="D164" s="149"/>
      <c r="E164" s="61" t="str">
        <f aca="false">IF(OR($C164="",名簿!$F164="転出"),"",IF($C$2="学級ごと",$A164,IF($C$2="前の単元と同じ",単元17!$E164&amp;"",$D164&amp;"")))</f>
        <v/>
      </c>
      <c r="F164" s="150"/>
      <c r="G164" s="150"/>
      <c r="H164" s="150"/>
      <c r="I164" s="151"/>
      <c r="J164" s="41" t="str">
        <f aca="false">IF($E164="","",$E164&amp;"|"&amp;COUNTIF($E$5:$E164,$E164))</f>
        <v/>
      </c>
      <c r="K164" s="40" t="str">
        <f aca="false">IF($I164="","",LEN($I164))</f>
        <v/>
      </c>
      <c r="L164" s="13"/>
      <c r="M164" s="13"/>
      <c r="N164" s="13"/>
      <c r="O164" s="13"/>
      <c r="P164" s="152"/>
      <c r="Q164" s="149"/>
      <c r="R164" s="152"/>
      <c r="S164" s="152"/>
      <c r="T164" s="62" t="str">
        <f aca="false">IF(OR($C164="",R164=""),"",IF(R164/IF($R$2="",100,$R$2)&gt;=設定!$I$28,設定!$G$8,IF(R164/IF($R$2="",100,$R$2)&lt;設定!$I$29,設定!$G$10,設定!$G$9)))</f>
        <v/>
      </c>
      <c r="U164" s="62" t="str">
        <f aca="false">IF(OR($C164="",S164=""),"",IF(S164/IF($S$2="",100,$S$2)&gt;=設定!$I$28,設定!$G$8,IF(S164/IF($S$2="",100,$S$2)&lt;設定!$I$29,設定!$G$10,設定!$G$9)))</f>
        <v/>
      </c>
    </row>
  </sheetData>
  <sheetProtection sheet="true" formatColumns="false" formatRows="false" autoFilter="false"/>
  <autoFilter ref="A4:I164"/>
  <mergeCells count="5">
    <mergeCell ref="A1:I1"/>
    <mergeCell ref="R1:U1"/>
    <mergeCell ref="A2:B2"/>
    <mergeCell ref="D2:I2"/>
    <mergeCell ref="T2:U2"/>
  </mergeCells>
  <conditionalFormatting sqref="A5:C164">
    <cfRule type="expression" priority="2" aboveAverage="0" equalAverage="0" bottom="0" percent="0" rank="0" text="" dxfId="37">
      <formula>RIGHT($C5,4)="（転出）"</formula>
    </cfRule>
    <cfRule type="expression" priority="3" aboveAverage="0" equalAverage="0" bottom="0" percent="0" rank="0" text="" dxfId="8">
      <formula>$C5&lt;&gt;""</formula>
    </cfRule>
  </conditionalFormatting>
  <conditionalFormatting sqref="D5:D164">
    <cfRule type="expression" priority="4" aboveAverage="0" equalAverage="0" bottom="0" percent="0" rank="0" text="" dxfId="37">
      <formula>RIGHT($C5,4)="（転出）"</formula>
    </cfRule>
    <cfRule type="expression" priority="5" aboveAverage="0" equalAverage="0" bottom="0" percent="0" rank="0" text="" dxfId="38">
      <formula>AND($C5&lt;&gt;"",$C$2&lt;&gt;"習熟度別")</formula>
    </cfRule>
    <cfRule type="expression" priority="6" aboveAverage="0" equalAverage="0" bottom="0" percent="0" rank="0" text="" dxfId="39">
      <formula>AND($C5&lt;&gt;"",$E5="")</formula>
    </cfRule>
    <cfRule type="expression" priority="7" aboveAverage="0" equalAverage="0" bottom="0" percent="0" rank="0" text="" dxfId="39">
      <formula>AND($C5&lt;&gt;"",$D5&lt;&gt;"",COUNTIF(コース一覧,$D5)=0)</formula>
    </cfRule>
    <cfRule type="expression" priority="8" aboveAverage="0" equalAverage="0" bottom="0" percent="0" rank="0" text="" dxfId="40">
      <formula>AND($C5&lt;&gt;"",$C$2="習熟度別",$Q5&lt;&gt;"",$E5&lt;&gt;"",$Q5&lt;&gt;$E5)</formula>
    </cfRule>
    <cfRule type="expression" priority="9" aboveAverage="0" equalAverage="0" bottom="0" percent="0" rank="0" text="" dxfId="41">
      <formula>$C5&lt;&gt;""</formula>
    </cfRule>
  </conditionalFormatting>
  <conditionalFormatting sqref="E5:E164">
    <cfRule type="expression" priority="10" aboveAverage="0" equalAverage="0" bottom="0" percent="0" rank="0" text="" dxfId="37">
      <formula>RIGHT($C5,4)="（転出）"</formula>
    </cfRule>
    <cfRule type="expression" priority="11" aboveAverage="0" equalAverage="0" bottom="0" percent="0" rank="0" text="" dxfId="42">
      <formula>AND($E5&lt;&gt;"",$E5=$L$2)</formula>
    </cfRule>
    <cfRule type="expression" priority="12" aboveAverage="0" equalAverage="0" bottom="0" percent="0" rank="0" text="" dxfId="43">
      <formula>AND($E5&lt;&gt;"",$E5=$L$3)</formula>
    </cfRule>
    <cfRule type="expression" priority="13" aboveAverage="0" equalAverage="0" bottom="0" percent="0" rank="0" text="" dxfId="44">
      <formula>AND($E5&lt;&gt;"",$E5=$L$4)</formula>
    </cfRule>
    <cfRule type="expression" priority="14" aboveAverage="0" equalAverage="0" bottom="0" percent="0" rank="0" text="" dxfId="45">
      <formula>AND($E5&lt;&gt;"",$E5=$L$5)</formula>
    </cfRule>
    <cfRule type="expression" priority="15" aboveAverage="0" equalAverage="0" bottom="0" percent="0" rank="0" text="" dxfId="46">
      <formula>AND($E5&lt;&gt;"",$E5=$L$6)</formula>
    </cfRule>
    <cfRule type="expression" priority="16" aboveAverage="0" equalAverage="0" bottom="0" percent="0" rank="0" text="" dxfId="8">
      <formula>$C5&lt;&gt;""</formula>
    </cfRule>
  </conditionalFormatting>
  <conditionalFormatting sqref="F5:H164">
    <cfRule type="expression" priority="17" aboveAverage="0" equalAverage="0" bottom="0" percent="0" rank="0" text="" dxfId="37">
      <formula>RIGHT($C5,4)="（転出）"</formula>
    </cfRule>
    <cfRule type="expression" priority="18" aboveAverage="0" equalAverage="0" bottom="0" percent="0" rank="0" text="" dxfId="12">
      <formula>AND(F5&lt;&gt;"",F5=設定!$G$10)</formula>
    </cfRule>
    <cfRule type="expression" priority="19" aboveAverage="0" equalAverage="0" bottom="0" percent="0" rank="0" text="" dxfId="47">
      <formula>AND(F5&lt;&gt;"",F5=設定!$G$8)</formula>
    </cfRule>
    <cfRule type="expression" priority="20" aboveAverage="0" equalAverage="0" bottom="0" percent="0" rank="0" text="" dxfId="41">
      <formula>AND($C5&lt;&gt;"",$E5&lt;&gt;"")</formula>
    </cfRule>
    <cfRule type="expression" priority="21" aboveAverage="0" equalAverage="0" bottom="0" percent="0" rank="0" text="" dxfId="8">
      <formula>$C5&lt;&gt;""</formula>
    </cfRule>
  </conditionalFormatting>
  <conditionalFormatting sqref="I5:I164">
    <cfRule type="expression" priority="22" aboveAverage="0" equalAverage="0" bottom="0" percent="0" rank="0" text="" dxfId="37">
      <formula>RIGHT($C5,4)="（転出）"</formula>
    </cfRule>
    <cfRule type="expression" priority="23" aboveAverage="0" equalAverage="0" bottom="0" percent="0" rank="0" text="" dxfId="48">
      <formula>AND($C5&lt;&gt;"",$I5&lt;&gt;"",ISNUMBER(設定!$I$22),LEN($I5)&gt;設定!$I$22)</formula>
    </cfRule>
    <cfRule type="expression" priority="24" aboveAverage="0" equalAverage="0" bottom="0" percent="0" rank="0" text="" dxfId="41">
      <formula>AND($C5&lt;&gt;"",$E5&lt;&gt;"")</formula>
    </cfRule>
    <cfRule type="expression" priority="25" aboveAverage="0" equalAverage="0" bottom="0" percent="0" rank="0" text="" dxfId="8">
      <formula>$C5&lt;&gt;""</formula>
    </cfRule>
  </conditionalFormatting>
  <conditionalFormatting sqref="K5:K164">
    <cfRule type="expression" priority="26" aboveAverage="0" equalAverage="0" bottom="0" percent="0" rank="0" text="" dxfId="49">
      <formula>AND($K5&lt;&gt;"",ISNUMBER(設定!$I$22),$K5&gt;設定!$I$22)</formula>
    </cfRule>
    <cfRule type="expression" priority="27" aboveAverage="0" equalAverage="0" bottom="0" percent="0" rank="0" text="" dxfId="50">
      <formula>$C5&lt;&gt;""</formula>
    </cfRule>
  </conditionalFormatting>
  <conditionalFormatting sqref="P5:P164">
    <cfRule type="expression" priority="28" aboveAverage="0" equalAverage="0" bottom="0" percent="0" rank="0" text="" dxfId="41">
      <formula>$C5&lt;&gt;""</formula>
    </cfRule>
  </conditionalFormatting>
  <conditionalFormatting sqref="R5:R164">
    <cfRule type="expression" priority="29" aboveAverage="0" equalAverage="0" bottom="0" percent="0" rank="0" text="" dxfId="49">
      <formula>AND($C5&lt;&gt;"",$R5&lt;&gt;"",$R$2&lt;&gt;"",$R5&gt;$R$2)</formula>
    </cfRule>
    <cfRule type="expression" priority="30" aboveAverage="0" equalAverage="0" bottom="0" percent="0" rank="0" text="" dxfId="41">
      <formula>$C5&lt;&gt;""</formula>
    </cfRule>
  </conditionalFormatting>
  <conditionalFormatting sqref="S5:S164">
    <cfRule type="expression" priority="31" aboveAverage="0" equalAverage="0" bottom="0" percent="0" rank="0" text="" dxfId="49">
      <formula>AND($C5&lt;&gt;"",$S5&lt;&gt;"",$S$2&lt;&gt;"",$S5&gt;$S$2)</formula>
    </cfRule>
    <cfRule type="expression" priority="32" aboveAverage="0" equalAverage="0" bottom="0" percent="0" rank="0" text="" dxfId="41">
      <formula>$C5&lt;&gt;""</formula>
    </cfRule>
  </conditionalFormatting>
  <conditionalFormatting sqref="T5:U164">
    <cfRule type="expression" priority="33" aboveAverage="0" equalAverage="0" bottom="0" percent="0" rank="0" text="" dxfId="12">
      <formula>AND(T5&lt;&gt;"",T5=設定!$G$10)</formula>
    </cfRule>
    <cfRule type="expression" priority="34" aboveAverage="0" equalAverage="0" bottom="0" percent="0" rank="0" text="" dxfId="51">
      <formula>AND(T5&lt;&gt;"",T5=設定!$G$8)</formula>
    </cfRule>
    <cfRule type="expression" priority="35" aboveAverage="0" equalAverage="0" bottom="0" percent="0" rank="0" text="" dxfId="19">
      <formula>$C5&lt;&gt;""</formula>
    </cfRule>
  </conditionalFormatting>
  <conditionalFormatting sqref="Q5:Q164">
    <cfRule type="expression" priority="36" aboveAverage="0" equalAverage="0" bottom="0" percent="0" rank="0" text="" dxfId="40">
      <formula>AND($C5&lt;&gt;"",$Q5&lt;&gt;"",$E5&lt;&gt;"",$Q5&lt;&gt;$E5)</formula>
    </cfRule>
    <cfRule type="expression" priority="37" aboveAverage="0" equalAverage="0" bottom="0" percent="0" rank="0" text="" dxfId="41">
      <formula>$C5&lt;&gt;""</formula>
    </cfRule>
  </conditionalFormatting>
  <conditionalFormatting sqref="L2:N2">
    <cfRule type="expression" priority="38" aboveAverage="0" equalAverage="0" bottom="0" percent="0" rank="0" text="" dxfId="14">
      <formula>$L2=""</formula>
    </cfRule>
  </conditionalFormatting>
  <conditionalFormatting sqref="L3:N3">
    <cfRule type="expression" priority="39" aboveAverage="0" equalAverage="0" bottom="0" percent="0" rank="0" text="" dxfId="14">
      <formula>$L3=""</formula>
    </cfRule>
  </conditionalFormatting>
  <conditionalFormatting sqref="L4:N4">
    <cfRule type="expression" priority="40" aboveAverage="0" equalAverage="0" bottom="0" percent="0" rank="0" text="" dxfId="14">
      <formula>$L4=""</formula>
    </cfRule>
  </conditionalFormatting>
  <conditionalFormatting sqref="L5:N5">
    <cfRule type="expression" priority="41" aboveAverage="0" equalAverage="0" bottom="0" percent="0" rank="0" text="" dxfId="14">
      <formula>$L5=""</formula>
    </cfRule>
  </conditionalFormatting>
  <conditionalFormatting sqref="L6:N6">
    <cfRule type="expression" priority="42" aboveAverage="0" equalAverage="0" bottom="0" percent="0" rank="0" text="" dxfId="14">
      <formula>$L6=""</formula>
    </cfRule>
  </conditionalFormatting>
  <conditionalFormatting sqref="N7">
    <cfRule type="expression" priority="43" aboveAverage="0" equalAverage="0" bottom="0" percent="0" rank="0" text="" dxfId="52">
      <formula>$N$7=0</formula>
    </cfRule>
  </conditionalFormatting>
  <dataValidations count="6">
    <dataValidation allowBlank="true" error="点数（数字）を入力してください。" errorStyle="stop" operator="between" showDropDown="false" showErrorMessage="true" showInputMessage="false" sqref="R2:S2 P5:P164 R5:S164" type="decimal">
      <formula1>0</formula1>
      <formula2>1000</formula2>
    </dataValidation>
    <dataValidation allowBlank="false" error="一覧から選んでください。" errorStyle="stop" errorTitle="入力エラー" operator="between" showDropDown="false" showErrorMessage="true" showInputMessage="false" sqref="C2" type="list">
      <formula1>"習熟度別,前の単元と同じ,学級ごと"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D5:D164" type="list">
      <formula1>コース一覧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Q5:Q164" type="list">
      <formula1>コース一覧</formula1>
      <formula2>0</formula2>
    </dataValidation>
    <dataValidation allowBlank="true" error="設定シートの評価記号（A/B/C）から選んでください。" errorStyle="stop" errorTitle="入力エラー" operator="between" showDropDown="false" showErrorMessage="true" showInputMessage="false" sqref="F5:H164" type="list">
      <formula1>評価記号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M2:M6" type="list">
      <formula1>担当者一覧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U16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5"/>
    <col collapsed="false" customWidth="true" hidden="false" outlineLevel="0" max="3" min="3" style="0" width="17"/>
    <col collapsed="false" customWidth="true" hidden="false" outlineLevel="0" max="4" min="4" style="0" width="11"/>
    <col collapsed="false" customWidth="true" hidden="false" outlineLevel="0" max="5" min="5" style="0" width="12"/>
    <col collapsed="false" customWidth="true" hidden="false" outlineLevel="0" max="8" min="6" style="0" width="6"/>
    <col collapsed="false" customWidth="true" hidden="false" outlineLevel="0" max="9" min="9" style="0" width="55"/>
    <col collapsed="false" customWidth="true" hidden="true" outlineLevel="0" max="10" min="10" style="0" width="3"/>
    <col collapsed="false" customWidth="true" hidden="false" outlineLevel="0" max="11" min="11" style="0" width="5"/>
    <col collapsed="false" customWidth="true" hidden="false" outlineLevel="0" max="12" min="12" style="0" width="14"/>
    <col collapsed="false" customWidth="true" hidden="false" outlineLevel="0" max="13" min="13" style="0" width="13"/>
    <col collapsed="false" customWidth="true" hidden="false" outlineLevel="0" max="14" min="14" style="0" width="7"/>
    <col collapsed="false" customWidth="true" hidden="false" outlineLevel="0" max="15" min="15" style="0" width="2"/>
    <col collapsed="false" customWidth="true" hidden="false" outlineLevel="0" max="16" min="16" style="0" width="9"/>
    <col collapsed="false" customWidth="true" hidden="false" outlineLevel="0" max="17" min="17" style="0" width="12"/>
    <col collapsed="false" customWidth="true" hidden="false" outlineLevel="0" max="19" min="18" style="0" width="7"/>
    <col collapsed="false" customWidth="true" hidden="false" outlineLevel="0" max="21" min="20" style="0" width="6"/>
  </cols>
  <sheetData>
    <row r="1" customFormat="false" ht="33.75" hidden="false" customHeight="true" outlineLevel="0" collapsed="false">
      <c r="A1" s="14" t="str">
        <f aca="false">"単元19　"&amp;IF(設定!$D$35="","（設定シートで単元名を入力）",設定!$D$35)&amp;IF(設定!$C$35="","","　／　"&amp;設定!$C$35&amp;IF(ISNUMBER(設定!$C$35),"学期",""))</f>
        <v>単元19　（設定シートで単元名を入力）</v>
      </c>
      <c r="B1" s="14"/>
      <c r="C1" s="14"/>
      <c r="D1" s="14"/>
      <c r="E1" s="14"/>
      <c r="F1" s="14"/>
      <c r="G1" s="14"/>
      <c r="H1" s="14"/>
      <c r="I1" s="14"/>
      <c r="J1" s="13"/>
      <c r="K1" s="13"/>
      <c r="L1" s="16" t="s">
        <v>153</v>
      </c>
      <c r="M1" s="16" t="s">
        <v>68</v>
      </c>
      <c r="N1" s="16" t="s">
        <v>128</v>
      </c>
      <c r="O1" s="13"/>
      <c r="P1" s="13"/>
      <c r="Q1" s="13"/>
      <c r="R1" s="131" t="s">
        <v>154</v>
      </c>
      <c r="S1" s="131"/>
      <c r="T1" s="131"/>
      <c r="U1" s="131"/>
    </row>
    <row r="2" customFormat="false" ht="25.5" hidden="false" customHeight="true" outlineLevel="0" collapsed="false">
      <c r="A2" s="16" t="s">
        <v>131</v>
      </c>
      <c r="B2" s="16"/>
      <c r="C2" s="138" t="s">
        <v>164</v>
      </c>
      <c r="D2" s="139" t="str">
        <f aca="false">IF($C$2="習熟度別","← D列「コース」で一人ずつ選びます",IF($C$2="前の単元と同じ","← 前の単元のコースをそのまま使います","← 在籍学級のまま分かれます"))</f>
        <v>← D列「コース」で一人ずつ選びます</v>
      </c>
      <c r="E2" s="139"/>
      <c r="F2" s="139"/>
      <c r="G2" s="139"/>
      <c r="H2" s="139"/>
      <c r="I2" s="139"/>
      <c r="J2" s="13"/>
      <c r="K2" s="13"/>
      <c r="L2" s="119" t="str">
        <f aca="false">IF($C$2="前の単元と同じ",単元18!$L2&amp;"",IF($C$2="学級ごと",IF(設定!$B$8="","",設定!$B$8&amp;""),IF(設定!$D$8="","",設定!$D$8&amp;"")))</f>
        <v>深める</v>
      </c>
      <c r="M2" s="39"/>
      <c r="N2" s="140" t="n">
        <f aca="false">IF($L2="","",COUNTIF($E$5:$E$164,$L2))</f>
        <v>0</v>
      </c>
      <c r="O2" s="13"/>
      <c r="P2" s="13"/>
      <c r="Q2" s="13"/>
      <c r="R2" s="141" t="n">
        <v>100</v>
      </c>
      <c r="S2" s="141" t="n">
        <v>100</v>
      </c>
      <c r="T2" s="142" t="s">
        <v>165</v>
      </c>
      <c r="U2" s="142"/>
    </row>
    <row r="3" customFormat="false" ht="17.15" hidden="false" customHeight="false" outlineLevel="0" collapsed="false">
      <c r="A3" s="4" t="s">
        <v>166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23" t="str">
        <f aca="false">IF($C$2="前の単元と同じ",単元18!$L3&amp;"",IF($C$2="学級ごと",IF(設定!$B$9="","",設定!$B$9&amp;""),IF(設定!$D$9="","",設定!$D$9&amp;"")))</f>
        <v>広げるA</v>
      </c>
      <c r="M3" s="39"/>
      <c r="N3" s="140" t="n">
        <f aca="false">IF($L3="","",COUNTIF($E$5:$E$164,$L3))</f>
        <v>0</v>
      </c>
      <c r="O3" s="13"/>
      <c r="P3" s="143" t="s">
        <v>167</v>
      </c>
      <c r="Q3" s="13"/>
      <c r="R3" s="144" t="s">
        <v>168</v>
      </c>
      <c r="S3" s="13"/>
      <c r="T3" s="13"/>
      <c r="U3" s="13"/>
    </row>
    <row r="4" customFormat="false" ht="30" hidden="false" customHeight="true" outlineLevel="0" collapsed="false">
      <c r="A4" s="16" t="s">
        <v>121</v>
      </c>
      <c r="B4" s="16" t="s">
        <v>122</v>
      </c>
      <c r="C4" s="16" t="s">
        <v>123</v>
      </c>
      <c r="D4" s="145" t="s">
        <v>153</v>
      </c>
      <c r="E4" s="16" t="s">
        <v>169</v>
      </c>
      <c r="F4" s="146" t="str">
        <f aca="false">設定!$I$8</f>
        <v>知</v>
      </c>
      <c r="G4" s="146" t="str">
        <f aca="false">設定!$I$9</f>
        <v>思</v>
      </c>
      <c r="H4" s="146" t="str">
        <f aca="false">設定!$I$10</f>
        <v>態</v>
      </c>
      <c r="I4" s="146" t="s">
        <v>107</v>
      </c>
      <c r="J4" s="16"/>
      <c r="K4" s="110" t="s">
        <v>170</v>
      </c>
      <c r="L4" s="124" t="str">
        <f aca="false">IF($C$2="前の単元と同じ",単元18!$L4&amp;"",IF($C$2="学級ごと",IF(設定!$B$10="","",設定!$B$10&amp;""),IF(設定!$D$10="","",設定!$D$10&amp;"")))</f>
        <v>広げるB</v>
      </c>
      <c r="M4" s="39"/>
      <c r="N4" s="140" t="n">
        <f aca="false">IF($L4="","",COUNTIF($E$5:$E$164,$L4))</f>
        <v>0</v>
      </c>
      <c r="O4" s="13"/>
      <c r="P4" s="147" t="s">
        <v>171</v>
      </c>
      <c r="Q4" s="147" t="s">
        <v>172</v>
      </c>
      <c r="R4" s="131" t="str">
        <f aca="false">設定!$I$8&amp;"得点"</f>
        <v>知得点</v>
      </c>
      <c r="S4" s="131" t="str">
        <f aca="false">設定!$I$9&amp;"得点"</f>
        <v>思得点</v>
      </c>
      <c r="T4" s="148" t="str">
        <f aca="false">設定!$I$8&amp;"目安"</f>
        <v>知目安</v>
      </c>
      <c r="U4" s="148" t="str">
        <f aca="false">設定!$I$9&amp;"目安"</f>
        <v>思目安</v>
      </c>
    </row>
    <row r="5" customFormat="false" ht="21" hidden="false" customHeight="true" outlineLevel="0" collapsed="false">
      <c r="A5" s="91" t="str">
        <f aca="false">IF(名簿!$D5="","",名簿!$B5&amp;"")</f>
        <v/>
      </c>
      <c r="B5" s="91" t="str">
        <f aca="false">IF(名簿!$D5="","",名簿!$C5)</f>
        <v/>
      </c>
      <c r="C5" s="59" t="str">
        <f aca="false">IF(名簿!$D5="","",名簿!$D5&amp;IF(名簿!$F5="転出","（転出）",""))</f>
        <v/>
      </c>
      <c r="D5" s="149"/>
      <c r="E5" s="61" t="str">
        <f aca="false">IF(OR($C5="",名簿!$F5="転出"),"",IF($C$2="学級ごと",$A5,IF($C$2="前の単元と同じ",単元18!$E5&amp;"",$D5&amp;"")))</f>
        <v/>
      </c>
      <c r="F5" s="150"/>
      <c r="G5" s="150"/>
      <c r="H5" s="150"/>
      <c r="I5" s="151"/>
      <c r="J5" s="41" t="str">
        <f aca="false">IF($E5="","",$E5&amp;"|"&amp;COUNTIF($E$5:$E5,$E5))</f>
        <v/>
      </c>
      <c r="K5" s="40" t="str">
        <f aca="false">IF($I5="","",LEN($I5))</f>
        <v/>
      </c>
      <c r="L5" s="125" t="str">
        <f aca="false">IF($C$2="前の単元と同じ",単元18!$L5&amp;"",IF($C$2="学級ごと",IF(設定!$B$11="","",設定!$B$11&amp;""),IF(設定!$D$11="","",設定!$D$11&amp;"")))</f>
        <v>かためる</v>
      </c>
      <c r="M5" s="39"/>
      <c r="N5" s="140" t="n">
        <f aca="false">IF($L5="","",COUNTIF($E$5:$E$164,$L5))</f>
        <v>0</v>
      </c>
      <c r="O5" s="13"/>
      <c r="P5" s="152"/>
      <c r="Q5" s="149"/>
      <c r="R5" s="152"/>
      <c r="S5" s="152"/>
      <c r="T5" s="62" t="str">
        <f aca="false">IF(OR($C5="",R5=""),"",IF(R5/IF($R$2="",100,$R$2)&gt;=設定!$I$28,設定!$G$8,IF(R5/IF($R$2="",100,$R$2)&lt;設定!$I$29,設定!$G$10,設定!$G$9)))</f>
        <v/>
      </c>
      <c r="U5" s="62" t="str">
        <f aca="false">IF(OR($C5="",S5=""),"",IF(S5/IF($S$2="",100,$S$2)&gt;=設定!$I$28,設定!$G$8,IF(S5/IF($S$2="",100,$S$2)&lt;設定!$I$29,設定!$G$10,設定!$G$9)))</f>
        <v/>
      </c>
    </row>
    <row r="6" customFormat="false" ht="21" hidden="false" customHeight="true" outlineLevel="0" collapsed="false">
      <c r="A6" s="91" t="str">
        <f aca="false">IF(名簿!$D6="","",名簿!$B6&amp;"")</f>
        <v/>
      </c>
      <c r="B6" s="91" t="str">
        <f aca="false">IF(名簿!$D6="","",名簿!$C6)</f>
        <v/>
      </c>
      <c r="C6" s="59" t="str">
        <f aca="false">IF(名簿!$D6="","",名簿!$D6&amp;IF(名簿!$F6="転出","（転出）",""))</f>
        <v/>
      </c>
      <c r="D6" s="149"/>
      <c r="E6" s="61" t="str">
        <f aca="false">IF(OR($C6="",名簿!$F6="転出"),"",IF($C$2="学級ごと",$A6,IF($C$2="前の単元と同じ",単元18!$E6&amp;"",$D6&amp;"")))</f>
        <v/>
      </c>
      <c r="F6" s="150"/>
      <c r="G6" s="150"/>
      <c r="H6" s="150"/>
      <c r="I6" s="151"/>
      <c r="J6" s="41" t="str">
        <f aca="false">IF($E6="","",$E6&amp;"|"&amp;COUNTIF($E$5:$E6,$E6))</f>
        <v/>
      </c>
      <c r="K6" s="40" t="str">
        <f aca="false">IF($I6="","",LEN($I6))</f>
        <v/>
      </c>
      <c r="L6" s="126" t="str">
        <f aca="false">IF($C$2="前の単元と同じ",単元18!$L6&amp;"",IF($C$2="学級ごと",IF(設定!$B$12="","",設定!$B$12&amp;""),IF(設定!$D$12="","",設定!$D$12&amp;"")))</f>
        <v/>
      </c>
      <c r="M6" s="39"/>
      <c r="N6" s="153" t="str">
        <f aca="false">IF($L6="","",COUNTIF($E$5:$E$164,$L6))</f>
        <v/>
      </c>
      <c r="O6" s="13"/>
      <c r="P6" s="152"/>
      <c r="Q6" s="149"/>
      <c r="R6" s="152"/>
      <c r="S6" s="152"/>
      <c r="T6" s="62" t="str">
        <f aca="false">IF(OR($C6="",R6=""),"",IF(R6/IF($R$2="",100,$R$2)&gt;=設定!$I$28,設定!$G$8,IF(R6/IF($R$2="",100,$R$2)&lt;設定!$I$29,設定!$G$10,設定!$G$9)))</f>
        <v/>
      </c>
      <c r="U6" s="62" t="str">
        <f aca="false">IF(OR($C6="",S6=""),"",IF(S6/IF($S$2="",100,$S$2)&gt;=設定!$I$28,設定!$G$8,IF(S6/IF($S$2="",100,$S$2)&lt;設定!$I$29,設定!$G$10,設定!$G$9)))</f>
        <v/>
      </c>
    </row>
    <row r="7" customFormat="false" ht="21" hidden="false" customHeight="true" outlineLevel="0" collapsed="false">
      <c r="A7" s="91" t="str">
        <f aca="false">IF(名簿!$D7="","",名簿!$B7&amp;"")</f>
        <v/>
      </c>
      <c r="B7" s="91" t="str">
        <f aca="false">IF(名簿!$D7="","",名簿!$C7)</f>
        <v/>
      </c>
      <c r="C7" s="59" t="str">
        <f aca="false">IF(名簿!$D7="","",名簿!$D7&amp;IF(名簿!$F7="転出","（転出）",""))</f>
        <v/>
      </c>
      <c r="D7" s="149"/>
      <c r="E7" s="61" t="str">
        <f aca="false">IF(OR($C7="",名簿!$F7="転出"),"",IF($C$2="学級ごと",$A7,IF($C$2="前の単元と同じ",単元18!$E7&amp;"",$D7&amp;"")))</f>
        <v/>
      </c>
      <c r="F7" s="150"/>
      <c r="G7" s="150"/>
      <c r="H7" s="150"/>
      <c r="I7" s="151"/>
      <c r="J7" s="41" t="str">
        <f aca="false">IF($E7="","",$E7&amp;"|"&amp;COUNTIF($E$5:$E7,$E7))</f>
        <v/>
      </c>
      <c r="K7" s="40" t="str">
        <f aca="false">IF($I7="","",LEN($I7))</f>
        <v/>
      </c>
      <c r="L7" s="154" t="s">
        <v>133</v>
      </c>
      <c r="M7" s="155" t="s">
        <v>173</v>
      </c>
      <c r="N7" s="156" t="n">
        <f aca="false">SUMPRODUCT(($C$5:$C$164&lt;&gt;"")*(名簿!$F$5:$F$164&lt;&gt;"転出")*($E$5:$E$164=""))</f>
        <v>0</v>
      </c>
      <c r="O7" s="13"/>
      <c r="P7" s="152"/>
      <c r="Q7" s="149"/>
      <c r="R7" s="152"/>
      <c r="S7" s="152"/>
      <c r="T7" s="62" t="str">
        <f aca="false">IF(OR($C7="",R7=""),"",IF(R7/IF($R$2="",100,$R$2)&gt;=設定!$I$28,設定!$G$8,IF(R7/IF($R$2="",100,$R$2)&lt;設定!$I$29,設定!$G$10,設定!$G$9)))</f>
        <v/>
      </c>
      <c r="U7" s="62" t="str">
        <f aca="false">IF(OR($C7="",S7=""),"",IF(S7/IF($S$2="",100,$S$2)&gt;=設定!$I$28,設定!$G$8,IF(S7/IF($S$2="",100,$S$2)&lt;設定!$I$29,設定!$G$10,設定!$G$9)))</f>
        <v/>
      </c>
    </row>
    <row r="8" customFormat="false" ht="21" hidden="false" customHeight="true" outlineLevel="0" collapsed="false">
      <c r="A8" s="91" t="str">
        <f aca="false">IF(名簿!$D8="","",名簿!$B8&amp;"")</f>
        <v/>
      </c>
      <c r="B8" s="91" t="str">
        <f aca="false">IF(名簿!$D8="","",名簿!$C8)</f>
        <v/>
      </c>
      <c r="C8" s="59" t="str">
        <f aca="false">IF(名簿!$D8="","",名簿!$D8&amp;IF(名簿!$F8="転出","（転出）",""))</f>
        <v/>
      </c>
      <c r="D8" s="149"/>
      <c r="E8" s="61" t="str">
        <f aca="false">IF(OR($C8="",名簿!$F8="転出"),"",IF($C$2="学級ごと",$A8,IF($C$2="前の単元と同じ",単元18!$E8&amp;"",$D8&amp;"")))</f>
        <v/>
      </c>
      <c r="F8" s="150"/>
      <c r="G8" s="150"/>
      <c r="H8" s="150"/>
      <c r="I8" s="151"/>
      <c r="J8" s="41" t="str">
        <f aca="false">IF($E8="","",$E8&amp;"|"&amp;COUNTIF($E$5:$E8,$E8))</f>
        <v/>
      </c>
      <c r="K8" s="40" t="str">
        <f aca="false">IF($I8="","",LEN($I8))</f>
        <v/>
      </c>
      <c r="L8" s="157" t="s">
        <v>174</v>
      </c>
      <c r="M8" s="158" t="s">
        <v>175</v>
      </c>
      <c r="N8" s="159" t="n">
        <f aca="false">SUMPRODUCT(($E$5:$E$164&lt;&gt;"")*(($F$5:$F$164="")+($G$5:$G$164="")+($H$5:$H$164="")&gt;0))</f>
        <v>0</v>
      </c>
      <c r="O8" s="13"/>
      <c r="P8" s="152"/>
      <c r="Q8" s="149"/>
      <c r="R8" s="152"/>
      <c r="S8" s="152"/>
      <c r="T8" s="62" t="str">
        <f aca="false">IF(OR($C8="",R8=""),"",IF(R8/IF($R$2="",100,$R$2)&gt;=設定!$I$28,設定!$G$8,IF(R8/IF($R$2="",100,$R$2)&lt;設定!$I$29,設定!$G$10,設定!$G$9)))</f>
        <v/>
      </c>
      <c r="U8" s="62" t="str">
        <f aca="false">IF(OR($C8="",S8=""),"",IF(S8/IF($S$2="",100,$S$2)&gt;=設定!$I$28,設定!$G$8,IF(S8/IF($S$2="",100,$S$2)&lt;設定!$I$29,設定!$G$10,設定!$G$9)))</f>
        <v/>
      </c>
    </row>
    <row r="9" customFormat="false" ht="21" hidden="false" customHeight="true" outlineLevel="0" collapsed="false">
      <c r="A9" s="91" t="str">
        <f aca="false">IF(名簿!$D9="","",名簿!$B9&amp;"")</f>
        <v/>
      </c>
      <c r="B9" s="91" t="str">
        <f aca="false">IF(名簿!$D9="","",名簿!$C9)</f>
        <v/>
      </c>
      <c r="C9" s="59" t="str">
        <f aca="false">IF(名簿!$D9="","",名簿!$D9&amp;IF(名簿!$F9="転出","（転出）",""))</f>
        <v/>
      </c>
      <c r="D9" s="149"/>
      <c r="E9" s="61" t="str">
        <f aca="false">IF(OR($C9="",名簿!$F9="転出"),"",IF($C$2="学級ごと",$A9,IF($C$2="前の単元と同じ",単元18!$E9&amp;"",$D9&amp;"")))</f>
        <v/>
      </c>
      <c r="F9" s="150"/>
      <c r="G9" s="150"/>
      <c r="H9" s="150"/>
      <c r="I9" s="151"/>
      <c r="J9" s="41" t="str">
        <f aca="false">IF($E9="","",$E9&amp;"|"&amp;COUNTIF($E$5:$E9,$E9))</f>
        <v/>
      </c>
      <c r="K9" s="40" t="str">
        <f aca="false">IF($I9="","",LEN($I9))</f>
        <v/>
      </c>
      <c r="L9" s="13"/>
      <c r="M9" s="13"/>
      <c r="N9" s="13"/>
      <c r="O9" s="13"/>
      <c r="P9" s="152"/>
      <c r="Q9" s="149"/>
      <c r="R9" s="152"/>
      <c r="S9" s="152"/>
      <c r="T9" s="62" t="str">
        <f aca="false">IF(OR($C9="",R9=""),"",IF(R9/IF($R$2="",100,$R$2)&gt;=設定!$I$28,設定!$G$8,IF(R9/IF($R$2="",100,$R$2)&lt;設定!$I$29,設定!$G$10,設定!$G$9)))</f>
        <v/>
      </c>
      <c r="U9" s="62" t="str">
        <f aca="false">IF(OR($C9="",S9=""),"",IF(S9/IF($S$2="",100,$S$2)&gt;=設定!$I$28,設定!$G$8,IF(S9/IF($S$2="",100,$S$2)&lt;設定!$I$29,設定!$G$10,設定!$G$9)))</f>
        <v/>
      </c>
    </row>
    <row r="10" customFormat="false" ht="21" hidden="false" customHeight="true" outlineLevel="0" collapsed="false">
      <c r="A10" s="91" t="str">
        <f aca="false">IF(名簿!$D10="","",名簿!$B10&amp;"")</f>
        <v/>
      </c>
      <c r="B10" s="91" t="str">
        <f aca="false">IF(名簿!$D10="","",名簿!$C10)</f>
        <v/>
      </c>
      <c r="C10" s="59" t="str">
        <f aca="false">IF(名簿!$D10="","",名簿!$D10&amp;IF(名簿!$F10="転出","（転出）",""))</f>
        <v/>
      </c>
      <c r="D10" s="149"/>
      <c r="E10" s="61" t="str">
        <f aca="false">IF(OR($C10="",名簿!$F10="転出"),"",IF($C$2="学級ごと",$A10,IF($C$2="前の単元と同じ",単元18!$E10&amp;"",$D10&amp;"")))</f>
        <v/>
      </c>
      <c r="F10" s="150"/>
      <c r="G10" s="150"/>
      <c r="H10" s="150"/>
      <c r="I10" s="151"/>
      <c r="J10" s="41" t="str">
        <f aca="false">IF($E10="","",$E10&amp;"|"&amp;COUNTIF($E$5:$E10,$E10))</f>
        <v/>
      </c>
      <c r="K10" s="40" t="str">
        <f aca="false">IF($I10="","",LEN($I10))</f>
        <v/>
      </c>
      <c r="L10" s="13"/>
      <c r="M10" s="13"/>
      <c r="N10" s="13"/>
      <c r="O10" s="13"/>
      <c r="P10" s="152"/>
      <c r="Q10" s="149"/>
      <c r="R10" s="152"/>
      <c r="S10" s="152"/>
      <c r="T10" s="62" t="str">
        <f aca="false">IF(OR($C10="",R10=""),"",IF(R10/IF($R$2="",100,$R$2)&gt;=設定!$I$28,設定!$G$8,IF(R10/IF($R$2="",100,$R$2)&lt;設定!$I$29,設定!$G$10,設定!$G$9)))</f>
        <v/>
      </c>
      <c r="U10" s="62" t="str">
        <f aca="false">IF(OR($C10="",S10=""),"",IF(S10/IF($S$2="",100,$S$2)&gt;=設定!$I$28,設定!$G$8,IF(S10/IF($S$2="",100,$S$2)&lt;設定!$I$29,設定!$G$10,設定!$G$9)))</f>
        <v/>
      </c>
    </row>
    <row r="11" customFormat="false" ht="21" hidden="false" customHeight="true" outlineLevel="0" collapsed="false">
      <c r="A11" s="91" t="str">
        <f aca="false">IF(名簿!$D11="","",名簿!$B11&amp;"")</f>
        <v/>
      </c>
      <c r="B11" s="91" t="str">
        <f aca="false">IF(名簿!$D11="","",名簿!$C11)</f>
        <v/>
      </c>
      <c r="C11" s="59" t="str">
        <f aca="false">IF(名簿!$D11="","",名簿!$D11&amp;IF(名簿!$F11="転出","（転出）",""))</f>
        <v/>
      </c>
      <c r="D11" s="149"/>
      <c r="E11" s="61" t="str">
        <f aca="false">IF(OR($C11="",名簿!$F11="転出"),"",IF($C$2="学級ごと",$A11,IF($C$2="前の単元と同じ",単元18!$E11&amp;"",$D11&amp;"")))</f>
        <v/>
      </c>
      <c r="F11" s="150"/>
      <c r="G11" s="150"/>
      <c r="H11" s="150"/>
      <c r="I11" s="151"/>
      <c r="J11" s="41" t="str">
        <f aca="false">IF($E11="","",$E11&amp;"|"&amp;COUNTIF($E$5:$E11,$E11))</f>
        <v/>
      </c>
      <c r="K11" s="40" t="str">
        <f aca="false">IF($I11="","",LEN($I11))</f>
        <v/>
      </c>
      <c r="L11" s="13"/>
      <c r="M11" s="13"/>
      <c r="N11" s="13"/>
      <c r="O11" s="13"/>
      <c r="P11" s="152"/>
      <c r="Q11" s="149"/>
      <c r="R11" s="152"/>
      <c r="S11" s="152"/>
      <c r="T11" s="62" t="str">
        <f aca="false">IF(OR($C11="",R11=""),"",IF(R11/IF($R$2="",100,$R$2)&gt;=設定!$I$28,設定!$G$8,IF(R11/IF($R$2="",100,$R$2)&lt;設定!$I$29,設定!$G$10,設定!$G$9)))</f>
        <v/>
      </c>
      <c r="U11" s="62" t="str">
        <f aca="false">IF(OR($C11="",S11=""),"",IF(S11/IF($S$2="",100,$S$2)&gt;=設定!$I$28,設定!$G$8,IF(S11/IF($S$2="",100,$S$2)&lt;設定!$I$29,設定!$G$10,設定!$G$9)))</f>
        <v/>
      </c>
    </row>
    <row r="12" customFormat="false" ht="21" hidden="false" customHeight="true" outlineLevel="0" collapsed="false">
      <c r="A12" s="91" t="str">
        <f aca="false">IF(名簿!$D12="","",名簿!$B12&amp;"")</f>
        <v/>
      </c>
      <c r="B12" s="91" t="str">
        <f aca="false">IF(名簿!$D12="","",名簿!$C12)</f>
        <v/>
      </c>
      <c r="C12" s="59" t="str">
        <f aca="false">IF(名簿!$D12="","",名簿!$D12&amp;IF(名簿!$F12="転出","（転出）",""))</f>
        <v/>
      </c>
      <c r="D12" s="149"/>
      <c r="E12" s="61" t="str">
        <f aca="false">IF(OR($C12="",名簿!$F12="転出"),"",IF($C$2="学級ごと",$A12,IF($C$2="前の単元と同じ",単元18!$E12&amp;"",$D12&amp;"")))</f>
        <v/>
      </c>
      <c r="F12" s="150"/>
      <c r="G12" s="150"/>
      <c r="H12" s="150"/>
      <c r="I12" s="151"/>
      <c r="J12" s="41" t="str">
        <f aca="false">IF($E12="","",$E12&amp;"|"&amp;COUNTIF($E$5:$E12,$E12))</f>
        <v/>
      </c>
      <c r="K12" s="40" t="str">
        <f aca="false">IF($I12="","",LEN($I12))</f>
        <v/>
      </c>
      <c r="L12" s="13"/>
      <c r="M12" s="13"/>
      <c r="N12" s="13"/>
      <c r="O12" s="13"/>
      <c r="P12" s="152"/>
      <c r="Q12" s="149"/>
      <c r="R12" s="152"/>
      <c r="S12" s="152"/>
      <c r="T12" s="62" t="str">
        <f aca="false">IF(OR($C12="",R12=""),"",IF(R12/IF($R$2="",100,$R$2)&gt;=設定!$I$28,設定!$G$8,IF(R12/IF($R$2="",100,$R$2)&lt;設定!$I$29,設定!$G$10,設定!$G$9)))</f>
        <v/>
      </c>
      <c r="U12" s="62" t="str">
        <f aca="false">IF(OR($C12="",S12=""),"",IF(S12/IF($S$2="",100,$S$2)&gt;=設定!$I$28,設定!$G$8,IF(S12/IF($S$2="",100,$S$2)&lt;設定!$I$29,設定!$G$10,設定!$G$9)))</f>
        <v/>
      </c>
    </row>
    <row r="13" customFormat="false" ht="21" hidden="false" customHeight="true" outlineLevel="0" collapsed="false">
      <c r="A13" s="91" t="str">
        <f aca="false">IF(名簿!$D13="","",名簿!$B13&amp;"")</f>
        <v/>
      </c>
      <c r="B13" s="91" t="str">
        <f aca="false">IF(名簿!$D13="","",名簿!$C13)</f>
        <v/>
      </c>
      <c r="C13" s="59" t="str">
        <f aca="false">IF(名簿!$D13="","",名簿!$D13&amp;IF(名簿!$F13="転出","（転出）",""))</f>
        <v/>
      </c>
      <c r="D13" s="149"/>
      <c r="E13" s="61" t="str">
        <f aca="false">IF(OR($C13="",名簿!$F13="転出"),"",IF($C$2="学級ごと",$A13,IF($C$2="前の単元と同じ",単元18!$E13&amp;"",$D13&amp;"")))</f>
        <v/>
      </c>
      <c r="F13" s="150"/>
      <c r="G13" s="150"/>
      <c r="H13" s="150"/>
      <c r="I13" s="151"/>
      <c r="J13" s="41" t="str">
        <f aca="false">IF($E13="","",$E13&amp;"|"&amp;COUNTIF($E$5:$E13,$E13))</f>
        <v/>
      </c>
      <c r="K13" s="40" t="str">
        <f aca="false">IF($I13="","",LEN($I13))</f>
        <v/>
      </c>
      <c r="L13" s="13"/>
      <c r="M13" s="13"/>
      <c r="N13" s="13"/>
      <c r="O13" s="13"/>
      <c r="P13" s="152"/>
      <c r="Q13" s="149"/>
      <c r="R13" s="152"/>
      <c r="S13" s="152"/>
      <c r="T13" s="62" t="str">
        <f aca="false">IF(OR($C13="",R13=""),"",IF(R13/IF($R$2="",100,$R$2)&gt;=設定!$I$28,設定!$G$8,IF(R13/IF($R$2="",100,$R$2)&lt;設定!$I$29,設定!$G$10,設定!$G$9)))</f>
        <v/>
      </c>
      <c r="U13" s="62" t="str">
        <f aca="false">IF(OR($C13="",S13=""),"",IF(S13/IF($S$2="",100,$S$2)&gt;=設定!$I$28,設定!$G$8,IF(S13/IF($S$2="",100,$S$2)&lt;設定!$I$29,設定!$G$10,設定!$G$9)))</f>
        <v/>
      </c>
    </row>
    <row r="14" customFormat="false" ht="21" hidden="false" customHeight="true" outlineLevel="0" collapsed="false">
      <c r="A14" s="91" t="str">
        <f aca="false">IF(名簿!$D14="","",名簿!$B14&amp;"")</f>
        <v/>
      </c>
      <c r="B14" s="91" t="str">
        <f aca="false">IF(名簿!$D14="","",名簿!$C14)</f>
        <v/>
      </c>
      <c r="C14" s="59" t="str">
        <f aca="false">IF(名簿!$D14="","",名簿!$D14&amp;IF(名簿!$F14="転出","（転出）",""))</f>
        <v/>
      </c>
      <c r="D14" s="149"/>
      <c r="E14" s="61" t="str">
        <f aca="false">IF(OR($C14="",名簿!$F14="転出"),"",IF($C$2="学級ごと",$A14,IF($C$2="前の単元と同じ",単元18!$E14&amp;"",$D14&amp;"")))</f>
        <v/>
      </c>
      <c r="F14" s="150"/>
      <c r="G14" s="150"/>
      <c r="H14" s="150"/>
      <c r="I14" s="151"/>
      <c r="J14" s="41" t="str">
        <f aca="false">IF($E14="","",$E14&amp;"|"&amp;COUNTIF($E$5:$E14,$E14))</f>
        <v/>
      </c>
      <c r="K14" s="40" t="str">
        <f aca="false">IF($I14="","",LEN($I14))</f>
        <v/>
      </c>
      <c r="L14" s="13"/>
      <c r="M14" s="13"/>
      <c r="N14" s="13"/>
      <c r="O14" s="13"/>
      <c r="P14" s="152"/>
      <c r="Q14" s="149"/>
      <c r="R14" s="152"/>
      <c r="S14" s="152"/>
      <c r="T14" s="62" t="str">
        <f aca="false">IF(OR($C14="",R14=""),"",IF(R14/IF($R$2="",100,$R$2)&gt;=設定!$I$28,設定!$G$8,IF(R14/IF($R$2="",100,$R$2)&lt;設定!$I$29,設定!$G$10,設定!$G$9)))</f>
        <v/>
      </c>
      <c r="U14" s="62" t="str">
        <f aca="false">IF(OR($C14="",S14=""),"",IF(S14/IF($S$2="",100,$S$2)&gt;=設定!$I$28,設定!$G$8,IF(S14/IF($S$2="",100,$S$2)&lt;設定!$I$29,設定!$G$10,設定!$G$9)))</f>
        <v/>
      </c>
    </row>
    <row r="15" customFormat="false" ht="21" hidden="false" customHeight="true" outlineLevel="0" collapsed="false">
      <c r="A15" s="91" t="str">
        <f aca="false">IF(名簿!$D15="","",名簿!$B15&amp;"")</f>
        <v/>
      </c>
      <c r="B15" s="91" t="str">
        <f aca="false">IF(名簿!$D15="","",名簿!$C15)</f>
        <v/>
      </c>
      <c r="C15" s="59" t="str">
        <f aca="false">IF(名簿!$D15="","",名簿!$D15&amp;IF(名簿!$F15="転出","（転出）",""))</f>
        <v/>
      </c>
      <c r="D15" s="149"/>
      <c r="E15" s="61" t="str">
        <f aca="false">IF(OR($C15="",名簿!$F15="転出"),"",IF($C$2="学級ごと",$A15,IF($C$2="前の単元と同じ",単元18!$E15&amp;"",$D15&amp;"")))</f>
        <v/>
      </c>
      <c r="F15" s="150"/>
      <c r="G15" s="150"/>
      <c r="H15" s="150"/>
      <c r="I15" s="151"/>
      <c r="J15" s="41" t="str">
        <f aca="false">IF($E15="","",$E15&amp;"|"&amp;COUNTIF($E$5:$E15,$E15))</f>
        <v/>
      </c>
      <c r="K15" s="40" t="str">
        <f aca="false">IF($I15="","",LEN($I15))</f>
        <v/>
      </c>
      <c r="L15" s="13"/>
      <c r="M15" s="13"/>
      <c r="N15" s="13"/>
      <c r="O15" s="13"/>
      <c r="P15" s="152"/>
      <c r="Q15" s="149"/>
      <c r="R15" s="152"/>
      <c r="S15" s="152"/>
      <c r="T15" s="62" t="str">
        <f aca="false">IF(OR($C15="",R15=""),"",IF(R15/IF($R$2="",100,$R$2)&gt;=設定!$I$28,設定!$G$8,IF(R15/IF($R$2="",100,$R$2)&lt;設定!$I$29,設定!$G$10,設定!$G$9)))</f>
        <v/>
      </c>
      <c r="U15" s="62" t="str">
        <f aca="false">IF(OR($C15="",S15=""),"",IF(S15/IF($S$2="",100,$S$2)&gt;=設定!$I$28,設定!$G$8,IF(S15/IF($S$2="",100,$S$2)&lt;設定!$I$29,設定!$G$10,設定!$G$9)))</f>
        <v/>
      </c>
    </row>
    <row r="16" customFormat="false" ht="21" hidden="false" customHeight="true" outlineLevel="0" collapsed="false">
      <c r="A16" s="91" t="str">
        <f aca="false">IF(名簿!$D16="","",名簿!$B16&amp;"")</f>
        <v/>
      </c>
      <c r="B16" s="91" t="str">
        <f aca="false">IF(名簿!$D16="","",名簿!$C16)</f>
        <v/>
      </c>
      <c r="C16" s="59" t="str">
        <f aca="false">IF(名簿!$D16="","",名簿!$D16&amp;IF(名簿!$F16="転出","（転出）",""))</f>
        <v/>
      </c>
      <c r="D16" s="149"/>
      <c r="E16" s="61" t="str">
        <f aca="false">IF(OR($C16="",名簿!$F16="転出"),"",IF($C$2="学級ごと",$A16,IF($C$2="前の単元と同じ",単元18!$E16&amp;"",$D16&amp;"")))</f>
        <v/>
      </c>
      <c r="F16" s="150"/>
      <c r="G16" s="150"/>
      <c r="H16" s="150"/>
      <c r="I16" s="151"/>
      <c r="J16" s="41" t="str">
        <f aca="false">IF($E16="","",$E16&amp;"|"&amp;COUNTIF($E$5:$E16,$E16))</f>
        <v/>
      </c>
      <c r="K16" s="40" t="str">
        <f aca="false">IF($I16="","",LEN($I16))</f>
        <v/>
      </c>
      <c r="L16" s="13"/>
      <c r="M16" s="13"/>
      <c r="N16" s="13"/>
      <c r="O16" s="13"/>
      <c r="P16" s="152"/>
      <c r="Q16" s="149"/>
      <c r="R16" s="152"/>
      <c r="S16" s="152"/>
      <c r="T16" s="62" t="str">
        <f aca="false">IF(OR($C16="",R16=""),"",IF(R16/IF($R$2="",100,$R$2)&gt;=設定!$I$28,設定!$G$8,IF(R16/IF($R$2="",100,$R$2)&lt;設定!$I$29,設定!$G$10,設定!$G$9)))</f>
        <v/>
      </c>
      <c r="U16" s="62" t="str">
        <f aca="false">IF(OR($C16="",S16=""),"",IF(S16/IF($S$2="",100,$S$2)&gt;=設定!$I$28,設定!$G$8,IF(S16/IF($S$2="",100,$S$2)&lt;設定!$I$29,設定!$G$10,設定!$G$9)))</f>
        <v/>
      </c>
    </row>
    <row r="17" customFormat="false" ht="21" hidden="false" customHeight="true" outlineLevel="0" collapsed="false">
      <c r="A17" s="91" t="str">
        <f aca="false">IF(名簿!$D17="","",名簿!$B17&amp;"")</f>
        <v/>
      </c>
      <c r="B17" s="91" t="str">
        <f aca="false">IF(名簿!$D17="","",名簿!$C17)</f>
        <v/>
      </c>
      <c r="C17" s="59" t="str">
        <f aca="false">IF(名簿!$D17="","",名簿!$D17&amp;IF(名簿!$F17="転出","（転出）",""))</f>
        <v/>
      </c>
      <c r="D17" s="149"/>
      <c r="E17" s="61" t="str">
        <f aca="false">IF(OR($C17="",名簿!$F17="転出"),"",IF($C$2="学級ごと",$A17,IF($C$2="前の単元と同じ",単元18!$E17&amp;"",$D17&amp;"")))</f>
        <v/>
      </c>
      <c r="F17" s="150"/>
      <c r="G17" s="150"/>
      <c r="H17" s="150"/>
      <c r="I17" s="151"/>
      <c r="J17" s="41" t="str">
        <f aca="false">IF($E17="","",$E17&amp;"|"&amp;COUNTIF($E$5:$E17,$E17))</f>
        <v/>
      </c>
      <c r="K17" s="40" t="str">
        <f aca="false">IF($I17="","",LEN($I17))</f>
        <v/>
      </c>
      <c r="L17" s="13"/>
      <c r="M17" s="13"/>
      <c r="N17" s="13"/>
      <c r="O17" s="13"/>
      <c r="P17" s="152"/>
      <c r="Q17" s="149"/>
      <c r="R17" s="152"/>
      <c r="S17" s="152"/>
      <c r="T17" s="62" t="str">
        <f aca="false">IF(OR($C17="",R17=""),"",IF(R17/IF($R$2="",100,$R$2)&gt;=設定!$I$28,設定!$G$8,IF(R17/IF($R$2="",100,$R$2)&lt;設定!$I$29,設定!$G$10,設定!$G$9)))</f>
        <v/>
      </c>
      <c r="U17" s="62" t="str">
        <f aca="false">IF(OR($C17="",S17=""),"",IF(S17/IF($S$2="",100,$S$2)&gt;=設定!$I$28,設定!$G$8,IF(S17/IF($S$2="",100,$S$2)&lt;設定!$I$29,設定!$G$10,設定!$G$9)))</f>
        <v/>
      </c>
    </row>
    <row r="18" customFormat="false" ht="21" hidden="false" customHeight="true" outlineLevel="0" collapsed="false">
      <c r="A18" s="91" t="str">
        <f aca="false">IF(名簿!$D18="","",名簿!$B18&amp;"")</f>
        <v/>
      </c>
      <c r="B18" s="91" t="str">
        <f aca="false">IF(名簿!$D18="","",名簿!$C18)</f>
        <v/>
      </c>
      <c r="C18" s="59" t="str">
        <f aca="false">IF(名簿!$D18="","",名簿!$D18&amp;IF(名簿!$F18="転出","（転出）",""))</f>
        <v/>
      </c>
      <c r="D18" s="149"/>
      <c r="E18" s="61" t="str">
        <f aca="false">IF(OR($C18="",名簿!$F18="転出"),"",IF($C$2="学級ごと",$A18,IF($C$2="前の単元と同じ",単元18!$E18&amp;"",$D18&amp;"")))</f>
        <v/>
      </c>
      <c r="F18" s="150"/>
      <c r="G18" s="150"/>
      <c r="H18" s="150"/>
      <c r="I18" s="151"/>
      <c r="J18" s="41" t="str">
        <f aca="false">IF($E18="","",$E18&amp;"|"&amp;COUNTIF($E$5:$E18,$E18))</f>
        <v/>
      </c>
      <c r="K18" s="40" t="str">
        <f aca="false">IF($I18="","",LEN($I18))</f>
        <v/>
      </c>
      <c r="L18" s="13"/>
      <c r="M18" s="13"/>
      <c r="N18" s="13"/>
      <c r="O18" s="13"/>
      <c r="P18" s="152"/>
      <c r="Q18" s="149"/>
      <c r="R18" s="152"/>
      <c r="S18" s="152"/>
      <c r="T18" s="62" t="str">
        <f aca="false">IF(OR($C18="",R18=""),"",IF(R18/IF($R$2="",100,$R$2)&gt;=設定!$I$28,設定!$G$8,IF(R18/IF($R$2="",100,$R$2)&lt;設定!$I$29,設定!$G$10,設定!$G$9)))</f>
        <v/>
      </c>
      <c r="U18" s="62" t="str">
        <f aca="false">IF(OR($C18="",S18=""),"",IF(S18/IF($S$2="",100,$S$2)&gt;=設定!$I$28,設定!$G$8,IF(S18/IF($S$2="",100,$S$2)&lt;設定!$I$29,設定!$G$10,設定!$G$9)))</f>
        <v/>
      </c>
    </row>
    <row r="19" customFormat="false" ht="21" hidden="false" customHeight="true" outlineLevel="0" collapsed="false">
      <c r="A19" s="91" t="str">
        <f aca="false">IF(名簿!$D19="","",名簿!$B19&amp;"")</f>
        <v/>
      </c>
      <c r="B19" s="91" t="str">
        <f aca="false">IF(名簿!$D19="","",名簿!$C19)</f>
        <v/>
      </c>
      <c r="C19" s="59" t="str">
        <f aca="false">IF(名簿!$D19="","",名簿!$D19&amp;IF(名簿!$F19="転出","（転出）",""))</f>
        <v/>
      </c>
      <c r="D19" s="149"/>
      <c r="E19" s="61" t="str">
        <f aca="false">IF(OR($C19="",名簿!$F19="転出"),"",IF($C$2="学級ごと",$A19,IF($C$2="前の単元と同じ",単元18!$E19&amp;"",$D19&amp;"")))</f>
        <v/>
      </c>
      <c r="F19" s="150"/>
      <c r="G19" s="150"/>
      <c r="H19" s="150"/>
      <c r="I19" s="151"/>
      <c r="J19" s="41" t="str">
        <f aca="false">IF($E19="","",$E19&amp;"|"&amp;COUNTIF($E$5:$E19,$E19))</f>
        <v/>
      </c>
      <c r="K19" s="40" t="str">
        <f aca="false">IF($I19="","",LEN($I19))</f>
        <v/>
      </c>
      <c r="L19" s="13"/>
      <c r="M19" s="13"/>
      <c r="N19" s="13"/>
      <c r="O19" s="13"/>
      <c r="P19" s="152"/>
      <c r="Q19" s="149"/>
      <c r="R19" s="152"/>
      <c r="S19" s="152"/>
      <c r="T19" s="62" t="str">
        <f aca="false">IF(OR($C19="",R19=""),"",IF(R19/IF($R$2="",100,$R$2)&gt;=設定!$I$28,設定!$G$8,IF(R19/IF($R$2="",100,$R$2)&lt;設定!$I$29,設定!$G$10,設定!$G$9)))</f>
        <v/>
      </c>
      <c r="U19" s="62" t="str">
        <f aca="false">IF(OR($C19="",S19=""),"",IF(S19/IF($S$2="",100,$S$2)&gt;=設定!$I$28,設定!$G$8,IF(S19/IF($S$2="",100,$S$2)&lt;設定!$I$29,設定!$G$10,設定!$G$9)))</f>
        <v/>
      </c>
    </row>
    <row r="20" customFormat="false" ht="21" hidden="false" customHeight="true" outlineLevel="0" collapsed="false">
      <c r="A20" s="91" t="str">
        <f aca="false">IF(名簿!$D20="","",名簿!$B20&amp;"")</f>
        <v/>
      </c>
      <c r="B20" s="91" t="str">
        <f aca="false">IF(名簿!$D20="","",名簿!$C20)</f>
        <v/>
      </c>
      <c r="C20" s="59" t="str">
        <f aca="false">IF(名簿!$D20="","",名簿!$D20&amp;IF(名簿!$F20="転出","（転出）",""))</f>
        <v/>
      </c>
      <c r="D20" s="149"/>
      <c r="E20" s="61" t="str">
        <f aca="false">IF(OR($C20="",名簿!$F20="転出"),"",IF($C$2="学級ごと",$A20,IF($C$2="前の単元と同じ",単元18!$E20&amp;"",$D20&amp;"")))</f>
        <v/>
      </c>
      <c r="F20" s="150"/>
      <c r="G20" s="150"/>
      <c r="H20" s="150"/>
      <c r="I20" s="151"/>
      <c r="J20" s="41" t="str">
        <f aca="false">IF($E20="","",$E20&amp;"|"&amp;COUNTIF($E$5:$E20,$E20))</f>
        <v/>
      </c>
      <c r="K20" s="40" t="str">
        <f aca="false">IF($I20="","",LEN($I20))</f>
        <v/>
      </c>
      <c r="L20" s="13"/>
      <c r="M20" s="13"/>
      <c r="N20" s="13"/>
      <c r="O20" s="13"/>
      <c r="P20" s="152"/>
      <c r="Q20" s="149"/>
      <c r="R20" s="152"/>
      <c r="S20" s="152"/>
      <c r="T20" s="62" t="str">
        <f aca="false">IF(OR($C20="",R20=""),"",IF(R20/IF($R$2="",100,$R$2)&gt;=設定!$I$28,設定!$G$8,IF(R20/IF($R$2="",100,$R$2)&lt;設定!$I$29,設定!$G$10,設定!$G$9)))</f>
        <v/>
      </c>
      <c r="U20" s="62" t="str">
        <f aca="false">IF(OR($C20="",S20=""),"",IF(S20/IF($S$2="",100,$S$2)&gt;=設定!$I$28,設定!$G$8,IF(S20/IF($S$2="",100,$S$2)&lt;設定!$I$29,設定!$G$10,設定!$G$9)))</f>
        <v/>
      </c>
    </row>
    <row r="21" customFormat="false" ht="21" hidden="false" customHeight="true" outlineLevel="0" collapsed="false">
      <c r="A21" s="91" t="str">
        <f aca="false">IF(名簿!$D21="","",名簿!$B21&amp;"")</f>
        <v/>
      </c>
      <c r="B21" s="91" t="str">
        <f aca="false">IF(名簿!$D21="","",名簿!$C21)</f>
        <v/>
      </c>
      <c r="C21" s="59" t="str">
        <f aca="false">IF(名簿!$D21="","",名簿!$D21&amp;IF(名簿!$F21="転出","（転出）",""))</f>
        <v/>
      </c>
      <c r="D21" s="149"/>
      <c r="E21" s="61" t="str">
        <f aca="false">IF(OR($C21="",名簿!$F21="転出"),"",IF($C$2="学級ごと",$A21,IF($C$2="前の単元と同じ",単元18!$E21&amp;"",$D21&amp;"")))</f>
        <v/>
      </c>
      <c r="F21" s="150"/>
      <c r="G21" s="150"/>
      <c r="H21" s="150"/>
      <c r="I21" s="151"/>
      <c r="J21" s="41" t="str">
        <f aca="false">IF($E21="","",$E21&amp;"|"&amp;COUNTIF($E$5:$E21,$E21))</f>
        <v/>
      </c>
      <c r="K21" s="40" t="str">
        <f aca="false">IF($I21="","",LEN($I21))</f>
        <v/>
      </c>
      <c r="L21" s="13"/>
      <c r="M21" s="13"/>
      <c r="N21" s="13"/>
      <c r="O21" s="13"/>
      <c r="P21" s="152"/>
      <c r="Q21" s="149"/>
      <c r="R21" s="152"/>
      <c r="S21" s="152"/>
      <c r="T21" s="62" t="str">
        <f aca="false">IF(OR($C21="",R21=""),"",IF(R21/IF($R$2="",100,$R$2)&gt;=設定!$I$28,設定!$G$8,IF(R21/IF($R$2="",100,$R$2)&lt;設定!$I$29,設定!$G$10,設定!$G$9)))</f>
        <v/>
      </c>
      <c r="U21" s="62" t="str">
        <f aca="false">IF(OR($C21="",S21=""),"",IF(S21/IF($S$2="",100,$S$2)&gt;=設定!$I$28,設定!$G$8,IF(S21/IF($S$2="",100,$S$2)&lt;設定!$I$29,設定!$G$10,設定!$G$9)))</f>
        <v/>
      </c>
    </row>
    <row r="22" customFormat="false" ht="21" hidden="false" customHeight="true" outlineLevel="0" collapsed="false">
      <c r="A22" s="91" t="str">
        <f aca="false">IF(名簿!$D22="","",名簿!$B22&amp;"")</f>
        <v/>
      </c>
      <c r="B22" s="91" t="str">
        <f aca="false">IF(名簿!$D22="","",名簿!$C22)</f>
        <v/>
      </c>
      <c r="C22" s="59" t="str">
        <f aca="false">IF(名簿!$D22="","",名簿!$D22&amp;IF(名簿!$F22="転出","（転出）",""))</f>
        <v/>
      </c>
      <c r="D22" s="149"/>
      <c r="E22" s="61" t="str">
        <f aca="false">IF(OR($C22="",名簿!$F22="転出"),"",IF($C$2="学級ごと",$A22,IF($C$2="前の単元と同じ",単元18!$E22&amp;"",$D22&amp;"")))</f>
        <v/>
      </c>
      <c r="F22" s="150"/>
      <c r="G22" s="150"/>
      <c r="H22" s="150"/>
      <c r="I22" s="151"/>
      <c r="J22" s="41" t="str">
        <f aca="false">IF($E22="","",$E22&amp;"|"&amp;COUNTIF($E$5:$E22,$E22))</f>
        <v/>
      </c>
      <c r="K22" s="40" t="str">
        <f aca="false">IF($I22="","",LEN($I22))</f>
        <v/>
      </c>
      <c r="L22" s="13"/>
      <c r="M22" s="13"/>
      <c r="N22" s="13"/>
      <c r="O22" s="13"/>
      <c r="P22" s="152"/>
      <c r="Q22" s="149"/>
      <c r="R22" s="152"/>
      <c r="S22" s="152"/>
      <c r="T22" s="62" t="str">
        <f aca="false">IF(OR($C22="",R22=""),"",IF(R22/IF($R$2="",100,$R$2)&gt;=設定!$I$28,設定!$G$8,IF(R22/IF($R$2="",100,$R$2)&lt;設定!$I$29,設定!$G$10,設定!$G$9)))</f>
        <v/>
      </c>
      <c r="U22" s="62" t="str">
        <f aca="false">IF(OR($C22="",S22=""),"",IF(S22/IF($S$2="",100,$S$2)&gt;=設定!$I$28,設定!$G$8,IF(S22/IF($S$2="",100,$S$2)&lt;設定!$I$29,設定!$G$10,設定!$G$9)))</f>
        <v/>
      </c>
    </row>
    <row r="23" customFormat="false" ht="21" hidden="false" customHeight="true" outlineLevel="0" collapsed="false">
      <c r="A23" s="91" t="str">
        <f aca="false">IF(名簿!$D23="","",名簿!$B23&amp;"")</f>
        <v/>
      </c>
      <c r="B23" s="91" t="str">
        <f aca="false">IF(名簿!$D23="","",名簿!$C23)</f>
        <v/>
      </c>
      <c r="C23" s="59" t="str">
        <f aca="false">IF(名簿!$D23="","",名簿!$D23&amp;IF(名簿!$F23="転出","（転出）",""))</f>
        <v/>
      </c>
      <c r="D23" s="149"/>
      <c r="E23" s="61" t="str">
        <f aca="false">IF(OR($C23="",名簿!$F23="転出"),"",IF($C$2="学級ごと",$A23,IF($C$2="前の単元と同じ",単元18!$E23&amp;"",$D23&amp;"")))</f>
        <v/>
      </c>
      <c r="F23" s="150"/>
      <c r="G23" s="150"/>
      <c r="H23" s="150"/>
      <c r="I23" s="151"/>
      <c r="J23" s="41" t="str">
        <f aca="false">IF($E23="","",$E23&amp;"|"&amp;COUNTIF($E$5:$E23,$E23))</f>
        <v/>
      </c>
      <c r="K23" s="40" t="str">
        <f aca="false">IF($I23="","",LEN($I23))</f>
        <v/>
      </c>
      <c r="L23" s="13"/>
      <c r="M23" s="13"/>
      <c r="N23" s="13"/>
      <c r="O23" s="13"/>
      <c r="P23" s="152"/>
      <c r="Q23" s="149"/>
      <c r="R23" s="152"/>
      <c r="S23" s="152"/>
      <c r="T23" s="62" t="str">
        <f aca="false">IF(OR($C23="",R23=""),"",IF(R23/IF($R$2="",100,$R$2)&gt;=設定!$I$28,設定!$G$8,IF(R23/IF($R$2="",100,$R$2)&lt;設定!$I$29,設定!$G$10,設定!$G$9)))</f>
        <v/>
      </c>
      <c r="U23" s="62" t="str">
        <f aca="false">IF(OR($C23="",S23=""),"",IF(S23/IF($S$2="",100,$S$2)&gt;=設定!$I$28,設定!$G$8,IF(S23/IF($S$2="",100,$S$2)&lt;設定!$I$29,設定!$G$10,設定!$G$9)))</f>
        <v/>
      </c>
    </row>
    <row r="24" customFormat="false" ht="21" hidden="false" customHeight="true" outlineLevel="0" collapsed="false">
      <c r="A24" s="91" t="str">
        <f aca="false">IF(名簿!$D24="","",名簿!$B24&amp;"")</f>
        <v/>
      </c>
      <c r="B24" s="91" t="str">
        <f aca="false">IF(名簿!$D24="","",名簿!$C24)</f>
        <v/>
      </c>
      <c r="C24" s="59" t="str">
        <f aca="false">IF(名簿!$D24="","",名簿!$D24&amp;IF(名簿!$F24="転出","（転出）",""))</f>
        <v/>
      </c>
      <c r="D24" s="149"/>
      <c r="E24" s="61" t="str">
        <f aca="false">IF(OR($C24="",名簿!$F24="転出"),"",IF($C$2="学級ごと",$A24,IF($C$2="前の単元と同じ",単元18!$E24&amp;"",$D24&amp;"")))</f>
        <v/>
      </c>
      <c r="F24" s="150"/>
      <c r="G24" s="150"/>
      <c r="H24" s="150"/>
      <c r="I24" s="151"/>
      <c r="J24" s="41" t="str">
        <f aca="false">IF($E24="","",$E24&amp;"|"&amp;COUNTIF($E$5:$E24,$E24))</f>
        <v/>
      </c>
      <c r="K24" s="40" t="str">
        <f aca="false">IF($I24="","",LEN($I24))</f>
        <v/>
      </c>
      <c r="L24" s="13"/>
      <c r="M24" s="13"/>
      <c r="N24" s="13"/>
      <c r="O24" s="13"/>
      <c r="P24" s="152"/>
      <c r="Q24" s="149"/>
      <c r="R24" s="152"/>
      <c r="S24" s="152"/>
      <c r="T24" s="62" t="str">
        <f aca="false">IF(OR($C24="",R24=""),"",IF(R24/IF($R$2="",100,$R$2)&gt;=設定!$I$28,設定!$G$8,IF(R24/IF($R$2="",100,$R$2)&lt;設定!$I$29,設定!$G$10,設定!$G$9)))</f>
        <v/>
      </c>
      <c r="U24" s="62" t="str">
        <f aca="false">IF(OR($C24="",S24=""),"",IF(S24/IF($S$2="",100,$S$2)&gt;=設定!$I$28,設定!$G$8,IF(S24/IF($S$2="",100,$S$2)&lt;設定!$I$29,設定!$G$10,設定!$G$9)))</f>
        <v/>
      </c>
    </row>
    <row r="25" customFormat="false" ht="21" hidden="false" customHeight="true" outlineLevel="0" collapsed="false">
      <c r="A25" s="91" t="str">
        <f aca="false">IF(名簿!$D25="","",名簿!$B25&amp;"")</f>
        <v/>
      </c>
      <c r="B25" s="91" t="str">
        <f aca="false">IF(名簿!$D25="","",名簿!$C25)</f>
        <v/>
      </c>
      <c r="C25" s="59" t="str">
        <f aca="false">IF(名簿!$D25="","",名簿!$D25&amp;IF(名簿!$F25="転出","（転出）",""))</f>
        <v/>
      </c>
      <c r="D25" s="149"/>
      <c r="E25" s="61" t="str">
        <f aca="false">IF(OR($C25="",名簿!$F25="転出"),"",IF($C$2="学級ごと",$A25,IF($C$2="前の単元と同じ",単元18!$E25&amp;"",$D25&amp;"")))</f>
        <v/>
      </c>
      <c r="F25" s="150"/>
      <c r="G25" s="150"/>
      <c r="H25" s="150"/>
      <c r="I25" s="151"/>
      <c r="J25" s="41" t="str">
        <f aca="false">IF($E25="","",$E25&amp;"|"&amp;COUNTIF($E$5:$E25,$E25))</f>
        <v/>
      </c>
      <c r="K25" s="40" t="str">
        <f aca="false">IF($I25="","",LEN($I25))</f>
        <v/>
      </c>
      <c r="L25" s="13"/>
      <c r="M25" s="13"/>
      <c r="N25" s="13"/>
      <c r="O25" s="13"/>
      <c r="P25" s="152"/>
      <c r="Q25" s="149"/>
      <c r="R25" s="152"/>
      <c r="S25" s="152"/>
      <c r="T25" s="62" t="str">
        <f aca="false">IF(OR($C25="",R25=""),"",IF(R25/IF($R$2="",100,$R$2)&gt;=設定!$I$28,設定!$G$8,IF(R25/IF($R$2="",100,$R$2)&lt;設定!$I$29,設定!$G$10,設定!$G$9)))</f>
        <v/>
      </c>
      <c r="U25" s="62" t="str">
        <f aca="false">IF(OR($C25="",S25=""),"",IF(S25/IF($S$2="",100,$S$2)&gt;=設定!$I$28,設定!$G$8,IF(S25/IF($S$2="",100,$S$2)&lt;設定!$I$29,設定!$G$10,設定!$G$9)))</f>
        <v/>
      </c>
    </row>
    <row r="26" customFormat="false" ht="21" hidden="false" customHeight="true" outlineLevel="0" collapsed="false">
      <c r="A26" s="91" t="str">
        <f aca="false">IF(名簿!$D26="","",名簿!$B26&amp;"")</f>
        <v/>
      </c>
      <c r="B26" s="91" t="str">
        <f aca="false">IF(名簿!$D26="","",名簿!$C26)</f>
        <v/>
      </c>
      <c r="C26" s="59" t="str">
        <f aca="false">IF(名簿!$D26="","",名簿!$D26&amp;IF(名簿!$F26="転出","（転出）",""))</f>
        <v/>
      </c>
      <c r="D26" s="149"/>
      <c r="E26" s="61" t="str">
        <f aca="false">IF(OR($C26="",名簿!$F26="転出"),"",IF($C$2="学級ごと",$A26,IF($C$2="前の単元と同じ",単元18!$E26&amp;"",$D26&amp;"")))</f>
        <v/>
      </c>
      <c r="F26" s="150"/>
      <c r="G26" s="150"/>
      <c r="H26" s="150"/>
      <c r="I26" s="151"/>
      <c r="J26" s="41" t="str">
        <f aca="false">IF($E26="","",$E26&amp;"|"&amp;COUNTIF($E$5:$E26,$E26))</f>
        <v/>
      </c>
      <c r="K26" s="40" t="str">
        <f aca="false">IF($I26="","",LEN($I26))</f>
        <v/>
      </c>
      <c r="L26" s="13"/>
      <c r="M26" s="13"/>
      <c r="N26" s="13"/>
      <c r="O26" s="13"/>
      <c r="P26" s="152"/>
      <c r="Q26" s="149"/>
      <c r="R26" s="152"/>
      <c r="S26" s="152"/>
      <c r="T26" s="62" t="str">
        <f aca="false">IF(OR($C26="",R26=""),"",IF(R26/IF($R$2="",100,$R$2)&gt;=設定!$I$28,設定!$G$8,IF(R26/IF($R$2="",100,$R$2)&lt;設定!$I$29,設定!$G$10,設定!$G$9)))</f>
        <v/>
      </c>
      <c r="U26" s="62" t="str">
        <f aca="false">IF(OR($C26="",S26=""),"",IF(S26/IF($S$2="",100,$S$2)&gt;=設定!$I$28,設定!$G$8,IF(S26/IF($S$2="",100,$S$2)&lt;設定!$I$29,設定!$G$10,設定!$G$9)))</f>
        <v/>
      </c>
    </row>
    <row r="27" customFormat="false" ht="21" hidden="false" customHeight="true" outlineLevel="0" collapsed="false">
      <c r="A27" s="91" t="str">
        <f aca="false">IF(名簿!$D27="","",名簿!$B27&amp;"")</f>
        <v/>
      </c>
      <c r="B27" s="91" t="str">
        <f aca="false">IF(名簿!$D27="","",名簿!$C27)</f>
        <v/>
      </c>
      <c r="C27" s="59" t="str">
        <f aca="false">IF(名簿!$D27="","",名簿!$D27&amp;IF(名簿!$F27="転出","（転出）",""))</f>
        <v/>
      </c>
      <c r="D27" s="149"/>
      <c r="E27" s="61" t="str">
        <f aca="false">IF(OR($C27="",名簿!$F27="転出"),"",IF($C$2="学級ごと",$A27,IF($C$2="前の単元と同じ",単元18!$E27&amp;"",$D27&amp;"")))</f>
        <v/>
      </c>
      <c r="F27" s="150"/>
      <c r="G27" s="150"/>
      <c r="H27" s="150"/>
      <c r="I27" s="151"/>
      <c r="J27" s="41" t="str">
        <f aca="false">IF($E27="","",$E27&amp;"|"&amp;COUNTIF($E$5:$E27,$E27))</f>
        <v/>
      </c>
      <c r="K27" s="40" t="str">
        <f aca="false">IF($I27="","",LEN($I27))</f>
        <v/>
      </c>
      <c r="L27" s="13"/>
      <c r="M27" s="13"/>
      <c r="N27" s="13"/>
      <c r="O27" s="13"/>
      <c r="P27" s="152"/>
      <c r="Q27" s="149"/>
      <c r="R27" s="152"/>
      <c r="S27" s="152"/>
      <c r="T27" s="62" t="str">
        <f aca="false">IF(OR($C27="",R27=""),"",IF(R27/IF($R$2="",100,$R$2)&gt;=設定!$I$28,設定!$G$8,IF(R27/IF($R$2="",100,$R$2)&lt;設定!$I$29,設定!$G$10,設定!$G$9)))</f>
        <v/>
      </c>
      <c r="U27" s="62" t="str">
        <f aca="false">IF(OR($C27="",S27=""),"",IF(S27/IF($S$2="",100,$S$2)&gt;=設定!$I$28,設定!$G$8,IF(S27/IF($S$2="",100,$S$2)&lt;設定!$I$29,設定!$G$10,設定!$G$9)))</f>
        <v/>
      </c>
    </row>
    <row r="28" customFormat="false" ht="21" hidden="false" customHeight="true" outlineLevel="0" collapsed="false">
      <c r="A28" s="91" t="str">
        <f aca="false">IF(名簿!$D28="","",名簿!$B28&amp;"")</f>
        <v/>
      </c>
      <c r="B28" s="91" t="str">
        <f aca="false">IF(名簿!$D28="","",名簿!$C28)</f>
        <v/>
      </c>
      <c r="C28" s="59" t="str">
        <f aca="false">IF(名簿!$D28="","",名簿!$D28&amp;IF(名簿!$F28="転出","（転出）",""))</f>
        <v/>
      </c>
      <c r="D28" s="149"/>
      <c r="E28" s="61" t="str">
        <f aca="false">IF(OR($C28="",名簿!$F28="転出"),"",IF($C$2="学級ごと",$A28,IF($C$2="前の単元と同じ",単元18!$E28&amp;"",$D28&amp;"")))</f>
        <v/>
      </c>
      <c r="F28" s="150"/>
      <c r="G28" s="150"/>
      <c r="H28" s="150"/>
      <c r="I28" s="151"/>
      <c r="J28" s="41" t="str">
        <f aca="false">IF($E28="","",$E28&amp;"|"&amp;COUNTIF($E$5:$E28,$E28))</f>
        <v/>
      </c>
      <c r="K28" s="40" t="str">
        <f aca="false">IF($I28="","",LEN($I28))</f>
        <v/>
      </c>
      <c r="L28" s="13"/>
      <c r="M28" s="13"/>
      <c r="N28" s="13"/>
      <c r="O28" s="13"/>
      <c r="P28" s="152"/>
      <c r="Q28" s="149"/>
      <c r="R28" s="152"/>
      <c r="S28" s="152"/>
      <c r="T28" s="62" t="str">
        <f aca="false">IF(OR($C28="",R28=""),"",IF(R28/IF($R$2="",100,$R$2)&gt;=設定!$I$28,設定!$G$8,IF(R28/IF($R$2="",100,$R$2)&lt;設定!$I$29,設定!$G$10,設定!$G$9)))</f>
        <v/>
      </c>
      <c r="U28" s="62" t="str">
        <f aca="false">IF(OR($C28="",S28=""),"",IF(S28/IF($S$2="",100,$S$2)&gt;=設定!$I$28,設定!$G$8,IF(S28/IF($S$2="",100,$S$2)&lt;設定!$I$29,設定!$G$10,設定!$G$9)))</f>
        <v/>
      </c>
    </row>
    <row r="29" customFormat="false" ht="21" hidden="false" customHeight="true" outlineLevel="0" collapsed="false">
      <c r="A29" s="91" t="str">
        <f aca="false">IF(名簿!$D29="","",名簿!$B29&amp;"")</f>
        <v/>
      </c>
      <c r="B29" s="91" t="str">
        <f aca="false">IF(名簿!$D29="","",名簿!$C29)</f>
        <v/>
      </c>
      <c r="C29" s="59" t="str">
        <f aca="false">IF(名簿!$D29="","",名簿!$D29&amp;IF(名簿!$F29="転出","（転出）",""))</f>
        <v/>
      </c>
      <c r="D29" s="149"/>
      <c r="E29" s="61" t="str">
        <f aca="false">IF(OR($C29="",名簿!$F29="転出"),"",IF($C$2="学級ごと",$A29,IF($C$2="前の単元と同じ",単元18!$E29&amp;"",$D29&amp;"")))</f>
        <v/>
      </c>
      <c r="F29" s="150"/>
      <c r="G29" s="150"/>
      <c r="H29" s="150"/>
      <c r="I29" s="151"/>
      <c r="J29" s="41" t="str">
        <f aca="false">IF($E29="","",$E29&amp;"|"&amp;COUNTIF($E$5:$E29,$E29))</f>
        <v/>
      </c>
      <c r="K29" s="40" t="str">
        <f aca="false">IF($I29="","",LEN($I29))</f>
        <v/>
      </c>
      <c r="L29" s="13"/>
      <c r="M29" s="13"/>
      <c r="N29" s="13"/>
      <c r="O29" s="13"/>
      <c r="P29" s="152"/>
      <c r="Q29" s="149"/>
      <c r="R29" s="152"/>
      <c r="S29" s="152"/>
      <c r="T29" s="62" t="str">
        <f aca="false">IF(OR($C29="",R29=""),"",IF(R29/IF($R$2="",100,$R$2)&gt;=設定!$I$28,設定!$G$8,IF(R29/IF($R$2="",100,$R$2)&lt;設定!$I$29,設定!$G$10,設定!$G$9)))</f>
        <v/>
      </c>
      <c r="U29" s="62" t="str">
        <f aca="false">IF(OR($C29="",S29=""),"",IF(S29/IF($S$2="",100,$S$2)&gt;=設定!$I$28,設定!$G$8,IF(S29/IF($S$2="",100,$S$2)&lt;設定!$I$29,設定!$G$10,設定!$G$9)))</f>
        <v/>
      </c>
    </row>
    <row r="30" customFormat="false" ht="21" hidden="false" customHeight="true" outlineLevel="0" collapsed="false">
      <c r="A30" s="91" t="str">
        <f aca="false">IF(名簿!$D30="","",名簿!$B30&amp;"")</f>
        <v/>
      </c>
      <c r="B30" s="91" t="str">
        <f aca="false">IF(名簿!$D30="","",名簿!$C30)</f>
        <v/>
      </c>
      <c r="C30" s="59" t="str">
        <f aca="false">IF(名簿!$D30="","",名簿!$D30&amp;IF(名簿!$F30="転出","（転出）",""))</f>
        <v/>
      </c>
      <c r="D30" s="149"/>
      <c r="E30" s="61" t="str">
        <f aca="false">IF(OR($C30="",名簿!$F30="転出"),"",IF($C$2="学級ごと",$A30,IF($C$2="前の単元と同じ",単元18!$E30&amp;"",$D30&amp;"")))</f>
        <v/>
      </c>
      <c r="F30" s="150"/>
      <c r="G30" s="150"/>
      <c r="H30" s="150"/>
      <c r="I30" s="151"/>
      <c r="J30" s="41" t="str">
        <f aca="false">IF($E30="","",$E30&amp;"|"&amp;COUNTIF($E$5:$E30,$E30))</f>
        <v/>
      </c>
      <c r="K30" s="40" t="str">
        <f aca="false">IF($I30="","",LEN($I30))</f>
        <v/>
      </c>
      <c r="L30" s="13"/>
      <c r="M30" s="13"/>
      <c r="N30" s="13"/>
      <c r="O30" s="13"/>
      <c r="P30" s="152"/>
      <c r="Q30" s="149"/>
      <c r="R30" s="152"/>
      <c r="S30" s="152"/>
      <c r="T30" s="62" t="str">
        <f aca="false">IF(OR($C30="",R30=""),"",IF(R30/IF($R$2="",100,$R$2)&gt;=設定!$I$28,設定!$G$8,IF(R30/IF($R$2="",100,$R$2)&lt;設定!$I$29,設定!$G$10,設定!$G$9)))</f>
        <v/>
      </c>
      <c r="U30" s="62" t="str">
        <f aca="false">IF(OR($C30="",S30=""),"",IF(S30/IF($S$2="",100,$S$2)&gt;=設定!$I$28,設定!$G$8,IF(S30/IF($S$2="",100,$S$2)&lt;設定!$I$29,設定!$G$10,設定!$G$9)))</f>
        <v/>
      </c>
    </row>
    <row r="31" customFormat="false" ht="21" hidden="false" customHeight="true" outlineLevel="0" collapsed="false">
      <c r="A31" s="91" t="str">
        <f aca="false">IF(名簿!$D31="","",名簿!$B31&amp;"")</f>
        <v/>
      </c>
      <c r="B31" s="91" t="str">
        <f aca="false">IF(名簿!$D31="","",名簿!$C31)</f>
        <v/>
      </c>
      <c r="C31" s="59" t="str">
        <f aca="false">IF(名簿!$D31="","",名簿!$D31&amp;IF(名簿!$F31="転出","（転出）",""))</f>
        <v/>
      </c>
      <c r="D31" s="149"/>
      <c r="E31" s="61" t="str">
        <f aca="false">IF(OR($C31="",名簿!$F31="転出"),"",IF($C$2="学級ごと",$A31,IF($C$2="前の単元と同じ",単元18!$E31&amp;"",$D31&amp;"")))</f>
        <v/>
      </c>
      <c r="F31" s="150"/>
      <c r="G31" s="150"/>
      <c r="H31" s="150"/>
      <c r="I31" s="151"/>
      <c r="J31" s="41" t="str">
        <f aca="false">IF($E31="","",$E31&amp;"|"&amp;COUNTIF($E$5:$E31,$E31))</f>
        <v/>
      </c>
      <c r="K31" s="40" t="str">
        <f aca="false">IF($I31="","",LEN($I31))</f>
        <v/>
      </c>
      <c r="L31" s="13"/>
      <c r="M31" s="13"/>
      <c r="N31" s="13"/>
      <c r="O31" s="13"/>
      <c r="P31" s="152"/>
      <c r="Q31" s="149"/>
      <c r="R31" s="152"/>
      <c r="S31" s="152"/>
      <c r="T31" s="62" t="str">
        <f aca="false">IF(OR($C31="",R31=""),"",IF(R31/IF($R$2="",100,$R$2)&gt;=設定!$I$28,設定!$G$8,IF(R31/IF($R$2="",100,$R$2)&lt;設定!$I$29,設定!$G$10,設定!$G$9)))</f>
        <v/>
      </c>
      <c r="U31" s="62" t="str">
        <f aca="false">IF(OR($C31="",S31=""),"",IF(S31/IF($S$2="",100,$S$2)&gt;=設定!$I$28,設定!$G$8,IF(S31/IF($S$2="",100,$S$2)&lt;設定!$I$29,設定!$G$10,設定!$G$9)))</f>
        <v/>
      </c>
    </row>
    <row r="32" customFormat="false" ht="21" hidden="false" customHeight="true" outlineLevel="0" collapsed="false">
      <c r="A32" s="91" t="str">
        <f aca="false">IF(名簿!$D32="","",名簿!$B32&amp;"")</f>
        <v/>
      </c>
      <c r="B32" s="91" t="str">
        <f aca="false">IF(名簿!$D32="","",名簿!$C32)</f>
        <v/>
      </c>
      <c r="C32" s="59" t="str">
        <f aca="false">IF(名簿!$D32="","",名簿!$D32&amp;IF(名簿!$F32="転出","（転出）",""))</f>
        <v/>
      </c>
      <c r="D32" s="149"/>
      <c r="E32" s="61" t="str">
        <f aca="false">IF(OR($C32="",名簿!$F32="転出"),"",IF($C$2="学級ごと",$A32,IF($C$2="前の単元と同じ",単元18!$E32&amp;"",$D32&amp;"")))</f>
        <v/>
      </c>
      <c r="F32" s="150"/>
      <c r="G32" s="150"/>
      <c r="H32" s="150"/>
      <c r="I32" s="151"/>
      <c r="J32" s="41" t="str">
        <f aca="false">IF($E32="","",$E32&amp;"|"&amp;COUNTIF($E$5:$E32,$E32))</f>
        <v/>
      </c>
      <c r="K32" s="40" t="str">
        <f aca="false">IF($I32="","",LEN($I32))</f>
        <v/>
      </c>
      <c r="L32" s="13"/>
      <c r="M32" s="13"/>
      <c r="N32" s="13"/>
      <c r="O32" s="13"/>
      <c r="P32" s="152"/>
      <c r="Q32" s="149"/>
      <c r="R32" s="152"/>
      <c r="S32" s="152"/>
      <c r="T32" s="62" t="str">
        <f aca="false">IF(OR($C32="",R32=""),"",IF(R32/IF($R$2="",100,$R$2)&gt;=設定!$I$28,設定!$G$8,IF(R32/IF($R$2="",100,$R$2)&lt;設定!$I$29,設定!$G$10,設定!$G$9)))</f>
        <v/>
      </c>
      <c r="U32" s="62" t="str">
        <f aca="false">IF(OR($C32="",S32=""),"",IF(S32/IF($S$2="",100,$S$2)&gt;=設定!$I$28,設定!$G$8,IF(S32/IF($S$2="",100,$S$2)&lt;設定!$I$29,設定!$G$10,設定!$G$9)))</f>
        <v/>
      </c>
    </row>
    <row r="33" customFormat="false" ht="21" hidden="false" customHeight="true" outlineLevel="0" collapsed="false">
      <c r="A33" s="91" t="str">
        <f aca="false">IF(名簿!$D33="","",名簿!$B33&amp;"")</f>
        <v/>
      </c>
      <c r="B33" s="91" t="str">
        <f aca="false">IF(名簿!$D33="","",名簿!$C33)</f>
        <v/>
      </c>
      <c r="C33" s="59" t="str">
        <f aca="false">IF(名簿!$D33="","",名簿!$D33&amp;IF(名簿!$F33="転出","（転出）",""))</f>
        <v/>
      </c>
      <c r="D33" s="149"/>
      <c r="E33" s="61" t="str">
        <f aca="false">IF(OR($C33="",名簿!$F33="転出"),"",IF($C$2="学級ごと",$A33,IF($C$2="前の単元と同じ",単元18!$E33&amp;"",$D33&amp;"")))</f>
        <v/>
      </c>
      <c r="F33" s="150"/>
      <c r="G33" s="150"/>
      <c r="H33" s="150"/>
      <c r="I33" s="151"/>
      <c r="J33" s="41" t="str">
        <f aca="false">IF($E33="","",$E33&amp;"|"&amp;COUNTIF($E$5:$E33,$E33))</f>
        <v/>
      </c>
      <c r="K33" s="40" t="str">
        <f aca="false">IF($I33="","",LEN($I33))</f>
        <v/>
      </c>
      <c r="L33" s="13"/>
      <c r="M33" s="13"/>
      <c r="N33" s="13"/>
      <c r="O33" s="13"/>
      <c r="P33" s="152"/>
      <c r="Q33" s="149"/>
      <c r="R33" s="152"/>
      <c r="S33" s="152"/>
      <c r="T33" s="62" t="str">
        <f aca="false">IF(OR($C33="",R33=""),"",IF(R33/IF($R$2="",100,$R$2)&gt;=設定!$I$28,設定!$G$8,IF(R33/IF($R$2="",100,$R$2)&lt;設定!$I$29,設定!$G$10,設定!$G$9)))</f>
        <v/>
      </c>
      <c r="U33" s="62" t="str">
        <f aca="false">IF(OR($C33="",S33=""),"",IF(S33/IF($S$2="",100,$S$2)&gt;=設定!$I$28,設定!$G$8,IF(S33/IF($S$2="",100,$S$2)&lt;設定!$I$29,設定!$G$10,設定!$G$9)))</f>
        <v/>
      </c>
    </row>
    <row r="34" customFormat="false" ht="21" hidden="false" customHeight="true" outlineLevel="0" collapsed="false">
      <c r="A34" s="91" t="str">
        <f aca="false">IF(名簿!$D34="","",名簿!$B34&amp;"")</f>
        <v/>
      </c>
      <c r="B34" s="91" t="str">
        <f aca="false">IF(名簿!$D34="","",名簿!$C34)</f>
        <v/>
      </c>
      <c r="C34" s="59" t="str">
        <f aca="false">IF(名簿!$D34="","",名簿!$D34&amp;IF(名簿!$F34="転出","（転出）",""))</f>
        <v/>
      </c>
      <c r="D34" s="149"/>
      <c r="E34" s="61" t="str">
        <f aca="false">IF(OR($C34="",名簿!$F34="転出"),"",IF($C$2="学級ごと",$A34,IF($C$2="前の単元と同じ",単元18!$E34&amp;"",$D34&amp;"")))</f>
        <v/>
      </c>
      <c r="F34" s="150"/>
      <c r="G34" s="150"/>
      <c r="H34" s="150"/>
      <c r="I34" s="151"/>
      <c r="J34" s="41" t="str">
        <f aca="false">IF($E34="","",$E34&amp;"|"&amp;COUNTIF($E$5:$E34,$E34))</f>
        <v/>
      </c>
      <c r="K34" s="40" t="str">
        <f aca="false">IF($I34="","",LEN($I34))</f>
        <v/>
      </c>
      <c r="L34" s="13"/>
      <c r="M34" s="13"/>
      <c r="N34" s="13"/>
      <c r="O34" s="13"/>
      <c r="P34" s="152"/>
      <c r="Q34" s="149"/>
      <c r="R34" s="152"/>
      <c r="S34" s="152"/>
      <c r="T34" s="62" t="str">
        <f aca="false">IF(OR($C34="",R34=""),"",IF(R34/IF($R$2="",100,$R$2)&gt;=設定!$I$28,設定!$G$8,IF(R34/IF($R$2="",100,$R$2)&lt;設定!$I$29,設定!$G$10,設定!$G$9)))</f>
        <v/>
      </c>
      <c r="U34" s="62" t="str">
        <f aca="false">IF(OR($C34="",S34=""),"",IF(S34/IF($S$2="",100,$S$2)&gt;=設定!$I$28,設定!$G$8,IF(S34/IF($S$2="",100,$S$2)&lt;設定!$I$29,設定!$G$10,設定!$G$9)))</f>
        <v/>
      </c>
    </row>
    <row r="35" customFormat="false" ht="21" hidden="false" customHeight="true" outlineLevel="0" collapsed="false">
      <c r="A35" s="91" t="str">
        <f aca="false">IF(名簿!$D35="","",名簿!$B35&amp;"")</f>
        <v/>
      </c>
      <c r="B35" s="91" t="str">
        <f aca="false">IF(名簿!$D35="","",名簿!$C35)</f>
        <v/>
      </c>
      <c r="C35" s="59" t="str">
        <f aca="false">IF(名簿!$D35="","",名簿!$D35&amp;IF(名簿!$F35="転出","（転出）",""))</f>
        <v/>
      </c>
      <c r="D35" s="149"/>
      <c r="E35" s="61" t="str">
        <f aca="false">IF(OR($C35="",名簿!$F35="転出"),"",IF($C$2="学級ごと",$A35,IF($C$2="前の単元と同じ",単元18!$E35&amp;"",$D35&amp;"")))</f>
        <v/>
      </c>
      <c r="F35" s="150"/>
      <c r="G35" s="150"/>
      <c r="H35" s="150"/>
      <c r="I35" s="151"/>
      <c r="J35" s="41" t="str">
        <f aca="false">IF($E35="","",$E35&amp;"|"&amp;COUNTIF($E$5:$E35,$E35))</f>
        <v/>
      </c>
      <c r="K35" s="40" t="str">
        <f aca="false">IF($I35="","",LEN($I35))</f>
        <v/>
      </c>
      <c r="L35" s="13"/>
      <c r="M35" s="13"/>
      <c r="N35" s="13"/>
      <c r="O35" s="13"/>
      <c r="P35" s="152"/>
      <c r="Q35" s="149"/>
      <c r="R35" s="152"/>
      <c r="S35" s="152"/>
      <c r="T35" s="62" t="str">
        <f aca="false">IF(OR($C35="",R35=""),"",IF(R35/IF($R$2="",100,$R$2)&gt;=設定!$I$28,設定!$G$8,IF(R35/IF($R$2="",100,$R$2)&lt;設定!$I$29,設定!$G$10,設定!$G$9)))</f>
        <v/>
      </c>
      <c r="U35" s="62" t="str">
        <f aca="false">IF(OR($C35="",S35=""),"",IF(S35/IF($S$2="",100,$S$2)&gt;=設定!$I$28,設定!$G$8,IF(S35/IF($S$2="",100,$S$2)&lt;設定!$I$29,設定!$G$10,設定!$G$9)))</f>
        <v/>
      </c>
    </row>
    <row r="36" customFormat="false" ht="21" hidden="false" customHeight="true" outlineLevel="0" collapsed="false">
      <c r="A36" s="91" t="str">
        <f aca="false">IF(名簿!$D36="","",名簿!$B36&amp;"")</f>
        <v/>
      </c>
      <c r="B36" s="91" t="str">
        <f aca="false">IF(名簿!$D36="","",名簿!$C36)</f>
        <v/>
      </c>
      <c r="C36" s="59" t="str">
        <f aca="false">IF(名簿!$D36="","",名簿!$D36&amp;IF(名簿!$F36="転出","（転出）",""))</f>
        <v/>
      </c>
      <c r="D36" s="149"/>
      <c r="E36" s="61" t="str">
        <f aca="false">IF(OR($C36="",名簿!$F36="転出"),"",IF($C$2="学級ごと",$A36,IF($C$2="前の単元と同じ",単元18!$E36&amp;"",$D36&amp;"")))</f>
        <v/>
      </c>
      <c r="F36" s="150"/>
      <c r="G36" s="150"/>
      <c r="H36" s="150"/>
      <c r="I36" s="151"/>
      <c r="J36" s="41" t="str">
        <f aca="false">IF($E36="","",$E36&amp;"|"&amp;COUNTIF($E$5:$E36,$E36))</f>
        <v/>
      </c>
      <c r="K36" s="40" t="str">
        <f aca="false">IF($I36="","",LEN($I36))</f>
        <v/>
      </c>
      <c r="L36" s="13"/>
      <c r="M36" s="13"/>
      <c r="N36" s="13"/>
      <c r="O36" s="13"/>
      <c r="P36" s="152"/>
      <c r="Q36" s="149"/>
      <c r="R36" s="152"/>
      <c r="S36" s="152"/>
      <c r="T36" s="62" t="str">
        <f aca="false">IF(OR($C36="",R36=""),"",IF(R36/IF($R$2="",100,$R$2)&gt;=設定!$I$28,設定!$G$8,IF(R36/IF($R$2="",100,$R$2)&lt;設定!$I$29,設定!$G$10,設定!$G$9)))</f>
        <v/>
      </c>
      <c r="U36" s="62" t="str">
        <f aca="false">IF(OR($C36="",S36=""),"",IF(S36/IF($S$2="",100,$S$2)&gt;=設定!$I$28,設定!$G$8,IF(S36/IF($S$2="",100,$S$2)&lt;設定!$I$29,設定!$G$10,設定!$G$9)))</f>
        <v/>
      </c>
    </row>
    <row r="37" customFormat="false" ht="21" hidden="false" customHeight="true" outlineLevel="0" collapsed="false">
      <c r="A37" s="91" t="str">
        <f aca="false">IF(名簿!$D37="","",名簿!$B37&amp;"")</f>
        <v/>
      </c>
      <c r="B37" s="91" t="str">
        <f aca="false">IF(名簿!$D37="","",名簿!$C37)</f>
        <v/>
      </c>
      <c r="C37" s="59" t="str">
        <f aca="false">IF(名簿!$D37="","",名簿!$D37&amp;IF(名簿!$F37="転出","（転出）",""))</f>
        <v/>
      </c>
      <c r="D37" s="149"/>
      <c r="E37" s="61" t="str">
        <f aca="false">IF(OR($C37="",名簿!$F37="転出"),"",IF($C$2="学級ごと",$A37,IF($C$2="前の単元と同じ",単元18!$E37&amp;"",$D37&amp;"")))</f>
        <v/>
      </c>
      <c r="F37" s="150"/>
      <c r="G37" s="150"/>
      <c r="H37" s="150"/>
      <c r="I37" s="151"/>
      <c r="J37" s="41" t="str">
        <f aca="false">IF($E37="","",$E37&amp;"|"&amp;COUNTIF($E$5:$E37,$E37))</f>
        <v/>
      </c>
      <c r="K37" s="40" t="str">
        <f aca="false">IF($I37="","",LEN($I37))</f>
        <v/>
      </c>
      <c r="L37" s="13"/>
      <c r="M37" s="13"/>
      <c r="N37" s="13"/>
      <c r="O37" s="13"/>
      <c r="P37" s="152"/>
      <c r="Q37" s="149"/>
      <c r="R37" s="152"/>
      <c r="S37" s="152"/>
      <c r="T37" s="62" t="str">
        <f aca="false">IF(OR($C37="",R37=""),"",IF(R37/IF($R$2="",100,$R$2)&gt;=設定!$I$28,設定!$G$8,IF(R37/IF($R$2="",100,$R$2)&lt;設定!$I$29,設定!$G$10,設定!$G$9)))</f>
        <v/>
      </c>
      <c r="U37" s="62" t="str">
        <f aca="false">IF(OR($C37="",S37=""),"",IF(S37/IF($S$2="",100,$S$2)&gt;=設定!$I$28,設定!$G$8,IF(S37/IF($S$2="",100,$S$2)&lt;設定!$I$29,設定!$G$10,設定!$G$9)))</f>
        <v/>
      </c>
    </row>
    <row r="38" customFormat="false" ht="21" hidden="false" customHeight="true" outlineLevel="0" collapsed="false">
      <c r="A38" s="91" t="str">
        <f aca="false">IF(名簿!$D38="","",名簿!$B38&amp;"")</f>
        <v/>
      </c>
      <c r="B38" s="91" t="str">
        <f aca="false">IF(名簿!$D38="","",名簿!$C38)</f>
        <v/>
      </c>
      <c r="C38" s="59" t="str">
        <f aca="false">IF(名簿!$D38="","",名簿!$D38&amp;IF(名簿!$F38="転出","（転出）",""))</f>
        <v/>
      </c>
      <c r="D38" s="149"/>
      <c r="E38" s="61" t="str">
        <f aca="false">IF(OR($C38="",名簿!$F38="転出"),"",IF($C$2="学級ごと",$A38,IF($C$2="前の単元と同じ",単元18!$E38&amp;"",$D38&amp;"")))</f>
        <v/>
      </c>
      <c r="F38" s="150"/>
      <c r="G38" s="150"/>
      <c r="H38" s="150"/>
      <c r="I38" s="151"/>
      <c r="J38" s="41" t="str">
        <f aca="false">IF($E38="","",$E38&amp;"|"&amp;COUNTIF($E$5:$E38,$E38))</f>
        <v/>
      </c>
      <c r="K38" s="40" t="str">
        <f aca="false">IF($I38="","",LEN($I38))</f>
        <v/>
      </c>
      <c r="L38" s="13"/>
      <c r="M38" s="13"/>
      <c r="N38" s="13"/>
      <c r="O38" s="13"/>
      <c r="P38" s="152"/>
      <c r="Q38" s="149"/>
      <c r="R38" s="152"/>
      <c r="S38" s="152"/>
      <c r="T38" s="62" t="str">
        <f aca="false">IF(OR($C38="",R38=""),"",IF(R38/IF($R$2="",100,$R$2)&gt;=設定!$I$28,設定!$G$8,IF(R38/IF($R$2="",100,$R$2)&lt;設定!$I$29,設定!$G$10,設定!$G$9)))</f>
        <v/>
      </c>
      <c r="U38" s="62" t="str">
        <f aca="false">IF(OR($C38="",S38=""),"",IF(S38/IF($S$2="",100,$S$2)&gt;=設定!$I$28,設定!$G$8,IF(S38/IF($S$2="",100,$S$2)&lt;設定!$I$29,設定!$G$10,設定!$G$9)))</f>
        <v/>
      </c>
    </row>
    <row r="39" customFormat="false" ht="21" hidden="false" customHeight="true" outlineLevel="0" collapsed="false">
      <c r="A39" s="91" t="str">
        <f aca="false">IF(名簿!$D39="","",名簿!$B39&amp;"")</f>
        <v/>
      </c>
      <c r="B39" s="91" t="str">
        <f aca="false">IF(名簿!$D39="","",名簿!$C39)</f>
        <v/>
      </c>
      <c r="C39" s="59" t="str">
        <f aca="false">IF(名簿!$D39="","",名簿!$D39&amp;IF(名簿!$F39="転出","（転出）",""))</f>
        <v/>
      </c>
      <c r="D39" s="149"/>
      <c r="E39" s="61" t="str">
        <f aca="false">IF(OR($C39="",名簿!$F39="転出"),"",IF($C$2="学級ごと",$A39,IF($C$2="前の単元と同じ",単元18!$E39&amp;"",$D39&amp;"")))</f>
        <v/>
      </c>
      <c r="F39" s="150"/>
      <c r="G39" s="150"/>
      <c r="H39" s="150"/>
      <c r="I39" s="151"/>
      <c r="J39" s="41" t="str">
        <f aca="false">IF($E39="","",$E39&amp;"|"&amp;COUNTIF($E$5:$E39,$E39))</f>
        <v/>
      </c>
      <c r="K39" s="40" t="str">
        <f aca="false">IF($I39="","",LEN($I39))</f>
        <v/>
      </c>
      <c r="L39" s="13"/>
      <c r="M39" s="13"/>
      <c r="N39" s="13"/>
      <c r="O39" s="13"/>
      <c r="P39" s="152"/>
      <c r="Q39" s="149"/>
      <c r="R39" s="152"/>
      <c r="S39" s="152"/>
      <c r="T39" s="62" t="str">
        <f aca="false">IF(OR($C39="",R39=""),"",IF(R39/IF($R$2="",100,$R$2)&gt;=設定!$I$28,設定!$G$8,IF(R39/IF($R$2="",100,$R$2)&lt;設定!$I$29,設定!$G$10,設定!$G$9)))</f>
        <v/>
      </c>
      <c r="U39" s="62" t="str">
        <f aca="false">IF(OR($C39="",S39=""),"",IF(S39/IF($S$2="",100,$S$2)&gt;=設定!$I$28,設定!$G$8,IF(S39/IF($S$2="",100,$S$2)&lt;設定!$I$29,設定!$G$10,設定!$G$9)))</f>
        <v/>
      </c>
    </row>
    <row r="40" customFormat="false" ht="21" hidden="false" customHeight="true" outlineLevel="0" collapsed="false">
      <c r="A40" s="91" t="str">
        <f aca="false">IF(名簿!$D40="","",名簿!$B40&amp;"")</f>
        <v/>
      </c>
      <c r="B40" s="91" t="str">
        <f aca="false">IF(名簿!$D40="","",名簿!$C40)</f>
        <v/>
      </c>
      <c r="C40" s="59" t="str">
        <f aca="false">IF(名簿!$D40="","",名簿!$D40&amp;IF(名簿!$F40="転出","（転出）",""))</f>
        <v/>
      </c>
      <c r="D40" s="149"/>
      <c r="E40" s="61" t="str">
        <f aca="false">IF(OR($C40="",名簿!$F40="転出"),"",IF($C$2="学級ごと",$A40,IF($C$2="前の単元と同じ",単元18!$E40&amp;"",$D40&amp;"")))</f>
        <v/>
      </c>
      <c r="F40" s="150"/>
      <c r="G40" s="150"/>
      <c r="H40" s="150"/>
      <c r="I40" s="151"/>
      <c r="J40" s="41" t="str">
        <f aca="false">IF($E40="","",$E40&amp;"|"&amp;COUNTIF($E$5:$E40,$E40))</f>
        <v/>
      </c>
      <c r="K40" s="40" t="str">
        <f aca="false">IF($I40="","",LEN($I40))</f>
        <v/>
      </c>
      <c r="L40" s="13"/>
      <c r="M40" s="13"/>
      <c r="N40" s="13"/>
      <c r="O40" s="13"/>
      <c r="P40" s="152"/>
      <c r="Q40" s="149"/>
      <c r="R40" s="152"/>
      <c r="S40" s="152"/>
      <c r="T40" s="62" t="str">
        <f aca="false">IF(OR($C40="",R40=""),"",IF(R40/IF($R$2="",100,$R$2)&gt;=設定!$I$28,設定!$G$8,IF(R40/IF($R$2="",100,$R$2)&lt;設定!$I$29,設定!$G$10,設定!$G$9)))</f>
        <v/>
      </c>
      <c r="U40" s="62" t="str">
        <f aca="false">IF(OR($C40="",S40=""),"",IF(S40/IF($S$2="",100,$S$2)&gt;=設定!$I$28,設定!$G$8,IF(S40/IF($S$2="",100,$S$2)&lt;設定!$I$29,設定!$G$10,設定!$G$9)))</f>
        <v/>
      </c>
    </row>
    <row r="41" customFormat="false" ht="21" hidden="false" customHeight="true" outlineLevel="0" collapsed="false">
      <c r="A41" s="91" t="str">
        <f aca="false">IF(名簿!$D41="","",名簿!$B41&amp;"")</f>
        <v/>
      </c>
      <c r="B41" s="91" t="str">
        <f aca="false">IF(名簿!$D41="","",名簿!$C41)</f>
        <v/>
      </c>
      <c r="C41" s="59" t="str">
        <f aca="false">IF(名簿!$D41="","",名簿!$D41&amp;IF(名簿!$F41="転出","（転出）",""))</f>
        <v/>
      </c>
      <c r="D41" s="149"/>
      <c r="E41" s="61" t="str">
        <f aca="false">IF(OR($C41="",名簿!$F41="転出"),"",IF($C$2="学級ごと",$A41,IF($C$2="前の単元と同じ",単元18!$E41&amp;"",$D41&amp;"")))</f>
        <v/>
      </c>
      <c r="F41" s="150"/>
      <c r="G41" s="150"/>
      <c r="H41" s="150"/>
      <c r="I41" s="151"/>
      <c r="J41" s="41" t="str">
        <f aca="false">IF($E41="","",$E41&amp;"|"&amp;COUNTIF($E$5:$E41,$E41))</f>
        <v/>
      </c>
      <c r="K41" s="40" t="str">
        <f aca="false">IF($I41="","",LEN($I41))</f>
        <v/>
      </c>
      <c r="L41" s="13"/>
      <c r="M41" s="13"/>
      <c r="N41" s="13"/>
      <c r="O41" s="13"/>
      <c r="P41" s="152"/>
      <c r="Q41" s="149"/>
      <c r="R41" s="152"/>
      <c r="S41" s="152"/>
      <c r="T41" s="62" t="str">
        <f aca="false">IF(OR($C41="",R41=""),"",IF(R41/IF($R$2="",100,$R$2)&gt;=設定!$I$28,設定!$G$8,IF(R41/IF($R$2="",100,$R$2)&lt;設定!$I$29,設定!$G$10,設定!$G$9)))</f>
        <v/>
      </c>
      <c r="U41" s="62" t="str">
        <f aca="false">IF(OR($C41="",S41=""),"",IF(S41/IF($S$2="",100,$S$2)&gt;=設定!$I$28,設定!$G$8,IF(S41/IF($S$2="",100,$S$2)&lt;設定!$I$29,設定!$G$10,設定!$G$9)))</f>
        <v/>
      </c>
    </row>
    <row r="42" customFormat="false" ht="21" hidden="false" customHeight="true" outlineLevel="0" collapsed="false">
      <c r="A42" s="91" t="str">
        <f aca="false">IF(名簿!$D42="","",名簿!$B42&amp;"")</f>
        <v/>
      </c>
      <c r="B42" s="91" t="str">
        <f aca="false">IF(名簿!$D42="","",名簿!$C42)</f>
        <v/>
      </c>
      <c r="C42" s="59" t="str">
        <f aca="false">IF(名簿!$D42="","",名簿!$D42&amp;IF(名簿!$F42="転出","（転出）",""))</f>
        <v/>
      </c>
      <c r="D42" s="149"/>
      <c r="E42" s="61" t="str">
        <f aca="false">IF(OR($C42="",名簿!$F42="転出"),"",IF($C$2="学級ごと",$A42,IF($C$2="前の単元と同じ",単元18!$E42&amp;"",$D42&amp;"")))</f>
        <v/>
      </c>
      <c r="F42" s="150"/>
      <c r="G42" s="150"/>
      <c r="H42" s="150"/>
      <c r="I42" s="151"/>
      <c r="J42" s="41" t="str">
        <f aca="false">IF($E42="","",$E42&amp;"|"&amp;COUNTIF($E$5:$E42,$E42))</f>
        <v/>
      </c>
      <c r="K42" s="40" t="str">
        <f aca="false">IF($I42="","",LEN($I42))</f>
        <v/>
      </c>
      <c r="L42" s="13"/>
      <c r="M42" s="13"/>
      <c r="N42" s="13"/>
      <c r="O42" s="13"/>
      <c r="P42" s="152"/>
      <c r="Q42" s="149"/>
      <c r="R42" s="152"/>
      <c r="S42" s="152"/>
      <c r="T42" s="62" t="str">
        <f aca="false">IF(OR($C42="",R42=""),"",IF(R42/IF($R$2="",100,$R$2)&gt;=設定!$I$28,設定!$G$8,IF(R42/IF($R$2="",100,$R$2)&lt;設定!$I$29,設定!$G$10,設定!$G$9)))</f>
        <v/>
      </c>
      <c r="U42" s="62" t="str">
        <f aca="false">IF(OR($C42="",S42=""),"",IF(S42/IF($S$2="",100,$S$2)&gt;=設定!$I$28,設定!$G$8,IF(S42/IF($S$2="",100,$S$2)&lt;設定!$I$29,設定!$G$10,設定!$G$9)))</f>
        <v/>
      </c>
    </row>
    <row r="43" customFormat="false" ht="21" hidden="false" customHeight="true" outlineLevel="0" collapsed="false">
      <c r="A43" s="91" t="str">
        <f aca="false">IF(名簿!$D43="","",名簿!$B43&amp;"")</f>
        <v/>
      </c>
      <c r="B43" s="91" t="str">
        <f aca="false">IF(名簿!$D43="","",名簿!$C43)</f>
        <v/>
      </c>
      <c r="C43" s="59" t="str">
        <f aca="false">IF(名簿!$D43="","",名簿!$D43&amp;IF(名簿!$F43="転出","（転出）",""))</f>
        <v/>
      </c>
      <c r="D43" s="149"/>
      <c r="E43" s="61" t="str">
        <f aca="false">IF(OR($C43="",名簿!$F43="転出"),"",IF($C$2="学級ごと",$A43,IF($C$2="前の単元と同じ",単元18!$E43&amp;"",$D43&amp;"")))</f>
        <v/>
      </c>
      <c r="F43" s="150"/>
      <c r="G43" s="150"/>
      <c r="H43" s="150"/>
      <c r="I43" s="151"/>
      <c r="J43" s="41" t="str">
        <f aca="false">IF($E43="","",$E43&amp;"|"&amp;COUNTIF($E$5:$E43,$E43))</f>
        <v/>
      </c>
      <c r="K43" s="40" t="str">
        <f aca="false">IF($I43="","",LEN($I43))</f>
        <v/>
      </c>
      <c r="L43" s="13"/>
      <c r="M43" s="13"/>
      <c r="N43" s="13"/>
      <c r="O43" s="13"/>
      <c r="P43" s="152"/>
      <c r="Q43" s="149"/>
      <c r="R43" s="152"/>
      <c r="S43" s="152"/>
      <c r="T43" s="62" t="str">
        <f aca="false">IF(OR($C43="",R43=""),"",IF(R43/IF($R$2="",100,$R$2)&gt;=設定!$I$28,設定!$G$8,IF(R43/IF($R$2="",100,$R$2)&lt;設定!$I$29,設定!$G$10,設定!$G$9)))</f>
        <v/>
      </c>
      <c r="U43" s="62" t="str">
        <f aca="false">IF(OR($C43="",S43=""),"",IF(S43/IF($S$2="",100,$S$2)&gt;=設定!$I$28,設定!$G$8,IF(S43/IF($S$2="",100,$S$2)&lt;設定!$I$29,設定!$G$10,設定!$G$9)))</f>
        <v/>
      </c>
    </row>
    <row r="44" customFormat="false" ht="21" hidden="false" customHeight="true" outlineLevel="0" collapsed="false">
      <c r="A44" s="91" t="str">
        <f aca="false">IF(名簿!$D44="","",名簿!$B44&amp;"")</f>
        <v/>
      </c>
      <c r="B44" s="91" t="str">
        <f aca="false">IF(名簿!$D44="","",名簿!$C44)</f>
        <v/>
      </c>
      <c r="C44" s="59" t="str">
        <f aca="false">IF(名簿!$D44="","",名簿!$D44&amp;IF(名簿!$F44="転出","（転出）",""))</f>
        <v/>
      </c>
      <c r="D44" s="149"/>
      <c r="E44" s="61" t="str">
        <f aca="false">IF(OR($C44="",名簿!$F44="転出"),"",IF($C$2="学級ごと",$A44,IF($C$2="前の単元と同じ",単元18!$E44&amp;"",$D44&amp;"")))</f>
        <v/>
      </c>
      <c r="F44" s="150"/>
      <c r="G44" s="150"/>
      <c r="H44" s="150"/>
      <c r="I44" s="151"/>
      <c r="J44" s="41" t="str">
        <f aca="false">IF($E44="","",$E44&amp;"|"&amp;COUNTIF($E$5:$E44,$E44))</f>
        <v/>
      </c>
      <c r="K44" s="40" t="str">
        <f aca="false">IF($I44="","",LEN($I44))</f>
        <v/>
      </c>
      <c r="L44" s="13"/>
      <c r="M44" s="13"/>
      <c r="N44" s="13"/>
      <c r="O44" s="13"/>
      <c r="P44" s="152"/>
      <c r="Q44" s="149"/>
      <c r="R44" s="152"/>
      <c r="S44" s="152"/>
      <c r="T44" s="62" t="str">
        <f aca="false">IF(OR($C44="",R44=""),"",IF(R44/IF($R$2="",100,$R$2)&gt;=設定!$I$28,設定!$G$8,IF(R44/IF($R$2="",100,$R$2)&lt;設定!$I$29,設定!$G$10,設定!$G$9)))</f>
        <v/>
      </c>
      <c r="U44" s="62" t="str">
        <f aca="false">IF(OR($C44="",S44=""),"",IF(S44/IF($S$2="",100,$S$2)&gt;=設定!$I$28,設定!$G$8,IF(S44/IF($S$2="",100,$S$2)&lt;設定!$I$29,設定!$G$10,設定!$G$9)))</f>
        <v/>
      </c>
    </row>
    <row r="45" customFormat="false" ht="21" hidden="false" customHeight="true" outlineLevel="0" collapsed="false">
      <c r="A45" s="91" t="str">
        <f aca="false">IF(名簿!$D45="","",名簿!$B45&amp;"")</f>
        <v/>
      </c>
      <c r="B45" s="91" t="str">
        <f aca="false">IF(名簿!$D45="","",名簿!$C45)</f>
        <v/>
      </c>
      <c r="C45" s="59" t="str">
        <f aca="false">IF(名簿!$D45="","",名簿!$D45&amp;IF(名簿!$F45="転出","（転出）",""))</f>
        <v/>
      </c>
      <c r="D45" s="149"/>
      <c r="E45" s="61" t="str">
        <f aca="false">IF(OR($C45="",名簿!$F45="転出"),"",IF($C$2="学級ごと",$A45,IF($C$2="前の単元と同じ",単元18!$E45&amp;"",$D45&amp;"")))</f>
        <v/>
      </c>
      <c r="F45" s="150"/>
      <c r="G45" s="150"/>
      <c r="H45" s="150"/>
      <c r="I45" s="151"/>
      <c r="J45" s="41" t="str">
        <f aca="false">IF($E45="","",$E45&amp;"|"&amp;COUNTIF($E$5:$E45,$E45))</f>
        <v/>
      </c>
      <c r="K45" s="40" t="str">
        <f aca="false">IF($I45="","",LEN($I45))</f>
        <v/>
      </c>
      <c r="L45" s="13"/>
      <c r="M45" s="13"/>
      <c r="N45" s="13"/>
      <c r="O45" s="13"/>
      <c r="P45" s="152"/>
      <c r="Q45" s="149"/>
      <c r="R45" s="152"/>
      <c r="S45" s="152"/>
      <c r="T45" s="62" t="str">
        <f aca="false">IF(OR($C45="",R45=""),"",IF(R45/IF($R$2="",100,$R$2)&gt;=設定!$I$28,設定!$G$8,IF(R45/IF($R$2="",100,$R$2)&lt;設定!$I$29,設定!$G$10,設定!$G$9)))</f>
        <v/>
      </c>
      <c r="U45" s="62" t="str">
        <f aca="false">IF(OR($C45="",S45=""),"",IF(S45/IF($S$2="",100,$S$2)&gt;=設定!$I$28,設定!$G$8,IF(S45/IF($S$2="",100,$S$2)&lt;設定!$I$29,設定!$G$10,設定!$G$9)))</f>
        <v/>
      </c>
    </row>
    <row r="46" customFormat="false" ht="21" hidden="false" customHeight="true" outlineLevel="0" collapsed="false">
      <c r="A46" s="91" t="str">
        <f aca="false">IF(名簿!$D46="","",名簿!$B46&amp;"")</f>
        <v/>
      </c>
      <c r="B46" s="91" t="str">
        <f aca="false">IF(名簿!$D46="","",名簿!$C46)</f>
        <v/>
      </c>
      <c r="C46" s="59" t="str">
        <f aca="false">IF(名簿!$D46="","",名簿!$D46&amp;IF(名簿!$F46="転出","（転出）",""))</f>
        <v/>
      </c>
      <c r="D46" s="149"/>
      <c r="E46" s="61" t="str">
        <f aca="false">IF(OR($C46="",名簿!$F46="転出"),"",IF($C$2="学級ごと",$A46,IF($C$2="前の単元と同じ",単元18!$E46&amp;"",$D46&amp;"")))</f>
        <v/>
      </c>
      <c r="F46" s="150"/>
      <c r="G46" s="150"/>
      <c r="H46" s="150"/>
      <c r="I46" s="151"/>
      <c r="J46" s="41" t="str">
        <f aca="false">IF($E46="","",$E46&amp;"|"&amp;COUNTIF($E$5:$E46,$E46))</f>
        <v/>
      </c>
      <c r="K46" s="40" t="str">
        <f aca="false">IF($I46="","",LEN($I46))</f>
        <v/>
      </c>
      <c r="L46" s="13"/>
      <c r="M46" s="13"/>
      <c r="N46" s="13"/>
      <c r="O46" s="13"/>
      <c r="P46" s="152"/>
      <c r="Q46" s="149"/>
      <c r="R46" s="152"/>
      <c r="S46" s="152"/>
      <c r="T46" s="62" t="str">
        <f aca="false">IF(OR($C46="",R46=""),"",IF(R46/IF($R$2="",100,$R$2)&gt;=設定!$I$28,設定!$G$8,IF(R46/IF($R$2="",100,$R$2)&lt;設定!$I$29,設定!$G$10,設定!$G$9)))</f>
        <v/>
      </c>
      <c r="U46" s="62" t="str">
        <f aca="false">IF(OR($C46="",S46=""),"",IF(S46/IF($S$2="",100,$S$2)&gt;=設定!$I$28,設定!$G$8,IF(S46/IF($S$2="",100,$S$2)&lt;設定!$I$29,設定!$G$10,設定!$G$9)))</f>
        <v/>
      </c>
    </row>
    <row r="47" customFormat="false" ht="21" hidden="false" customHeight="true" outlineLevel="0" collapsed="false">
      <c r="A47" s="91" t="str">
        <f aca="false">IF(名簿!$D47="","",名簿!$B47&amp;"")</f>
        <v/>
      </c>
      <c r="B47" s="91" t="str">
        <f aca="false">IF(名簿!$D47="","",名簿!$C47)</f>
        <v/>
      </c>
      <c r="C47" s="59" t="str">
        <f aca="false">IF(名簿!$D47="","",名簿!$D47&amp;IF(名簿!$F47="転出","（転出）",""))</f>
        <v/>
      </c>
      <c r="D47" s="149"/>
      <c r="E47" s="61" t="str">
        <f aca="false">IF(OR($C47="",名簿!$F47="転出"),"",IF($C$2="学級ごと",$A47,IF($C$2="前の単元と同じ",単元18!$E47&amp;"",$D47&amp;"")))</f>
        <v/>
      </c>
      <c r="F47" s="150"/>
      <c r="G47" s="150"/>
      <c r="H47" s="150"/>
      <c r="I47" s="151"/>
      <c r="J47" s="41" t="str">
        <f aca="false">IF($E47="","",$E47&amp;"|"&amp;COUNTIF($E$5:$E47,$E47))</f>
        <v/>
      </c>
      <c r="K47" s="40" t="str">
        <f aca="false">IF($I47="","",LEN($I47))</f>
        <v/>
      </c>
      <c r="L47" s="13"/>
      <c r="M47" s="13"/>
      <c r="N47" s="13"/>
      <c r="O47" s="13"/>
      <c r="P47" s="152"/>
      <c r="Q47" s="149"/>
      <c r="R47" s="152"/>
      <c r="S47" s="152"/>
      <c r="T47" s="62" t="str">
        <f aca="false">IF(OR($C47="",R47=""),"",IF(R47/IF($R$2="",100,$R$2)&gt;=設定!$I$28,設定!$G$8,IF(R47/IF($R$2="",100,$R$2)&lt;設定!$I$29,設定!$G$10,設定!$G$9)))</f>
        <v/>
      </c>
      <c r="U47" s="62" t="str">
        <f aca="false">IF(OR($C47="",S47=""),"",IF(S47/IF($S$2="",100,$S$2)&gt;=設定!$I$28,設定!$G$8,IF(S47/IF($S$2="",100,$S$2)&lt;設定!$I$29,設定!$G$10,設定!$G$9)))</f>
        <v/>
      </c>
    </row>
    <row r="48" customFormat="false" ht="21" hidden="false" customHeight="true" outlineLevel="0" collapsed="false">
      <c r="A48" s="91" t="str">
        <f aca="false">IF(名簿!$D48="","",名簿!$B48&amp;"")</f>
        <v/>
      </c>
      <c r="B48" s="91" t="str">
        <f aca="false">IF(名簿!$D48="","",名簿!$C48)</f>
        <v/>
      </c>
      <c r="C48" s="59" t="str">
        <f aca="false">IF(名簿!$D48="","",名簿!$D48&amp;IF(名簿!$F48="転出","（転出）",""))</f>
        <v/>
      </c>
      <c r="D48" s="149"/>
      <c r="E48" s="61" t="str">
        <f aca="false">IF(OR($C48="",名簿!$F48="転出"),"",IF($C$2="学級ごと",$A48,IF($C$2="前の単元と同じ",単元18!$E48&amp;"",$D48&amp;"")))</f>
        <v/>
      </c>
      <c r="F48" s="150"/>
      <c r="G48" s="150"/>
      <c r="H48" s="150"/>
      <c r="I48" s="151"/>
      <c r="J48" s="41" t="str">
        <f aca="false">IF($E48="","",$E48&amp;"|"&amp;COUNTIF($E$5:$E48,$E48))</f>
        <v/>
      </c>
      <c r="K48" s="40" t="str">
        <f aca="false">IF($I48="","",LEN($I48))</f>
        <v/>
      </c>
      <c r="L48" s="13"/>
      <c r="M48" s="13"/>
      <c r="N48" s="13"/>
      <c r="O48" s="13"/>
      <c r="P48" s="152"/>
      <c r="Q48" s="149"/>
      <c r="R48" s="152"/>
      <c r="S48" s="152"/>
      <c r="T48" s="62" t="str">
        <f aca="false">IF(OR($C48="",R48=""),"",IF(R48/IF($R$2="",100,$R$2)&gt;=設定!$I$28,設定!$G$8,IF(R48/IF($R$2="",100,$R$2)&lt;設定!$I$29,設定!$G$10,設定!$G$9)))</f>
        <v/>
      </c>
      <c r="U48" s="62" t="str">
        <f aca="false">IF(OR($C48="",S48=""),"",IF(S48/IF($S$2="",100,$S$2)&gt;=設定!$I$28,設定!$G$8,IF(S48/IF($S$2="",100,$S$2)&lt;設定!$I$29,設定!$G$10,設定!$G$9)))</f>
        <v/>
      </c>
    </row>
    <row r="49" customFormat="false" ht="21" hidden="false" customHeight="true" outlineLevel="0" collapsed="false">
      <c r="A49" s="91" t="str">
        <f aca="false">IF(名簿!$D49="","",名簿!$B49&amp;"")</f>
        <v/>
      </c>
      <c r="B49" s="91" t="str">
        <f aca="false">IF(名簿!$D49="","",名簿!$C49)</f>
        <v/>
      </c>
      <c r="C49" s="59" t="str">
        <f aca="false">IF(名簿!$D49="","",名簿!$D49&amp;IF(名簿!$F49="転出","（転出）",""))</f>
        <v/>
      </c>
      <c r="D49" s="149"/>
      <c r="E49" s="61" t="str">
        <f aca="false">IF(OR($C49="",名簿!$F49="転出"),"",IF($C$2="学級ごと",$A49,IF($C$2="前の単元と同じ",単元18!$E49&amp;"",$D49&amp;"")))</f>
        <v/>
      </c>
      <c r="F49" s="150"/>
      <c r="G49" s="150"/>
      <c r="H49" s="150"/>
      <c r="I49" s="151"/>
      <c r="J49" s="41" t="str">
        <f aca="false">IF($E49="","",$E49&amp;"|"&amp;COUNTIF($E$5:$E49,$E49))</f>
        <v/>
      </c>
      <c r="K49" s="40" t="str">
        <f aca="false">IF($I49="","",LEN($I49))</f>
        <v/>
      </c>
      <c r="L49" s="13"/>
      <c r="M49" s="13"/>
      <c r="N49" s="13"/>
      <c r="O49" s="13"/>
      <c r="P49" s="152"/>
      <c r="Q49" s="149"/>
      <c r="R49" s="152"/>
      <c r="S49" s="152"/>
      <c r="T49" s="62" t="str">
        <f aca="false">IF(OR($C49="",R49=""),"",IF(R49/IF($R$2="",100,$R$2)&gt;=設定!$I$28,設定!$G$8,IF(R49/IF($R$2="",100,$R$2)&lt;設定!$I$29,設定!$G$10,設定!$G$9)))</f>
        <v/>
      </c>
      <c r="U49" s="62" t="str">
        <f aca="false">IF(OR($C49="",S49=""),"",IF(S49/IF($S$2="",100,$S$2)&gt;=設定!$I$28,設定!$G$8,IF(S49/IF($S$2="",100,$S$2)&lt;設定!$I$29,設定!$G$10,設定!$G$9)))</f>
        <v/>
      </c>
    </row>
    <row r="50" customFormat="false" ht="21" hidden="false" customHeight="true" outlineLevel="0" collapsed="false">
      <c r="A50" s="91" t="str">
        <f aca="false">IF(名簿!$D50="","",名簿!$B50&amp;"")</f>
        <v/>
      </c>
      <c r="B50" s="91" t="str">
        <f aca="false">IF(名簿!$D50="","",名簿!$C50)</f>
        <v/>
      </c>
      <c r="C50" s="59" t="str">
        <f aca="false">IF(名簿!$D50="","",名簿!$D50&amp;IF(名簿!$F50="転出","（転出）",""))</f>
        <v/>
      </c>
      <c r="D50" s="149"/>
      <c r="E50" s="61" t="str">
        <f aca="false">IF(OR($C50="",名簿!$F50="転出"),"",IF($C$2="学級ごと",$A50,IF($C$2="前の単元と同じ",単元18!$E50&amp;"",$D50&amp;"")))</f>
        <v/>
      </c>
      <c r="F50" s="150"/>
      <c r="G50" s="150"/>
      <c r="H50" s="150"/>
      <c r="I50" s="151"/>
      <c r="J50" s="41" t="str">
        <f aca="false">IF($E50="","",$E50&amp;"|"&amp;COUNTIF($E$5:$E50,$E50))</f>
        <v/>
      </c>
      <c r="K50" s="40" t="str">
        <f aca="false">IF($I50="","",LEN($I50))</f>
        <v/>
      </c>
      <c r="L50" s="13"/>
      <c r="M50" s="13"/>
      <c r="N50" s="13"/>
      <c r="O50" s="13"/>
      <c r="P50" s="152"/>
      <c r="Q50" s="149"/>
      <c r="R50" s="152"/>
      <c r="S50" s="152"/>
      <c r="T50" s="62" t="str">
        <f aca="false">IF(OR($C50="",R50=""),"",IF(R50/IF($R$2="",100,$R$2)&gt;=設定!$I$28,設定!$G$8,IF(R50/IF($R$2="",100,$R$2)&lt;設定!$I$29,設定!$G$10,設定!$G$9)))</f>
        <v/>
      </c>
      <c r="U50" s="62" t="str">
        <f aca="false">IF(OR($C50="",S50=""),"",IF(S50/IF($S$2="",100,$S$2)&gt;=設定!$I$28,設定!$G$8,IF(S50/IF($S$2="",100,$S$2)&lt;設定!$I$29,設定!$G$10,設定!$G$9)))</f>
        <v/>
      </c>
    </row>
    <row r="51" customFormat="false" ht="21" hidden="false" customHeight="true" outlineLevel="0" collapsed="false">
      <c r="A51" s="91" t="str">
        <f aca="false">IF(名簿!$D51="","",名簿!$B51&amp;"")</f>
        <v/>
      </c>
      <c r="B51" s="91" t="str">
        <f aca="false">IF(名簿!$D51="","",名簿!$C51)</f>
        <v/>
      </c>
      <c r="C51" s="59" t="str">
        <f aca="false">IF(名簿!$D51="","",名簿!$D51&amp;IF(名簿!$F51="転出","（転出）",""))</f>
        <v/>
      </c>
      <c r="D51" s="149"/>
      <c r="E51" s="61" t="str">
        <f aca="false">IF(OR($C51="",名簿!$F51="転出"),"",IF($C$2="学級ごと",$A51,IF($C$2="前の単元と同じ",単元18!$E51&amp;"",$D51&amp;"")))</f>
        <v/>
      </c>
      <c r="F51" s="150"/>
      <c r="G51" s="150"/>
      <c r="H51" s="150"/>
      <c r="I51" s="151"/>
      <c r="J51" s="41" t="str">
        <f aca="false">IF($E51="","",$E51&amp;"|"&amp;COUNTIF($E$5:$E51,$E51))</f>
        <v/>
      </c>
      <c r="K51" s="40" t="str">
        <f aca="false">IF($I51="","",LEN($I51))</f>
        <v/>
      </c>
      <c r="L51" s="13"/>
      <c r="M51" s="13"/>
      <c r="N51" s="13"/>
      <c r="O51" s="13"/>
      <c r="P51" s="152"/>
      <c r="Q51" s="149"/>
      <c r="R51" s="152"/>
      <c r="S51" s="152"/>
      <c r="T51" s="62" t="str">
        <f aca="false">IF(OR($C51="",R51=""),"",IF(R51/IF($R$2="",100,$R$2)&gt;=設定!$I$28,設定!$G$8,IF(R51/IF($R$2="",100,$R$2)&lt;設定!$I$29,設定!$G$10,設定!$G$9)))</f>
        <v/>
      </c>
      <c r="U51" s="62" t="str">
        <f aca="false">IF(OR($C51="",S51=""),"",IF(S51/IF($S$2="",100,$S$2)&gt;=設定!$I$28,設定!$G$8,IF(S51/IF($S$2="",100,$S$2)&lt;設定!$I$29,設定!$G$10,設定!$G$9)))</f>
        <v/>
      </c>
    </row>
    <row r="52" customFormat="false" ht="21" hidden="false" customHeight="true" outlineLevel="0" collapsed="false">
      <c r="A52" s="91" t="str">
        <f aca="false">IF(名簿!$D52="","",名簿!$B52&amp;"")</f>
        <v/>
      </c>
      <c r="B52" s="91" t="str">
        <f aca="false">IF(名簿!$D52="","",名簿!$C52)</f>
        <v/>
      </c>
      <c r="C52" s="59" t="str">
        <f aca="false">IF(名簿!$D52="","",名簿!$D52&amp;IF(名簿!$F52="転出","（転出）",""))</f>
        <v/>
      </c>
      <c r="D52" s="149"/>
      <c r="E52" s="61" t="str">
        <f aca="false">IF(OR($C52="",名簿!$F52="転出"),"",IF($C$2="学級ごと",$A52,IF($C$2="前の単元と同じ",単元18!$E52&amp;"",$D52&amp;"")))</f>
        <v/>
      </c>
      <c r="F52" s="150"/>
      <c r="G52" s="150"/>
      <c r="H52" s="150"/>
      <c r="I52" s="151"/>
      <c r="J52" s="41" t="str">
        <f aca="false">IF($E52="","",$E52&amp;"|"&amp;COUNTIF($E$5:$E52,$E52))</f>
        <v/>
      </c>
      <c r="K52" s="40" t="str">
        <f aca="false">IF($I52="","",LEN($I52))</f>
        <v/>
      </c>
      <c r="L52" s="13"/>
      <c r="M52" s="13"/>
      <c r="N52" s="13"/>
      <c r="O52" s="13"/>
      <c r="P52" s="152"/>
      <c r="Q52" s="149"/>
      <c r="R52" s="152"/>
      <c r="S52" s="152"/>
      <c r="T52" s="62" t="str">
        <f aca="false">IF(OR($C52="",R52=""),"",IF(R52/IF($R$2="",100,$R$2)&gt;=設定!$I$28,設定!$G$8,IF(R52/IF($R$2="",100,$R$2)&lt;設定!$I$29,設定!$G$10,設定!$G$9)))</f>
        <v/>
      </c>
      <c r="U52" s="62" t="str">
        <f aca="false">IF(OR($C52="",S52=""),"",IF(S52/IF($S$2="",100,$S$2)&gt;=設定!$I$28,設定!$G$8,IF(S52/IF($S$2="",100,$S$2)&lt;設定!$I$29,設定!$G$10,設定!$G$9)))</f>
        <v/>
      </c>
    </row>
    <row r="53" customFormat="false" ht="21" hidden="false" customHeight="true" outlineLevel="0" collapsed="false">
      <c r="A53" s="91" t="str">
        <f aca="false">IF(名簿!$D53="","",名簿!$B53&amp;"")</f>
        <v/>
      </c>
      <c r="B53" s="91" t="str">
        <f aca="false">IF(名簿!$D53="","",名簿!$C53)</f>
        <v/>
      </c>
      <c r="C53" s="59" t="str">
        <f aca="false">IF(名簿!$D53="","",名簿!$D53&amp;IF(名簿!$F53="転出","（転出）",""))</f>
        <v/>
      </c>
      <c r="D53" s="149"/>
      <c r="E53" s="61" t="str">
        <f aca="false">IF(OR($C53="",名簿!$F53="転出"),"",IF($C$2="学級ごと",$A53,IF($C$2="前の単元と同じ",単元18!$E53&amp;"",$D53&amp;"")))</f>
        <v/>
      </c>
      <c r="F53" s="150"/>
      <c r="G53" s="150"/>
      <c r="H53" s="150"/>
      <c r="I53" s="151"/>
      <c r="J53" s="41" t="str">
        <f aca="false">IF($E53="","",$E53&amp;"|"&amp;COUNTIF($E$5:$E53,$E53))</f>
        <v/>
      </c>
      <c r="K53" s="40" t="str">
        <f aca="false">IF($I53="","",LEN($I53))</f>
        <v/>
      </c>
      <c r="L53" s="13"/>
      <c r="M53" s="13"/>
      <c r="N53" s="13"/>
      <c r="O53" s="13"/>
      <c r="P53" s="152"/>
      <c r="Q53" s="149"/>
      <c r="R53" s="152"/>
      <c r="S53" s="152"/>
      <c r="T53" s="62" t="str">
        <f aca="false">IF(OR($C53="",R53=""),"",IF(R53/IF($R$2="",100,$R$2)&gt;=設定!$I$28,設定!$G$8,IF(R53/IF($R$2="",100,$R$2)&lt;設定!$I$29,設定!$G$10,設定!$G$9)))</f>
        <v/>
      </c>
      <c r="U53" s="62" t="str">
        <f aca="false">IF(OR($C53="",S53=""),"",IF(S53/IF($S$2="",100,$S$2)&gt;=設定!$I$28,設定!$G$8,IF(S53/IF($S$2="",100,$S$2)&lt;設定!$I$29,設定!$G$10,設定!$G$9)))</f>
        <v/>
      </c>
    </row>
    <row r="54" customFormat="false" ht="21" hidden="false" customHeight="true" outlineLevel="0" collapsed="false">
      <c r="A54" s="91" t="str">
        <f aca="false">IF(名簿!$D54="","",名簿!$B54&amp;"")</f>
        <v/>
      </c>
      <c r="B54" s="91" t="str">
        <f aca="false">IF(名簿!$D54="","",名簿!$C54)</f>
        <v/>
      </c>
      <c r="C54" s="59" t="str">
        <f aca="false">IF(名簿!$D54="","",名簿!$D54&amp;IF(名簿!$F54="転出","（転出）",""))</f>
        <v/>
      </c>
      <c r="D54" s="149"/>
      <c r="E54" s="61" t="str">
        <f aca="false">IF(OR($C54="",名簿!$F54="転出"),"",IF($C$2="学級ごと",$A54,IF($C$2="前の単元と同じ",単元18!$E54&amp;"",$D54&amp;"")))</f>
        <v/>
      </c>
      <c r="F54" s="150"/>
      <c r="G54" s="150"/>
      <c r="H54" s="150"/>
      <c r="I54" s="151"/>
      <c r="J54" s="41" t="str">
        <f aca="false">IF($E54="","",$E54&amp;"|"&amp;COUNTIF($E$5:$E54,$E54))</f>
        <v/>
      </c>
      <c r="K54" s="40" t="str">
        <f aca="false">IF($I54="","",LEN($I54))</f>
        <v/>
      </c>
      <c r="L54" s="13"/>
      <c r="M54" s="13"/>
      <c r="N54" s="13"/>
      <c r="O54" s="13"/>
      <c r="P54" s="152"/>
      <c r="Q54" s="149"/>
      <c r="R54" s="152"/>
      <c r="S54" s="152"/>
      <c r="T54" s="62" t="str">
        <f aca="false">IF(OR($C54="",R54=""),"",IF(R54/IF($R$2="",100,$R$2)&gt;=設定!$I$28,設定!$G$8,IF(R54/IF($R$2="",100,$R$2)&lt;設定!$I$29,設定!$G$10,設定!$G$9)))</f>
        <v/>
      </c>
      <c r="U54" s="62" t="str">
        <f aca="false">IF(OR($C54="",S54=""),"",IF(S54/IF($S$2="",100,$S$2)&gt;=設定!$I$28,設定!$G$8,IF(S54/IF($S$2="",100,$S$2)&lt;設定!$I$29,設定!$G$10,設定!$G$9)))</f>
        <v/>
      </c>
    </row>
    <row r="55" customFormat="false" ht="21" hidden="false" customHeight="true" outlineLevel="0" collapsed="false">
      <c r="A55" s="91" t="str">
        <f aca="false">IF(名簿!$D55="","",名簿!$B55&amp;"")</f>
        <v/>
      </c>
      <c r="B55" s="91" t="str">
        <f aca="false">IF(名簿!$D55="","",名簿!$C55)</f>
        <v/>
      </c>
      <c r="C55" s="59" t="str">
        <f aca="false">IF(名簿!$D55="","",名簿!$D55&amp;IF(名簿!$F55="転出","（転出）",""))</f>
        <v/>
      </c>
      <c r="D55" s="149"/>
      <c r="E55" s="61" t="str">
        <f aca="false">IF(OR($C55="",名簿!$F55="転出"),"",IF($C$2="学級ごと",$A55,IF($C$2="前の単元と同じ",単元18!$E55&amp;"",$D55&amp;"")))</f>
        <v/>
      </c>
      <c r="F55" s="150"/>
      <c r="G55" s="150"/>
      <c r="H55" s="150"/>
      <c r="I55" s="151"/>
      <c r="J55" s="41" t="str">
        <f aca="false">IF($E55="","",$E55&amp;"|"&amp;COUNTIF($E$5:$E55,$E55))</f>
        <v/>
      </c>
      <c r="K55" s="40" t="str">
        <f aca="false">IF($I55="","",LEN($I55))</f>
        <v/>
      </c>
      <c r="L55" s="13"/>
      <c r="M55" s="13"/>
      <c r="N55" s="13"/>
      <c r="O55" s="13"/>
      <c r="P55" s="152"/>
      <c r="Q55" s="149"/>
      <c r="R55" s="152"/>
      <c r="S55" s="152"/>
      <c r="T55" s="62" t="str">
        <f aca="false">IF(OR($C55="",R55=""),"",IF(R55/IF($R$2="",100,$R$2)&gt;=設定!$I$28,設定!$G$8,IF(R55/IF($R$2="",100,$R$2)&lt;設定!$I$29,設定!$G$10,設定!$G$9)))</f>
        <v/>
      </c>
      <c r="U55" s="62" t="str">
        <f aca="false">IF(OR($C55="",S55=""),"",IF(S55/IF($S$2="",100,$S$2)&gt;=設定!$I$28,設定!$G$8,IF(S55/IF($S$2="",100,$S$2)&lt;設定!$I$29,設定!$G$10,設定!$G$9)))</f>
        <v/>
      </c>
    </row>
    <row r="56" customFormat="false" ht="21" hidden="false" customHeight="true" outlineLevel="0" collapsed="false">
      <c r="A56" s="91" t="str">
        <f aca="false">IF(名簿!$D56="","",名簿!$B56&amp;"")</f>
        <v/>
      </c>
      <c r="B56" s="91" t="str">
        <f aca="false">IF(名簿!$D56="","",名簿!$C56)</f>
        <v/>
      </c>
      <c r="C56" s="59" t="str">
        <f aca="false">IF(名簿!$D56="","",名簿!$D56&amp;IF(名簿!$F56="転出","（転出）",""))</f>
        <v/>
      </c>
      <c r="D56" s="149"/>
      <c r="E56" s="61" t="str">
        <f aca="false">IF(OR($C56="",名簿!$F56="転出"),"",IF($C$2="学級ごと",$A56,IF($C$2="前の単元と同じ",単元18!$E56&amp;"",$D56&amp;"")))</f>
        <v/>
      </c>
      <c r="F56" s="150"/>
      <c r="G56" s="150"/>
      <c r="H56" s="150"/>
      <c r="I56" s="151"/>
      <c r="J56" s="41" t="str">
        <f aca="false">IF($E56="","",$E56&amp;"|"&amp;COUNTIF($E$5:$E56,$E56))</f>
        <v/>
      </c>
      <c r="K56" s="40" t="str">
        <f aca="false">IF($I56="","",LEN($I56))</f>
        <v/>
      </c>
      <c r="L56" s="13"/>
      <c r="M56" s="13"/>
      <c r="N56" s="13"/>
      <c r="O56" s="13"/>
      <c r="P56" s="152"/>
      <c r="Q56" s="149"/>
      <c r="R56" s="152"/>
      <c r="S56" s="152"/>
      <c r="T56" s="62" t="str">
        <f aca="false">IF(OR($C56="",R56=""),"",IF(R56/IF($R$2="",100,$R$2)&gt;=設定!$I$28,設定!$G$8,IF(R56/IF($R$2="",100,$R$2)&lt;設定!$I$29,設定!$G$10,設定!$G$9)))</f>
        <v/>
      </c>
      <c r="U56" s="62" t="str">
        <f aca="false">IF(OR($C56="",S56=""),"",IF(S56/IF($S$2="",100,$S$2)&gt;=設定!$I$28,設定!$G$8,IF(S56/IF($S$2="",100,$S$2)&lt;設定!$I$29,設定!$G$10,設定!$G$9)))</f>
        <v/>
      </c>
    </row>
    <row r="57" customFormat="false" ht="21" hidden="false" customHeight="true" outlineLevel="0" collapsed="false">
      <c r="A57" s="91" t="str">
        <f aca="false">IF(名簿!$D57="","",名簿!$B57&amp;"")</f>
        <v/>
      </c>
      <c r="B57" s="91" t="str">
        <f aca="false">IF(名簿!$D57="","",名簿!$C57)</f>
        <v/>
      </c>
      <c r="C57" s="59" t="str">
        <f aca="false">IF(名簿!$D57="","",名簿!$D57&amp;IF(名簿!$F57="転出","（転出）",""))</f>
        <v/>
      </c>
      <c r="D57" s="149"/>
      <c r="E57" s="61" t="str">
        <f aca="false">IF(OR($C57="",名簿!$F57="転出"),"",IF($C$2="学級ごと",$A57,IF($C$2="前の単元と同じ",単元18!$E57&amp;"",$D57&amp;"")))</f>
        <v/>
      </c>
      <c r="F57" s="150"/>
      <c r="G57" s="150"/>
      <c r="H57" s="150"/>
      <c r="I57" s="151"/>
      <c r="J57" s="41" t="str">
        <f aca="false">IF($E57="","",$E57&amp;"|"&amp;COUNTIF($E$5:$E57,$E57))</f>
        <v/>
      </c>
      <c r="K57" s="40" t="str">
        <f aca="false">IF($I57="","",LEN($I57))</f>
        <v/>
      </c>
      <c r="L57" s="13"/>
      <c r="M57" s="13"/>
      <c r="N57" s="13"/>
      <c r="O57" s="13"/>
      <c r="P57" s="152"/>
      <c r="Q57" s="149"/>
      <c r="R57" s="152"/>
      <c r="S57" s="152"/>
      <c r="T57" s="62" t="str">
        <f aca="false">IF(OR($C57="",R57=""),"",IF(R57/IF($R$2="",100,$R$2)&gt;=設定!$I$28,設定!$G$8,IF(R57/IF($R$2="",100,$R$2)&lt;設定!$I$29,設定!$G$10,設定!$G$9)))</f>
        <v/>
      </c>
      <c r="U57" s="62" t="str">
        <f aca="false">IF(OR($C57="",S57=""),"",IF(S57/IF($S$2="",100,$S$2)&gt;=設定!$I$28,設定!$G$8,IF(S57/IF($S$2="",100,$S$2)&lt;設定!$I$29,設定!$G$10,設定!$G$9)))</f>
        <v/>
      </c>
    </row>
    <row r="58" customFormat="false" ht="21" hidden="false" customHeight="true" outlineLevel="0" collapsed="false">
      <c r="A58" s="91" t="str">
        <f aca="false">IF(名簿!$D58="","",名簿!$B58&amp;"")</f>
        <v/>
      </c>
      <c r="B58" s="91" t="str">
        <f aca="false">IF(名簿!$D58="","",名簿!$C58)</f>
        <v/>
      </c>
      <c r="C58" s="59" t="str">
        <f aca="false">IF(名簿!$D58="","",名簿!$D58&amp;IF(名簿!$F58="転出","（転出）",""))</f>
        <v/>
      </c>
      <c r="D58" s="149"/>
      <c r="E58" s="61" t="str">
        <f aca="false">IF(OR($C58="",名簿!$F58="転出"),"",IF($C$2="学級ごと",$A58,IF($C$2="前の単元と同じ",単元18!$E58&amp;"",$D58&amp;"")))</f>
        <v/>
      </c>
      <c r="F58" s="150"/>
      <c r="G58" s="150"/>
      <c r="H58" s="150"/>
      <c r="I58" s="151"/>
      <c r="J58" s="41" t="str">
        <f aca="false">IF($E58="","",$E58&amp;"|"&amp;COUNTIF($E$5:$E58,$E58))</f>
        <v/>
      </c>
      <c r="K58" s="40" t="str">
        <f aca="false">IF($I58="","",LEN($I58))</f>
        <v/>
      </c>
      <c r="L58" s="13"/>
      <c r="M58" s="13"/>
      <c r="N58" s="13"/>
      <c r="O58" s="13"/>
      <c r="P58" s="152"/>
      <c r="Q58" s="149"/>
      <c r="R58" s="152"/>
      <c r="S58" s="152"/>
      <c r="T58" s="62" t="str">
        <f aca="false">IF(OR($C58="",R58=""),"",IF(R58/IF($R$2="",100,$R$2)&gt;=設定!$I$28,設定!$G$8,IF(R58/IF($R$2="",100,$R$2)&lt;設定!$I$29,設定!$G$10,設定!$G$9)))</f>
        <v/>
      </c>
      <c r="U58" s="62" t="str">
        <f aca="false">IF(OR($C58="",S58=""),"",IF(S58/IF($S$2="",100,$S$2)&gt;=設定!$I$28,設定!$G$8,IF(S58/IF($S$2="",100,$S$2)&lt;設定!$I$29,設定!$G$10,設定!$G$9)))</f>
        <v/>
      </c>
    </row>
    <row r="59" customFormat="false" ht="21" hidden="false" customHeight="true" outlineLevel="0" collapsed="false">
      <c r="A59" s="91" t="str">
        <f aca="false">IF(名簿!$D59="","",名簿!$B59&amp;"")</f>
        <v/>
      </c>
      <c r="B59" s="91" t="str">
        <f aca="false">IF(名簿!$D59="","",名簿!$C59)</f>
        <v/>
      </c>
      <c r="C59" s="59" t="str">
        <f aca="false">IF(名簿!$D59="","",名簿!$D59&amp;IF(名簿!$F59="転出","（転出）",""))</f>
        <v/>
      </c>
      <c r="D59" s="149"/>
      <c r="E59" s="61" t="str">
        <f aca="false">IF(OR($C59="",名簿!$F59="転出"),"",IF($C$2="学級ごと",$A59,IF($C$2="前の単元と同じ",単元18!$E59&amp;"",$D59&amp;"")))</f>
        <v/>
      </c>
      <c r="F59" s="150"/>
      <c r="G59" s="150"/>
      <c r="H59" s="150"/>
      <c r="I59" s="151"/>
      <c r="J59" s="41" t="str">
        <f aca="false">IF($E59="","",$E59&amp;"|"&amp;COUNTIF($E$5:$E59,$E59))</f>
        <v/>
      </c>
      <c r="K59" s="40" t="str">
        <f aca="false">IF($I59="","",LEN($I59))</f>
        <v/>
      </c>
      <c r="L59" s="13"/>
      <c r="M59" s="13"/>
      <c r="N59" s="13"/>
      <c r="O59" s="13"/>
      <c r="P59" s="152"/>
      <c r="Q59" s="149"/>
      <c r="R59" s="152"/>
      <c r="S59" s="152"/>
      <c r="T59" s="62" t="str">
        <f aca="false">IF(OR($C59="",R59=""),"",IF(R59/IF($R$2="",100,$R$2)&gt;=設定!$I$28,設定!$G$8,IF(R59/IF($R$2="",100,$R$2)&lt;設定!$I$29,設定!$G$10,設定!$G$9)))</f>
        <v/>
      </c>
      <c r="U59" s="62" t="str">
        <f aca="false">IF(OR($C59="",S59=""),"",IF(S59/IF($S$2="",100,$S$2)&gt;=設定!$I$28,設定!$G$8,IF(S59/IF($S$2="",100,$S$2)&lt;設定!$I$29,設定!$G$10,設定!$G$9)))</f>
        <v/>
      </c>
    </row>
    <row r="60" customFormat="false" ht="21" hidden="false" customHeight="true" outlineLevel="0" collapsed="false">
      <c r="A60" s="91" t="str">
        <f aca="false">IF(名簿!$D60="","",名簿!$B60&amp;"")</f>
        <v/>
      </c>
      <c r="B60" s="91" t="str">
        <f aca="false">IF(名簿!$D60="","",名簿!$C60)</f>
        <v/>
      </c>
      <c r="C60" s="59" t="str">
        <f aca="false">IF(名簿!$D60="","",名簿!$D60&amp;IF(名簿!$F60="転出","（転出）",""))</f>
        <v/>
      </c>
      <c r="D60" s="149"/>
      <c r="E60" s="61" t="str">
        <f aca="false">IF(OR($C60="",名簿!$F60="転出"),"",IF($C$2="学級ごと",$A60,IF($C$2="前の単元と同じ",単元18!$E60&amp;"",$D60&amp;"")))</f>
        <v/>
      </c>
      <c r="F60" s="150"/>
      <c r="G60" s="150"/>
      <c r="H60" s="150"/>
      <c r="I60" s="151"/>
      <c r="J60" s="41" t="str">
        <f aca="false">IF($E60="","",$E60&amp;"|"&amp;COUNTIF($E$5:$E60,$E60))</f>
        <v/>
      </c>
      <c r="K60" s="40" t="str">
        <f aca="false">IF($I60="","",LEN($I60))</f>
        <v/>
      </c>
      <c r="L60" s="13"/>
      <c r="M60" s="13"/>
      <c r="N60" s="13"/>
      <c r="O60" s="13"/>
      <c r="P60" s="152"/>
      <c r="Q60" s="149"/>
      <c r="R60" s="152"/>
      <c r="S60" s="152"/>
      <c r="T60" s="62" t="str">
        <f aca="false">IF(OR($C60="",R60=""),"",IF(R60/IF($R$2="",100,$R$2)&gt;=設定!$I$28,設定!$G$8,IF(R60/IF($R$2="",100,$R$2)&lt;設定!$I$29,設定!$G$10,設定!$G$9)))</f>
        <v/>
      </c>
      <c r="U60" s="62" t="str">
        <f aca="false">IF(OR($C60="",S60=""),"",IF(S60/IF($S$2="",100,$S$2)&gt;=設定!$I$28,設定!$G$8,IF(S60/IF($S$2="",100,$S$2)&lt;設定!$I$29,設定!$G$10,設定!$G$9)))</f>
        <v/>
      </c>
    </row>
    <row r="61" customFormat="false" ht="21" hidden="false" customHeight="true" outlineLevel="0" collapsed="false">
      <c r="A61" s="91" t="str">
        <f aca="false">IF(名簿!$D61="","",名簿!$B61&amp;"")</f>
        <v/>
      </c>
      <c r="B61" s="91" t="str">
        <f aca="false">IF(名簿!$D61="","",名簿!$C61)</f>
        <v/>
      </c>
      <c r="C61" s="59" t="str">
        <f aca="false">IF(名簿!$D61="","",名簿!$D61&amp;IF(名簿!$F61="転出","（転出）",""))</f>
        <v/>
      </c>
      <c r="D61" s="149"/>
      <c r="E61" s="61" t="str">
        <f aca="false">IF(OR($C61="",名簿!$F61="転出"),"",IF($C$2="学級ごと",$A61,IF($C$2="前の単元と同じ",単元18!$E61&amp;"",$D61&amp;"")))</f>
        <v/>
      </c>
      <c r="F61" s="150"/>
      <c r="G61" s="150"/>
      <c r="H61" s="150"/>
      <c r="I61" s="151"/>
      <c r="J61" s="41" t="str">
        <f aca="false">IF($E61="","",$E61&amp;"|"&amp;COUNTIF($E$5:$E61,$E61))</f>
        <v/>
      </c>
      <c r="K61" s="40" t="str">
        <f aca="false">IF($I61="","",LEN($I61))</f>
        <v/>
      </c>
      <c r="L61" s="13"/>
      <c r="M61" s="13"/>
      <c r="N61" s="13"/>
      <c r="O61" s="13"/>
      <c r="P61" s="152"/>
      <c r="Q61" s="149"/>
      <c r="R61" s="152"/>
      <c r="S61" s="152"/>
      <c r="T61" s="62" t="str">
        <f aca="false">IF(OR($C61="",R61=""),"",IF(R61/IF($R$2="",100,$R$2)&gt;=設定!$I$28,設定!$G$8,IF(R61/IF($R$2="",100,$R$2)&lt;設定!$I$29,設定!$G$10,設定!$G$9)))</f>
        <v/>
      </c>
      <c r="U61" s="62" t="str">
        <f aca="false">IF(OR($C61="",S61=""),"",IF(S61/IF($S$2="",100,$S$2)&gt;=設定!$I$28,設定!$G$8,IF(S61/IF($S$2="",100,$S$2)&lt;設定!$I$29,設定!$G$10,設定!$G$9)))</f>
        <v/>
      </c>
    </row>
    <row r="62" customFormat="false" ht="21" hidden="false" customHeight="true" outlineLevel="0" collapsed="false">
      <c r="A62" s="91" t="str">
        <f aca="false">IF(名簿!$D62="","",名簿!$B62&amp;"")</f>
        <v/>
      </c>
      <c r="B62" s="91" t="str">
        <f aca="false">IF(名簿!$D62="","",名簿!$C62)</f>
        <v/>
      </c>
      <c r="C62" s="59" t="str">
        <f aca="false">IF(名簿!$D62="","",名簿!$D62&amp;IF(名簿!$F62="転出","（転出）",""))</f>
        <v/>
      </c>
      <c r="D62" s="149"/>
      <c r="E62" s="61" t="str">
        <f aca="false">IF(OR($C62="",名簿!$F62="転出"),"",IF($C$2="学級ごと",$A62,IF($C$2="前の単元と同じ",単元18!$E62&amp;"",$D62&amp;"")))</f>
        <v/>
      </c>
      <c r="F62" s="150"/>
      <c r="G62" s="150"/>
      <c r="H62" s="150"/>
      <c r="I62" s="151"/>
      <c r="J62" s="41" t="str">
        <f aca="false">IF($E62="","",$E62&amp;"|"&amp;COUNTIF($E$5:$E62,$E62))</f>
        <v/>
      </c>
      <c r="K62" s="40" t="str">
        <f aca="false">IF($I62="","",LEN($I62))</f>
        <v/>
      </c>
      <c r="L62" s="13"/>
      <c r="M62" s="13"/>
      <c r="N62" s="13"/>
      <c r="O62" s="13"/>
      <c r="P62" s="152"/>
      <c r="Q62" s="149"/>
      <c r="R62" s="152"/>
      <c r="S62" s="152"/>
      <c r="T62" s="62" t="str">
        <f aca="false">IF(OR($C62="",R62=""),"",IF(R62/IF($R$2="",100,$R$2)&gt;=設定!$I$28,設定!$G$8,IF(R62/IF($R$2="",100,$R$2)&lt;設定!$I$29,設定!$G$10,設定!$G$9)))</f>
        <v/>
      </c>
      <c r="U62" s="62" t="str">
        <f aca="false">IF(OR($C62="",S62=""),"",IF(S62/IF($S$2="",100,$S$2)&gt;=設定!$I$28,設定!$G$8,IF(S62/IF($S$2="",100,$S$2)&lt;設定!$I$29,設定!$G$10,設定!$G$9)))</f>
        <v/>
      </c>
    </row>
    <row r="63" customFormat="false" ht="21" hidden="false" customHeight="true" outlineLevel="0" collapsed="false">
      <c r="A63" s="91" t="str">
        <f aca="false">IF(名簿!$D63="","",名簿!$B63&amp;"")</f>
        <v/>
      </c>
      <c r="B63" s="91" t="str">
        <f aca="false">IF(名簿!$D63="","",名簿!$C63)</f>
        <v/>
      </c>
      <c r="C63" s="59" t="str">
        <f aca="false">IF(名簿!$D63="","",名簿!$D63&amp;IF(名簿!$F63="転出","（転出）",""))</f>
        <v/>
      </c>
      <c r="D63" s="149"/>
      <c r="E63" s="61" t="str">
        <f aca="false">IF(OR($C63="",名簿!$F63="転出"),"",IF($C$2="学級ごと",$A63,IF($C$2="前の単元と同じ",単元18!$E63&amp;"",$D63&amp;"")))</f>
        <v/>
      </c>
      <c r="F63" s="150"/>
      <c r="G63" s="150"/>
      <c r="H63" s="150"/>
      <c r="I63" s="151"/>
      <c r="J63" s="41" t="str">
        <f aca="false">IF($E63="","",$E63&amp;"|"&amp;COUNTIF($E$5:$E63,$E63))</f>
        <v/>
      </c>
      <c r="K63" s="40" t="str">
        <f aca="false">IF($I63="","",LEN($I63))</f>
        <v/>
      </c>
      <c r="L63" s="13"/>
      <c r="M63" s="13"/>
      <c r="N63" s="13"/>
      <c r="O63" s="13"/>
      <c r="P63" s="152"/>
      <c r="Q63" s="149"/>
      <c r="R63" s="152"/>
      <c r="S63" s="152"/>
      <c r="T63" s="62" t="str">
        <f aca="false">IF(OR($C63="",R63=""),"",IF(R63/IF($R$2="",100,$R$2)&gt;=設定!$I$28,設定!$G$8,IF(R63/IF($R$2="",100,$R$2)&lt;設定!$I$29,設定!$G$10,設定!$G$9)))</f>
        <v/>
      </c>
      <c r="U63" s="62" t="str">
        <f aca="false">IF(OR($C63="",S63=""),"",IF(S63/IF($S$2="",100,$S$2)&gt;=設定!$I$28,設定!$G$8,IF(S63/IF($S$2="",100,$S$2)&lt;設定!$I$29,設定!$G$10,設定!$G$9)))</f>
        <v/>
      </c>
    </row>
    <row r="64" customFormat="false" ht="21" hidden="false" customHeight="true" outlineLevel="0" collapsed="false">
      <c r="A64" s="91" t="str">
        <f aca="false">IF(名簿!$D64="","",名簿!$B64&amp;"")</f>
        <v/>
      </c>
      <c r="B64" s="91" t="str">
        <f aca="false">IF(名簿!$D64="","",名簿!$C64)</f>
        <v/>
      </c>
      <c r="C64" s="59" t="str">
        <f aca="false">IF(名簿!$D64="","",名簿!$D64&amp;IF(名簿!$F64="転出","（転出）",""))</f>
        <v/>
      </c>
      <c r="D64" s="149"/>
      <c r="E64" s="61" t="str">
        <f aca="false">IF(OR($C64="",名簿!$F64="転出"),"",IF($C$2="学級ごと",$A64,IF($C$2="前の単元と同じ",単元18!$E64&amp;"",$D64&amp;"")))</f>
        <v/>
      </c>
      <c r="F64" s="150"/>
      <c r="G64" s="150"/>
      <c r="H64" s="150"/>
      <c r="I64" s="151"/>
      <c r="J64" s="41" t="str">
        <f aca="false">IF($E64="","",$E64&amp;"|"&amp;COUNTIF($E$5:$E64,$E64))</f>
        <v/>
      </c>
      <c r="K64" s="40" t="str">
        <f aca="false">IF($I64="","",LEN($I64))</f>
        <v/>
      </c>
      <c r="L64" s="13"/>
      <c r="M64" s="13"/>
      <c r="N64" s="13"/>
      <c r="O64" s="13"/>
      <c r="P64" s="152"/>
      <c r="Q64" s="149"/>
      <c r="R64" s="152"/>
      <c r="S64" s="152"/>
      <c r="T64" s="62" t="str">
        <f aca="false">IF(OR($C64="",R64=""),"",IF(R64/IF($R$2="",100,$R$2)&gt;=設定!$I$28,設定!$G$8,IF(R64/IF($R$2="",100,$R$2)&lt;設定!$I$29,設定!$G$10,設定!$G$9)))</f>
        <v/>
      </c>
      <c r="U64" s="62" t="str">
        <f aca="false">IF(OR($C64="",S64=""),"",IF(S64/IF($S$2="",100,$S$2)&gt;=設定!$I$28,設定!$G$8,IF(S64/IF($S$2="",100,$S$2)&lt;設定!$I$29,設定!$G$10,設定!$G$9)))</f>
        <v/>
      </c>
    </row>
    <row r="65" customFormat="false" ht="21" hidden="false" customHeight="true" outlineLevel="0" collapsed="false">
      <c r="A65" s="91" t="str">
        <f aca="false">IF(名簿!$D65="","",名簿!$B65&amp;"")</f>
        <v/>
      </c>
      <c r="B65" s="91" t="str">
        <f aca="false">IF(名簿!$D65="","",名簿!$C65)</f>
        <v/>
      </c>
      <c r="C65" s="59" t="str">
        <f aca="false">IF(名簿!$D65="","",名簿!$D65&amp;IF(名簿!$F65="転出","（転出）",""))</f>
        <v/>
      </c>
      <c r="D65" s="149"/>
      <c r="E65" s="61" t="str">
        <f aca="false">IF(OR($C65="",名簿!$F65="転出"),"",IF($C$2="学級ごと",$A65,IF($C$2="前の単元と同じ",単元18!$E65&amp;"",$D65&amp;"")))</f>
        <v/>
      </c>
      <c r="F65" s="150"/>
      <c r="G65" s="150"/>
      <c r="H65" s="150"/>
      <c r="I65" s="151"/>
      <c r="J65" s="41" t="str">
        <f aca="false">IF($E65="","",$E65&amp;"|"&amp;COUNTIF($E$5:$E65,$E65))</f>
        <v/>
      </c>
      <c r="K65" s="40" t="str">
        <f aca="false">IF($I65="","",LEN($I65))</f>
        <v/>
      </c>
      <c r="L65" s="13"/>
      <c r="M65" s="13"/>
      <c r="N65" s="13"/>
      <c r="O65" s="13"/>
      <c r="P65" s="152"/>
      <c r="Q65" s="149"/>
      <c r="R65" s="152"/>
      <c r="S65" s="152"/>
      <c r="T65" s="62" t="str">
        <f aca="false">IF(OR($C65="",R65=""),"",IF(R65/IF($R$2="",100,$R$2)&gt;=設定!$I$28,設定!$G$8,IF(R65/IF($R$2="",100,$R$2)&lt;設定!$I$29,設定!$G$10,設定!$G$9)))</f>
        <v/>
      </c>
      <c r="U65" s="62" t="str">
        <f aca="false">IF(OR($C65="",S65=""),"",IF(S65/IF($S$2="",100,$S$2)&gt;=設定!$I$28,設定!$G$8,IF(S65/IF($S$2="",100,$S$2)&lt;設定!$I$29,設定!$G$10,設定!$G$9)))</f>
        <v/>
      </c>
    </row>
    <row r="66" customFormat="false" ht="21" hidden="false" customHeight="true" outlineLevel="0" collapsed="false">
      <c r="A66" s="91" t="str">
        <f aca="false">IF(名簿!$D66="","",名簿!$B66&amp;"")</f>
        <v/>
      </c>
      <c r="B66" s="91" t="str">
        <f aca="false">IF(名簿!$D66="","",名簿!$C66)</f>
        <v/>
      </c>
      <c r="C66" s="59" t="str">
        <f aca="false">IF(名簿!$D66="","",名簿!$D66&amp;IF(名簿!$F66="転出","（転出）",""))</f>
        <v/>
      </c>
      <c r="D66" s="149"/>
      <c r="E66" s="61" t="str">
        <f aca="false">IF(OR($C66="",名簿!$F66="転出"),"",IF($C$2="学級ごと",$A66,IF($C$2="前の単元と同じ",単元18!$E66&amp;"",$D66&amp;"")))</f>
        <v/>
      </c>
      <c r="F66" s="150"/>
      <c r="G66" s="150"/>
      <c r="H66" s="150"/>
      <c r="I66" s="151"/>
      <c r="J66" s="41" t="str">
        <f aca="false">IF($E66="","",$E66&amp;"|"&amp;COUNTIF($E$5:$E66,$E66))</f>
        <v/>
      </c>
      <c r="K66" s="40" t="str">
        <f aca="false">IF($I66="","",LEN($I66))</f>
        <v/>
      </c>
      <c r="L66" s="13"/>
      <c r="M66" s="13"/>
      <c r="N66" s="13"/>
      <c r="O66" s="13"/>
      <c r="P66" s="152"/>
      <c r="Q66" s="149"/>
      <c r="R66" s="152"/>
      <c r="S66" s="152"/>
      <c r="T66" s="62" t="str">
        <f aca="false">IF(OR($C66="",R66=""),"",IF(R66/IF($R$2="",100,$R$2)&gt;=設定!$I$28,設定!$G$8,IF(R66/IF($R$2="",100,$R$2)&lt;設定!$I$29,設定!$G$10,設定!$G$9)))</f>
        <v/>
      </c>
      <c r="U66" s="62" t="str">
        <f aca="false">IF(OR($C66="",S66=""),"",IF(S66/IF($S$2="",100,$S$2)&gt;=設定!$I$28,設定!$G$8,IF(S66/IF($S$2="",100,$S$2)&lt;設定!$I$29,設定!$G$10,設定!$G$9)))</f>
        <v/>
      </c>
    </row>
    <row r="67" customFormat="false" ht="21" hidden="false" customHeight="true" outlineLevel="0" collapsed="false">
      <c r="A67" s="91" t="str">
        <f aca="false">IF(名簿!$D67="","",名簿!$B67&amp;"")</f>
        <v/>
      </c>
      <c r="B67" s="91" t="str">
        <f aca="false">IF(名簿!$D67="","",名簿!$C67)</f>
        <v/>
      </c>
      <c r="C67" s="59" t="str">
        <f aca="false">IF(名簿!$D67="","",名簿!$D67&amp;IF(名簿!$F67="転出","（転出）",""))</f>
        <v/>
      </c>
      <c r="D67" s="149"/>
      <c r="E67" s="61" t="str">
        <f aca="false">IF(OR($C67="",名簿!$F67="転出"),"",IF($C$2="学級ごと",$A67,IF($C$2="前の単元と同じ",単元18!$E67&amp;"",$D67&amp;"")))</f>
        <v/>
      </c>
      <c r="F67" s="150"/>
      <c r="G67" s="150"/>
      <c r="H67" s="150"/>
      <c r="I67" s="151"/>
      <c r="J67" s="41" t="str">
        <f aca="false">IF($E67="","",$E67&amp;"|"&amp;COUNTIF($E$5:$E67,$E67))</f>
        <v/>
      </c>
      <c r="K67" s="40" t="str">
        <f aca="false">IF($I67="","",LEN($I67))</f>
        <v/>
      </c>
      <c r="L67" s="13"/>
      <c r="M67" s="13"/>
      <c r="N67" s="13"/>
      <c r="O67" s="13"/>
      <c r="P67" s="152"/>
      <c r="Q67" s="149"/>
      <c r="R67" s="152"/>
      <c r="S67" s="152"/>
      <c r="T67" s="62" t="str">
        <f aca="false">IF(OR($C67="",R67=""),"",IF(R67/IF($R$2="",100,$R$2)&gt;=設定!$I$28,設定!$G$8,IF(R67/IF($R$2="",100,$R$2)&lt;設定!$I$29,設定!$G$10,設定!$G$9)))</f>
        <v/>
      </c>
      <c r="U67" s="62" t="str">
        <f aca="false">IF(OR($C67="",S67=""),"",IF(S67/IF($S$2="",100,$S$2)&gt;=設定!$I$28,設定!$G$8,IF(S67/IF($S$2="",100,$S$2)&lt;設定!$I$29,設定!$G$10,設定!$G$9)))</f>
        <v/>
      </c>
    </row>
    <row r="68" customFormat="false" ht="21" hidden="false" customHeight="true" outlineLevel="0" collapsed="false">
      <c r="A68" s="91" t="str">
        <f aca="false">IF(名簿!$D68="","",名簿!$B68&amp;"")</f>
        <v/>
      </c>
      <c r="B68" s="91" t="str">
        <f aca="false">IF(名簿!$D68="","",名簿!$C68)</f>
        <v/>
      </c>
      <c r="C68" s="59" t="str">
        <f aca="false">IF(名簿!$D68="","",名簿!$D68&amp;IF(名簿!$F68="転出","（転出）",""))</f>
        <v/>
      </c>
      <c r="D68" s="149"/>
      <c r="E68" s="61" t="str">
        <f aca="false">IF(OR($C68="",名簿!$F68="転出"),"",IF($C$2="学級ごと",$A68,IF($C$2="前の単元と同じ",単元18!$E68&amp;"",$D68&amp;"")))</f>
        <v/>
      </c>
      <c r="F68" s="150"/>
      <c r="G68" s="150"/>
      <c r="H68" s="150"/>
      <c r="I68" s="151"/>
      <c r="J68" s="41" t="str">
        <f aca="false">IF($E68="","",$E68&amp;"|"&amp;COUNTIF($E$5:$E68,$E68))</f>
        <v/>
      </c>
      <c r="K68" s="40" t="str">
        <f aca="false">IF($I68="","",LEN($I68))</f>
        <v/>
      </c>
      <c r="L68" s="13"/>
      <c r="M68" s="13"/>
      <c r="N68" s="13"/>
      <c r="O68" s="13"/>
      <c r="P68" s="152"/>
      <c r="Q68" s="149"/>
      <c r="R68" s="152"/>
      <c r="S68" s="152"/>
      <c r="T68" s="62" t="str">
        <f aca="false">IF(OR($C68="",R68=""),"",IF(R68/IF($R$2="",100,$R$2)&gt;=設定!$I$28,設定!$G$8,IF(R68/IF($R$2="",100,$R$2)&lt;設定!$I$29,設定!$G$10,設定!$G$9)))</f>
        <v/>
      </c>
      <c r="U68" s="62" t="str">
        <f aca="false">IF(OR($C68="",S68=""),"",IF(S68/IF($S$2="",100,$S$2)&gt;=設定!$I$28,設定!$G$8,IF(S68/IF($S$2="",100,$S$2)&lt;設定!$I$29,設定!$G$10,設定!$G$9)))</f>
        <v/>
      </c>
    </row>
    <row r="69" customFormat="false" ht="21" hidden="false" customHeight="true" outlineLevel="0" collapsed="false">
      <c r="A69" s="91" t="str">
        <f aca="false">IF(名簿!$D69="","",名簿!$B69&amp;"")</f>
        <v/>
      </c>
      <c r="B69" s="91" t="str">
        <f aca="false">IF(名簿!$D69="","",名簿!$C69)</f>
        <v/>
      </c>
      <c r="C69" s="59" t="str">
        <f aca="false">IF(名簿!$D69="","",名簿!$D69&amp;IF(名簿!$F69="転出","（転出）",""))</f>
        <v/>
      </c>
      <c r="D69" s="149"/>
      <c r="E69" s="61" t="str">
        <f aca="false">IF(OR($C69="",名簿!$F69="転出"),"",IF($C$2="学級ごと",$A69,IF($C$2="前の単元と同じ",単元18!$E69&amp;"",$D69&amp;"")))</f>
        <v/>
      </c>
      <c r="F69" s="150"/>
      <c r="G69" s="150"/>
      <c r="H69" s="150"/>
      <c r="I69" s="151"/>
      <c r="J69" s="41" t="str">
        <f aca="false">IF($E69="","",$E69&amp;"|"&amp;COUNTIF($E$5:$E69,$E69))</f>
        <v/>
      </c>
      <c r="K69" s="40" t="str">
        <f aca="false">IF($I69="","",LEN($I69))</f>
        <v/>
      </c>
      <c r="L69" s="13"/>
      <c r="M69" s="13"/>
      <c r="N69" s="13"/>
      <c r="O69" s="13"/>
      <c r="P69" s="152"/>
      <c r="Q69" s="149"/>
      <c r="R69" s="152"/>
      <c r="S69" s="152"/>
      <c r="T69" s="62" t="str">
        <f aca="false">IF(OR($C69="",R69=""),"",IF(R69/IF($R$2="",100,$R$2)&gt;=設定!$I$28,設定!$G$8,IF(R69/IF($R$2="",100,$R$2)&lt;設定!$I$29,設定!$G$10,設定!$G$9)))</f>
        <v/>
      </c>
      <c r="U69" s="62" t="str">
        <f aca="false">IF(OR($C69="",S69=""),"",IF(S69/IF($S$2="",100,$S$2)&gt;=設定!$I$28,設定!$G$8,IF(S69/IF($S$2="",100,$S$2)&lt;設定!$I$29,設定!$G$10,設定!$G$9)))</f>
        <v/>
      </c>
    </row>
    <row r="70" customFormat="false" ht="21" hidden="false" customHeight="true" outlineLevel="0" collapsed="false">
      <c r="A70" s="91" t="str">
        <f aca="false">IF(名簿!$D70="","",名簿!$B70&amp;"")</f>
        <v/>
      </c>
      <c r="B70" s="91" t="str">
        <f aca="false">IF(名簿!$D70="","",名簿!$C70)</f>
        <v/>
      </c>
      <c r="C70" s="59" t="str">
        <f aca="false">IF(名簿!$D70="","",名簿!$D70&amp;IF(名簿!$F70="転出","（転出）",""))</f>
        <v/>
      </c>
      <c r="D70" s="149"/>
      <c r="E70" s="61" t="str">
        <f aca="false">IF(OR($C70="",名簿!$F70="転出"),"",IF($C$2="学級ごと",$A70,IF($C$2="前の単元と同じ",単元18!$E70&amp;"",$D70&amp;"")))</f>
        <v/>
      </c>
      <c r="F70" s="150"/>
      <c r="G70" s="150"/>
      <c r="H70" s="150"/>
      <c r="I70" s="151"/>
      <c r="J70" s="41" t="str">
        <f aca="false">IF($E70="","",$E70&amp;"|"&amp;COUNTIF($E$5:$E70,$E70))</f>
        <v/>
      </c>
      <c r="K70" s="40" t="str">
        <f aca="false">IF($I70="","",LEN($I70))</f>
        <v/>
      </c>
      <c r="L70" s="13"/>
      <c r="M70" s="13"/>
      <c r="N70" s="13"/>
      <c r="O70" s="13"/>
      <c r="P70" s="152"/>
      <c r="Q70" s="149"/>
      <c r="R70" s="152"/>
      <c r="S70" s="152"/>
      <c r="T70" s="62" t="str">
        <f aca="false">IF(OR($C70="",R70=""),"",IF(R70/IF($R$2="",100,$R$2)&gt;=設定!$I$28,設定!$G$8,IF(R70/IF($R$2="",100,$R$2)&lt;設定!$I$29,設定!$G$10,設定!$G$9)))</f>
        <v/>
      </c>
      <c r="U70" s="62" t="str">
        <f aca="false">IF(OR($C70="",S70=""),"",IF(S70/IF($S$2="",100,$S$2)&gt;=設定!$I$28,設定!$G$8,IF(S70/IF($S$2="",100,$S$2)&lt;設定!$I$29,設定!$G$10,設定!$G$9)))</f>
        <v/>
      </c>
    </row>
    <row r="71" customFormat="false" ht="21" hidden="false" customHeight="true" outlineLevel="0" collapsed="false">
      <c r="A71" s="91" t="str">
        <f aca="false">IF(名簿!$D71="","",名簿!$B71&amp;"")</f>
        <v/>
      </c>
      <c r="B71" s="91" t="str">
        <f aca="false">IF(名簿!$D71="","",名簿!$C71)</f>
        <v/>
      </c>
      <c r="C71" s="59" t="str">
        <f aca="false">IF(名簿!$D71="","",名簿!$D71&amp;IF(名簿!$F71="転出","（転出）",""))</f>
        <v/>
      </c>
      <c r="D71" s="149"/>
      <c r="E71" s="61" t="str">
        <f aca="false">IF(OR($C71="",名簿!$F71="転出"),"",IF($C$2="学級ごと",$A71,IF($C$2="前の単元と同じ",単元18!$E71&amp;"",$D71&amp;"")))</f>
        <v/>
      </c>
      <c r="F71" s="150"/>
      <c r="G71" s="150"/>
      <c r="H71" s="150"/>
      <c r="I71" s="151"/>
      <c r="J71" s="41" t="str">
        <f aca="false">IF($E71="","",$E71&amp;"|"&amp;COUNTIF($E$5:$E71,$E71))</f>
        <v/>
      </c>
      <c r="K71" s="40" t="str">
        <f aca="false">IF($I71="","",LEN($I71))</f>
        <v/>
      </c>
      <c r="L71" s="13"/>
      <c r="M71" s="13"/>
      <c r="N71" s="13"/>
      <c r="O71" s="13"/>
      <c r="P71" s="152"/>
      <c r="Q71" s="149"/>
      <c r="R71" s="152"/>
      <c r="S71" s="152"/>
      <c r="T71" s="62" t="str">
        <f aca="false">IF(OR($C71="",R71=""),"",IF(R71/IF($R$2="",100,$R$2)&gt;=設定!$I$28,設定!$G$8,IF(R71/IF($R$2="",100,$R$2)&lt;設定!$I$29,設定!$G$10,設定!$G$9)))</f>
        <v/>
      </c>
      <c r="U71" s="62" t="str">
        <f aca="false">IF(OR($C71="",S71=""),"",IF(S71/IF($S$2="",100,$S$2)&gt;=設定!$I$28,設定!$G$8,IF(S71/IF($S$2="",100,$S$2)&lt;設定!$I$29,設定!$G$10,設定!$G$9)))</f>
        <v/>
      </c>
    </row>
    <row r="72" customFormat="false" ht="21" hidden="false" customHeight="true" outlineLevel="0" collapsed="false">
      <c r="A72" s="91" t="str">
        <f aca="false">IF(名簿!$D72="","",名簿!$B72&amp;"")</f>
        <v/>
      </c>
      <c r="B72" s="91" t="str">
        <f aca="false">IF(名簿!$D72="","",名簿!$C72)</f>
        <v/>
      </c>
      <c r="C72" s="59" t="str">
        <f aca="false">IF(名簿!$D72="","",名簿!$D72&amp;IF(名簿!$F72="転出","（転出）",""))</f>
        <v/>
      </c>
      <c r="D72" s="149"/>
      <c r="E72" s="61" t="str">
        <f aca="false">IF(OR($C72="",名簿!$F72="転出"),"",IF($C$2="学級ごと",$A72,IF($C$2="前の単元と同じ",単元18!$E72&amp;"",$D72&amp;"")))</f>
        <v/>
      </c>
      <c r="F72" s="150"/>
      <c r="G72" s="150"/>
      <c r="H72" s="150"/>
      <c r="I72" s="151"/>
      <c r="J72" s="41" t="str">
        <f aca="false">IF($E72="","",$E72&amp;"|"&amp;COUNTIF($E$5:$E72,$E72))</f>
        <v/>
      </c>
      <c r="K72" s="40" t="str">
        <f aca="false">IF($I72="","",LEN($I72))</f>
        <v/>
      </c>
      <c r="L72" s="13"/>
      <c r="M72" s="13"/>
      <c r="N72" s="13"/>
      <c r="O72" s="13"/>
      <c r="P72" s="152"/>
      <c r="Q72" s="149"/>
      <c r="R72" s="152"/>
      <c r="S72" s="152"/>
      <c r="T72" s="62" t="str">
        <f aca="false">IF(OR($C72="",R72=""),"",IF(R72/IF($R$2="",100,$R$2)&gt;=設定!$I$28,設定!$G$8,IF(R72/IF($R$2="",100,$R$2)&lt;設定!$I$29,設定!$G$10,設定!$G$9)))</f>
        <v/>
      </c>
      <c r="U72" s="62" t="str">
        <f aca="false">IF(OR($C72="",S72=""),"",IF(S72/IF($S$2="",100,$S$2)&gt;=設定!$I$28,設定!$G$8,IF(S72/IF($S$2="",100,$S$2)&lt;設定!$I$29,設定!$G$10,設定!$G$9)))</f>
        <v/>
      </c>
    </row>
    <row r="73" customFormat="false" ht="21" hidden="false" customHeight="true" outlineLevel="0" collapsed="false">
      <c r="A73" s="91" t="str">
        <f aca="false">IF(名簿!$D73="","",名簿!$B73&amp;"")</f>
        <v/>
      </c>
      <c r="B73" s="91" t="str">
        <f aca="false">IF(名簿!$D73="","",名簿!$C73)</f>
        <v/>
      </c>
      <c r="C73" s="59" t="str">
        <f aca="false">IF(名簿!$D73="","",名簿!$D73&amp;IF(名簿!$F73="転出","（転出）",""))</f>
        <v/>
      </c>
      <c r="D73" s="149"/>
      <c r="E73" s="61" t="str">
        <f aca="false">IF(OR($C73="",名簿!$F73="転出"),"",IF($C$2="学級ごと",$A73,IF($C$2="前の単元と同じ",単元18!$E73&amp;"",$D73&amp;"")))</f>
        <v/>
      </c>
      <c r="F73" s="150"/>
      <c r="G73" s="150"/>
      <c r="H73" s="150"/>
      <c r="I73" s="151"/>
      <c r="J73" s="41" t="str">
        <f aca="false">IF($E73="","",$E73&amp;"|"&amp;COUNTIF($E$5:$E73,$E73))</f>
        <v/>
      </c>
      <c r="K73" s="40" t="str">
        <f aca="false">IF($I73="","",LEN($I73))</f>
        <v/>
      </c>
      <c r="L73" s="13"/>
      <c r="M73" s="13"/>
      <c r="N73" s="13"/>
      <c r="O73" s="13"/>
      <c r="P73" s="152"/>
      <c r="Q73" s="149"/>
      <c r="R73" s="152"/>
      <c r="S73" s="152"/>
      <c r="T73" s="62" t="str">
        <f aca="false">IF(OR($C73="",R73=""),"",IF(R73/IF($R$2="",100,$R$2)&gt;=設定!$I$28,設定!$G$8,IF(R73/IF($R$2="",100,$R$2)&lt;設定!$I$29,設定!$G$10,設定!$G$9)))</f>
        <v/>
      </c>
      <c r="U73" s="62" t="str">
        <f aca="false">IF(OR($C73="",S73=""),"",IF(S73/IF($S$2="",100,$S$2)&gt;=設定!$I$28,設定!$G$8,IF(S73/IF($S$2="",100,$S$2)&lt;設定!$I$29,設定!$G$10,設定!$G$9)))</f>
        <v/>
      </c>
    </row>
    <row r="74" customFormat="false" ht="21" hidden="false" customHeight="true" outlineLevel="0" collapsed="false">
      <c r="A74" s="91" t="str">
        <f aca="false">IF(名簿!$D74="","",名簿!$B74&amp;"")</f>
        <v/>
      </c>
      <c r="B74" s="91" t="str">
        <f aca="false">IF(名簿!$D74="","",名簿!$C74)</f>
        <v/>
      </c>
      <c r="C74" s="59" t="str">
        <f aca="false">IF(名簿!$D74="","",名簿!$D74&amp;IF(名簿!$F74="転出","（転出）",""))</f>
        <v/>
      </c>
      <c r="D74" s="149"/>
      <c r="E74" s="61" t="str">
        <f aca="false">IF(OR($C74="",名簿!$F74="転出"),"",IF($C$2="学級ごと",$A74,IF($C$2="前の単元と同じ",単元18!$E74&amp;"",$D74&amp;"")))</f>
        <v/>
      </c>
      <c r="F74" s="150"/>
      <c r="G74" s="150"/>
      <c r="H74" s="150"/>
      <c r="I74" s="151"/>
      <c r="J74" s="41" t="str">
        <f aca="false">IF($E74="","",$E74&amp;"|"&amp;COUNTIF($E$5:$E74,$E74))</f>
        <v/>
      </c>
      <c r="K74" s="40" t="str">
        <f aca="false">IF($I74="","",LEN($I74))</f>
        <v/>
      </c>
      <c r="L74" s="13"/>
      <c r="M74" s="13"/>
      <c r="N74" s="13"/>
      <c r="O74" s="13"/>
      <c r="P74" s="152"/>
      <c r="Q74" s="149"/>
      <c r="R74" s="152"/>
      <c r="S74" s="152"/>
      <c r="T74" s="62" t="str">
        <f aca="false">IF(OR($C74="",R74=""),"",IF(R74/IF($R$2="",100,$R$2)&gt;=設定!$I$28,設定!$G$8,IF(R74/IF($R$2="",100,$R$2)&lt;設定!$I$29,設定!$G$10,設定!$G$9)))</f>
        <v/>
      </c>
      <c r="U74" s="62" t="str">
        <f aca="false">IF(OR($C74="",S74=""),"",IF(S74/IF($S$2="",100,$S$2)&gt;=設定!$I$28,設定!$G$8,IF(S74/IF($S$2="",100,$S$2)&lt;設定!$I$29,設定!$G$10,設定!$G$9)))</f>
        <v/>
      </c>
    </row>
    <row r="75" customFormat="false" ht="21" hidden="false" customHeight="true" outlineLevel="0" collapsed="false">
      <c r="A75" s="91" t="str">
        <f aca="false">IF(名簿!$D75="","",名簿!$B75&amp;"")</f>
        <v/>
      </c>
      <c r="B75" s="91" t="str">
        <f aca="false">IF(名簿!$D75="","",名簿!$C75)</f>
        <v/>
      </c>
      <c r="C75" s="59" t="str">
        <f aca="false">IF(名簿!$D75="","",名簿!$D75&amp;IF(名簿!$F75="転出","（転出）",""))</f>
        <v/>
      </c>
      <c r="D75" s="149"/>
      <c r="E75" s="61" t="str">
        <f aca="false">IF(OR($C75="",名簿!$F75="転出"),"",IF($C$2="学級ごと",$A75,IF($C$2="前の単元と同じ",単元18!$E75&amp;"",$D75&amp;"")))</f>
        <v/>
      </c>
      <c r="F75" s="150"/>
      <c r="G75" s="150"/>
      <c r="H75" s="150"/>
      <c r="I75" s="151"/>
      <c r="J75" s="41" t="str">
        <f aca="false">IF($E75="","",$E75&amp;"|"&amp;COUNTIF($E$5:$E75,$E75))</f>
        <v/>
      </c>
      <c r="K75" s="40" t="str">
        <f aca="false">IF($I75="","",LEN($I75))</f>
        <v/>
      </c>
      <c r="L75" s="13"/>
      <c r="M75" s="13"/>
      <c r="N75" s="13"/>
      <c r="O75" s="13"/>
      <c r="P75" s="152"/>
      <c r="Q75" s="149"/>
      <c r="R75" s="152"/>
      <c r="S75" s="152"/>
      <c r="T75" s="62" t="str">
        <f aca="false">IF(OR($C75="",R75=""),"",IF(R75/IF($R$2="",100,$R$2)&gt;=設定!$I$28,設定!$G$8,IF(R75/IF($R$2="",100,$R$2)&lt;設定!$I$29,設定!$G$10,設定!$G$9)))</f>
        <v/>
      </c>
      <c r="U75" s="62" t="str">
        <f aca="false">IF(OR($C75="",S75=""),"",IF(S75/IF($S$2="",100,$S$2)&gt;=設定!$I$28,設定!$G$8,IF(S75/IF($S$2="",100,$S$2)&lt;設定!$I$29,設定!$G$10,設定!$G$9)))</f>
        <v/>
      </c>
    </row>
    <row r="76" customFormat="false" ht="21" hidden="false" customHeight="true" outlineLevel="0" collapsed="false">
      <c r="A76" s="91" t="str">
        <f aca="false">IF(名簿!$D76="","",名簿!$B76&amp;"")</f>
        <v/>
      </c>
      <c r="B76" s="91" t="str">
        <f aca="false">IF(名簿!$D76="","",名簿!$C76)</f>
        <v/>
      </c>
      <c r="C76" s="59" t="str">
        <f aca="false">IF(名簿!$D76="","",名簿!$D76&amp;IF(名簿!$F76="転出","（転出）",""))</f>
        <v/>
      </c>
      <c r="D76" s="149"/>
      <c r="E76" s="61" t="str">
        <f aca="false">IF(OR($C76="",名簿!$F76="転出"),"",IF($C$2="学級ごと",$A76,IF($C$2="前の単元と同じ",単元18!$E76&amp;"",$D76&amp;"")))</f>
        <v/>
      </c>
      <c r="F76" s="150"/>
      <c r="G76" s="150"/>
      <c r="H76" s="150"/>
      <c r="I76" s="151"/>
      <c r="J76" s="41" t="str">
        <f aca="false">IF($E76="","",$E76&amp;"|"&amp;COUNTIF($E$5:$E76,$E76))</f>
        <v/>
      </c>
      <c r="K76" s="40" t="str">
        <f aca="false">IF($I76="","",LEN($I76))</f>
        <v/>
      </c>
      <c r="L76" s="13"/>
      <c r="M76" s="13"/>
      <c r="N76" s="13"/>
      <c r="O76" s="13"/>
      <c r="P76" s="152"/>
      <c r="Q76" s="149"/>
      <c r="R76" s="152"/>
      <c r="S76" s="152"/>
      <c r="T76" s="62" t="str">
        <f aca="false">IF(OR($C76="",R76=""),"",IF(R76/IF($R$2="",100,$R$2)&gt;=設定!$I$28,設定!$G$8,IF(R76/IF($R$2="",100,$R$2)&lt;設定!$I$29,設定!$G$10,設定!$G$9)))</f>
        <v/>
      </c>
      <c r="U76" s="62" t="str">
        <f aca="false">IF(OR($C76="",S76=""),"",IF(S76/IF($S$2="",100,$S$2)&gt;=設定!$I$28,設定!$G$8,IF(S76/IF($S$2="",100,$S$2)&lt;設定!$I$29,設定!$G$10,設定!$G$9)))</f>
        <v/>
      </c>
    </row>
    <row r="77" customFormat="false" ht="21" hidden="false" customHeight="true" outlineLevel="0" collapsed="false">
      <c r="A77" s="91" t="str">
        <f aca="false">IF(名簿!$D77="","",名簿!$B77&amp;"")</f>
        <v/>
      </c>
      <c r="B77" s="91" t="str">
        <f aca="false">IF(名簿!$D77="","",名簿!$C77)</f>
        <v/>
      </c>
      <c r="C77" s="59" t="str">
        <f aca="false">IF(名簿!$D77="","",名簿!$D77&amp;IF(名簿!$F77="転出","（転出）",""))</f>
        <v/>
      </c>
      <c r="D77" s="149"/>
      <c r="E77" s="61" t="str">
        <f aca="false">IF(OR($C77="",名簿!$F77="転出"),"",IF($C$2="学級ごと",$A77,IF($C$2="前の単元と同じ",単元18!$E77&amp;"",$D77&amp;"")))</f>
        <v/>
      </c>
      <c r="F77" s="150"/>
      <c r="G77" s="150"/>
      <c r="H77" s="150"/>
      <c r="I77" s="151"/>
      <c r="J77" s="41" t="str">
        <f aca="false">IF($E77="","",$E77&amp;"|"&amp;COUNTIF($E$5:$E77,$E77))</f>
        <v/>
      </c>
      <c r="K77" s="40" t="str">
        <f aca="false">IF($I77="","",LEN($I77))</f>
        <v/>
      </c>
      <c r="L77" s="13"/>
      <c r="M77" s="13"/>
      <c r="N77" s="13"/>
      <c r="O77" s="13"/>
      <c r="P77" s="152"/>
      <c r="Q77" s="149"/>
      <c r="R77" s="152"/>
      <c r="S77" s="152"/>
      <c r="T77" s="62" t="str">
        <f aca="false">IF(OR($C77="",R77=""),"",IF(R77/IF($R$2="",100,$R$2)&gt;=設定!$I$28,設定!$G$8,IF(R77/IF($R$2="",100,$R$2)&lt;設定!$I$29,設定!$G$10,設定!$G$9)))</f>
        <v/>
      </c>
      <c r="U77" s="62" t="str">
        <f aca="false">IF(OR($C77="",S77=""),"",IF(S77/IF($S$2="",100,$S$2)&gt;=設定!$I$28,設定!$G$8,IF(S77/IF($S$2="",100,$S$2)&lt;設定!$I$29,設定!$G$10,設定!$G$9)))</f>
        <v/>
      </c>
    </row>
    <row r="78" customFormat="false" ht="21" hidden="false" customHeight="true" outlineLevel="0" collapsed="false">
      <c r="A78" s="91" t="str">
        <f aca="false">IF(名簿!$D78="","",名簿!$B78&amp;"")</f>
        <v/>
      </c>
      <c r="B78" s="91" t="str">
        <f aca="false">IF(名簿!$D78="","",名簿!$C78)</f>
        <v/>
      </c>
      <c r="C78" s="59" t="str">
        <f aca="false">IF(名簿!$D78="","",名簿!$D78&amp;IF(名簿!$F78="転出","（転出）",""))</f>
        <v/>
      </c>
      <c r="D78" s="149"/>
      <c r="E78" s="61" t="str">
        <f aca="false">IF(OR($C78="",名簿!$F78="転出"),"",IF($C$2="学級ごと",$A78,IF($C$2="前の単元と同じ",単元18!$E78&amp;"",$D78&amp;"")))</f>
        <v/>
      </c>
      <c r="F78" s="150"/>
      <c r="G78" s="150"/>
      <c r="H78" s="150"/>
      <c r="I78" s="151"/>
      <c r="J78" s="41" t="str">
        <f aca="false">IF($E78="","",$E78&amp;"|"&amp;COUNTIF($E$5:$E78,$E78))</f>
        <v/>
      </c>
      <c r="K78" s="40" t="str">
        <f aca="false">IF($I78="","",LEN($I78))</f>
        <v/>
      </c>
      <c r="L78" s="13"/>
      <c r="M78" s="13"/>
      <c r="N78" s="13"/>
      <c r="O78" s="13"/>
      <c r="P78" s="152"/>
      <c r="Q78" s="149"/>
      <c r="R78" s="152"/>
      <c r="S78" s="152"/>
      <c r="T78" s="62" t="str">
        <f aca="false">IF(OR($C78="",R78=""),"",IF(R78/IF($R$2="",100,$R$2)&gt;=設定!$I$28,設定!$G$8,IF(R78/IF($R$2="",100,$R$2)&lt;設定!$I$29,設定!$G$10,設定!$G$9)))</f>
        <v/>
      </c>
      <c r="U78" s="62" t="str">
        <f aca="false">IF(OR($C78="",S78=""),"",IF(S78/IF($S$2="",100,$S$2)&gt;=設定!$I$28,設定!$G$8,IF(S78/IF($S$2="",100,$S$2)&lt;設定!$I$29,設定!$G$10,設定!$G$9)))</f>
        <v/>
      </c>
    </row>
    <row r="79" customFormat="false" ht="21" hidden="false" customHeight="true" outlineLevel="0" collapsed="false">
      <c r="A79" s="91" t="str">
        <f aca="false">IF(名簿!$D79="","",名簿!$B79&amp;"")</f>
        <v/>
      </c>
      <c r="B79" s="91" t="str">
        <f aca="false">IF(名簿!$D79="","",名簿!$C79)</f>
        <v/>
      </c>
      <c r="C79" s="59" t="str">
        <f aca="false">IF(名簿!$D79="","",名簿!$D79&amp;IF(名簿!$F79="転出","（転出）",""))</f>
        <v/>
      </c>
      <c r="D79" s="149"/>
      <c r="E79" s="61" t="str">
        <f aca="false">IF(OR($C79="",名簿!$F79="転出"),"",IF($C$2="学級ごと",$A79,IF($C$2="前の単元と同じ",単元18!$E79&amp;"",$D79&amp;"")))</f>
        <v/>
      </c>
      <c r="F79" s="150"/>
      <c r="G79" s="150"/>
      <c r="H79" s="150"/>
      <c r="I79" s="151"/>
      <c r="J79" s="41" t="str">
        <f aca="false">IF($E79="","",$E79&amp;"|"&amp;COUNTIF($E$5:$E79,$E79))</f>
        <v/>
      </c>
      <c r="K79" s="40" t="str">
        <f aca="false">IF($I79="","",LEN($I79))</f>
        <v/>
      </c>
      <c r="L79" s="13"/>
      <c r="M79" s="13"/>
      <c r="N79" s="13"/>
      <c r="O79" s="13"/>
      <c r="P79" s="152"/>
      <c r="Q79" s="149"/>
      <c r="R79" s="152"/>
      <c r="S79" s="152"/>
      <c r="T79" s="62" t="str">
        <f aca="false">IF(OR($C79="",R79=""),"",IF(R79/IF($R$2="",100,$R$2)&gt;=設定!$I$28,設定!$G$8,IF(R79/IF($R$2="",100,$R$2)&lt;設定!$I$29,設定!$G$10,設定!$G$9)))</f>
        <v/>
      </c>
      <c r="U79" s="62" t="str">
        <f aca="false">IF(OR($C79="",S79=""),"",IF(S79/IF($S$2="",100,$S$2)&gt;=設定!$I$28,設定!$G$8,IF(S79/IF($S$2="",100,$S$2)&lt;設定!$I$29,設定!$G$10,設定!$G$9)))</f>
        <v/>
      </c>
    </row>
    <row r="80" customFormat="false" ht="21" hidden="false" customHeight="true" outlineLevel="0" collapsed="false">
      <c r="A80" s="91" t="str">
        <f aca="false">IF(名簿!$D80="","",名簿!$B80&amp;"")</f>
        <v/>
      </c>
      <c r="B80" s="91" t="str">
        <f aca="false">IF(名簿!$D80="","",名簿!$C80)</f>
        <v/>
      </c>
      <c r="C80" s="59" t="str">
        <f aca="false">IF(名簿!$D80="","",名簿!$D80&amp;IF(名簿!$F80="転出","（転出）",""))</f>
        <v/>
      </c>
      <c r="D80" s="149"/>
      <c r="E80" s="61" t="str">
        <f aca="false">IF(OR($C80="",名簿!$F80="転出"),"",IF($C$2="学級ごと",$A80,IF($C$2="前の単元と同じ",単元18!$E80&amp;"",$D80&amp;"")))</f>
        <v/>
      </c>
      <c r="F80" s="150"/>
      <c r="G80" s="150"/>
      <c r="H80" s="150"/>
      <c r="I80" s="151"/>
      <c r="J80" s="41" t="str">
        <f aca="false">IF($E80="","",$E80&amp;"|"&amp;COUNTIF($E$5:$E80,$E80))</f>
        <v/>
      </c>
      <c r="K80" s="40" t="str">
        <f aca="false">IF($I80="","",LEN($I80))</f>
        <v/>
      </c>
      <c r="L80" s="13"/>
      <c r="M80" s="13"/>
      <c r="N80" s="13"/>
      <c r="O80" s="13"/>
      <c r="P80" s="152"/>
      <c r="Q80" s="149"/>
      <c r="R80" s="152"/>
      <c r="S80" s="152"/>
      <c r="T80" s="62" t="str">
        <f aca="false">IF(OR($C80="",R80=""),"",IF(R80/IF($R$2="",100,$R$2)&gt;=設定!$I$28,設定!$G$8,IF(R80/IF($R$2="",100,$R$2)&lt;設定!$I$29,設定!$G$10,設定!$G$9)))</f>
        <v/>
      </c>
      <c r="U80" s="62" t="str">
        <f aca="false">IF(OR($C80="",S80=""),"",IF(S80/IF($S$2="",100,$S$2)&gt;=設定!$I$28,設定!$G$8,IF(S80/IF($S$2="",100,$S$2)&lt;設定!$I$29,設定!$G$10,設定!$G$9)))</f>
        <v/>
      </c>
    </row>
    <row r="81" customFormat="false" ht="21" hidden="false" customHeight="true" outlineLevel="0" collapsed="false">
      <c r="A81" s="91" t="str">
        <f aca="false">IF(名簿!$D81="","",名簿!$B81&amp;"")</f>
        <v/>
      </c>
      <c r="B81" s="91" t="str">
        <f aca="false">IF(名簿!$D81="","",名簿!$C81)</f>
        <v/>
      </c>
      <c r="C81" s="59" t="str">
        <f aca="false">IF(名簿!$D81="","",名簿!$D81&amp;IF(名簿!$F81="転出","（転出）",""))</f>
        <v/>
      </c>
      <c r="D81" s="149"/>
      <c r="E81" s="61" t="str">
        <f aca="false">IF(OR($C81="",名簿!$F81="転出"),"",IF($C$2="学級ごと",$A81,IF($C$2="前の単元と同じ",単元18!$E81&amp;"",$D81&amp;"")))</f>
        <v/>
      </c>
      <c r="F81" s="150"/>
      <c r="G81" s="150"/>
      <c r="H81" s="150"/>
      <c r="I81" s="151"/>
      <c r="J81" s="41" t="str">
        <f aca="false">IF($E81="","",$E81&amp;"|"&amp;COUNTIF($E$5:$E81,$E81))</f>
        <v/>
      </c>
      <c r="K81" s="40" t="str">
        <f aca="false">IF($I81="","",LEN($I81))</f>
        <v/>
      </c>
      <c r="L81" s="13"/>
      <c r="M81" s="13"/>
      <c r="N81" s="13"/>
      <c r="O81" s="13"/>
      <c r="P81" s="152"/>
      <c r="Q81" s="149"/>
      <c r="R81" s="152"/>
      <c r="S81" s="152"/>
      <c r="T81" s="62" t="str">
        <f aca="false">IF(OR($C81="",R81=""),"",IF(R81/IF($R$2="",100,$R$2)&gt;=設定!$I$28,設定!$G$8,IF(R81/IF($R$2="",100,$R$2)&lt;設定!$I$29,設定!$G$10,設定!$G$9)))</f>
        <v/>
      </c>
      <c r="U81" s="62" t="str">
        <f aca="false">IF(OR($C81="",S81=""),"",IF(S81/IF($S$2="",100,$S$2)&gt;=設定!$I$28,設定!$G$8,IF(S81/IF($S$2="",100,$S$2)&lt;設定!$I$29,設定!$G$10,設定!$G$9)))</f>
        <v/>
      </c>
    </row>
    <row r="82" customFormat="false" ht="21" hidden="false" customHeight="true" outlineLevel="0" collapsed="false">
      <c r="A82" s="91" t="str">
        <f aca="false">IF(名簿!$D82="","",名簿!$B82&amp;"")</f>
        <v/>
      </c>
      <c r="B82" s="91" t="str">
        <f aca="false">IF(名簿!$D82="","",名簿!$C82)</f>
        <v/>
      </c>
      <c r="C82" s="59" t="str">
        <f aca="false">IF(名簿!$D82="","",名簿!$D82&amp;IF(名簿!$F82="転出","（転出）",""))</f>
        <v/>
      </c>
      <c r="D82" s="149"/>
      <c r="E82" s="61" t="str">
        <f aca="false">IF(OR($C82="",名簿!$F82="転出"),"",IF($C$2="学級ごと",$A82,IF($C$2="前の単元と同じ",単元18!$E82&amp;"",$D82&amp;"")))</f>
        <v/>
      </c>
      <c r="F82" s="150"/>
      <c r="G82" s="150"/>
      <c r="H82" s="150"/>
      <c r="I82" s="151"/>
      <c r="J82" s="41" t="str">
        <f aca="false">IF($E82="","",$E82&amp;"|"&amp;COUNTIF($E$5:$E82,$E82))</f>
        <v/>
      </c>
      <c r="K82" s="40" t="str">
        <f aca="false">IF($I82="","",LEN($I82))</f>
        <v/>
      </c>
      <c r="L82" s="13"/>
      <c r="M82" s="13"/>
      <c r="N82" s="13"/>
      <c r="O82" s="13"/>
      <c r="P82" s="152"/>
      <c r="Q82" s="149"/>
      <c r="R82" s="152"/>
      <c r="S82" s="152"/>
      <c r="T82" s="62" t="str">
        <f aca="false">IF(OR($C82="",R82=""),"",IF(R82/IF($R$2="",100,$R$2)&gt;=設定!$I$28,設定!$G$8,IF(R82/IF($R$2="",100,$R$2)&lt;設定!$I$29,設定!$G$10,設定!$G$9)))</f>
        <v/>
      </c>
      <c r="U82" s="62" t="str">
        <f aca="false">IF(OR($C82="",S82=""),"",IF(S82/IF($S$2="",100,$S$2)&gt;=設定!$I$28,設定!$G$8,IF(S82/IF($S$2="",100,$S$2)&lt;設定!$I$29,設定!$G$10,設定!$G$9)))</f>
        <v/>
      </c>
    </row>
    <row r="83" customFormat="false" ht="21" hidden="false" customHeight="true" outlineLevel="0" collapsed="false">
      <c r="A83" s="91" t="str">
        <f aca="false">IF(名簿!$D83="","",名簿!$B83&amp;"")</f>
        <v/>
      </c>
      <c r="B83" s="91" t="str">
        <f aca="false">IF(名簿!$D83="","",名簿!$C83)</f>
        <v/>
      </c>
      <c r="C83" s="59" t="str">
        <f aca="false">IF(名簿!$D83="","",名簿!$D83&amp;IF(名簿!$F83="転出","（転出）",""))</f>
        <v/>
      </c>
      <c r="D83" s="149"/>
      <c r="E83" s="61" t="str">
        <f aca="false">IF(OR($C83="",名簿!$F83="転出"),"",IF($C$2="学級ごと",$A83,IF($C$2="前の単元と同じ",単元18!$E83&amp;"",$D83&amp;"")))</f>
        <v/>
      </c>
      <c r="F83" s="150"/>
      <c r="G83" s="150"/>
      <c r="H83" s="150"/>
      <c r="I83" s="151"/>
      <c r="J83" s="41" t="str">
        <f aca="false">IF($E83="","",$E83&amp;"|"&amp;COUNTIF($E$5:$E83,$E83))</f>
        <v/>
      </c>
      <c r="K83" s="40" t="str">
        <f aca="false">IF($I83="","",LEN($I83))</f>
        <v/>
      </c>
      <c r="L83" s="13"/>
      <c r="M83" s="13"/>
      <c r="N83" s="13"/>
      <c r="O83" s="13"/>
      <c r="P83" s="152"/>
      <c r="Q83" s="149"/>
      <c r="R83" s="152"/>
      <c r="S83" s="152"/>
      <c r="T83" s="62" t="str">
        <f aca="false">IF(OR($C83="",R83=""),"",IF(R83/IF($R$2="",100,$R$2)&gt;=設定!$I$28,設定!$G$8,IF(R83/IF($R$2="",100,$R$2)&lt;設定!$I$29,設定!$G$10,設定!$G$9)))</f>
        <v/>
      </c>
      <c r="U83" s="62" t="str">
        <f aca="false">IF(OR($C83="",S83=""),"",IF(S83/IF($S$2="",100,$S$2)&gt;=設定!$I$28,設定!$G$8,IF(S83/IF($S$2="",100,$S$2)&lt;設定!$I$29,設定!$G$10,設定!$G$9)))</f>
        <v/>
      </c>
    </row>
    <row r="84" customFormat="false" ht="21" hidden="false" customHeight="true" outlineLevel="0" collapsed="false">
      <c r="A84" s="91" t="str">
        <f aca="false">IF(名簿!$D84="","",名簿!$B84&amp;"")</f>
        <v/>
      </c>
      <c r="B84" s="91" t="str">
        <f aca="false">IF(名簿!$D84="","",名簿!$C84)</f>
        <v/>
      </c>
      <c r="C84" s="59" t="str">
        <f aca="false">IF(名簿!$D84="","",名簿!$D84&amp;IF(名簿!$F84="転出","（転出）",""))</f>
        <v/>
      </c>
      <c r="D84" s="149"/>
      <c r="E84" s="61" t="str">
        <f aca="false">IF(OR($C84="",名簿!$F84="転出"),"",IF($C$2="学級ごと",$A84,IF($C$2="前の単元と同じ",単元18!$E84&amp;"",$D84&amp;"")))</f>
        <v/>
      </c>
      <c r="F84" s="150"/>
      <c r="G84" s="150"/>
      <c r="H84" s="150"/>
      <c r="I84" s="151"/>
      <c r="J84" s="41" t="str">
        <f aca="false">IF($E84="","",$E84&amp;"|"&amp;COUNTIF($E$5:$E84,$E84))</f>
        <v/>
      </c>
      <c r="K84" s="40" t="str">
        <f aca="false">IF($I84="","",LEN($I84))</f>
        <v/>
      </c>
      <c r="L84" s="13"/>
      <c r="M84" s="13"/>
      <c r="N84" s="13"/>
      <c r="O84" s="13"/>
      <c r="P84" s="152"/>
      <c r="Q84" s="149"/>
      <c r="R84" s="152"/>
      <c r="S84" s="152"/>
      <c r="T84" s="62" t="str">
        <f aca="false">IF(OR($C84="",R84=""),"",IF(R84/IF($R$2="",100,$R$2)&gt;=設定!$I$28,設定!$G$8,IF(R84/IF($R$2="",100,$R$2)&lt;設定!$I$29,設定!$G$10,設定!$G$9)))</f>
        <v/>
      </c>
      <c r="U84" s="62" t="str">
        <f aca="false">IF(OR($C84="",S84=""),"",IF(S84/IF($S$2="",100,$S$2)&gt;=設定!$I$28,設定!$G$8,IF(S84/IF($S$2="",100,$S$2)&lt;設定!$I$29,設定!$G$10,設定!$G$9)))</f>
        <v/>
      </c>
    </row>
    <row r="85" customFormat="false" ht="21" hidden="false" customHeight="true" outlineLevel="0" collapsed="false">
      <c r="A85" s="91" t="str">
        <f aca="false">IF(名簿!$D85="","",名簿!$B85&amp;"")</f>
        <v/>
      </c>
      <c r="B85" s="91" t="str">
        <f aca="false">IF(名簿!$D85="","",名簿!$C85)</f>
        <v/>
      </c>
      <c r="C85" s="59" t="str">
        <f aca="false">IF(名簿!$D85="","",名簿!$D85&amp;IF(名簿!$F85="転出","（転出）",""))</f>
        <v/>
      </c>
      <c r="D85" s="149"/>
      <c r="E85" s="61" t="str">
        <f aca="false">IF(OR($C85="",名簿!$F85="転出"),"",IF($C$2="学級ごと",$A85,IF($C$2="前の単元と同じ",単元18!$E85&amp;"",$D85&amp;"")))</f>
        <v/>
      </c>
      <c r="F85" s="150"/>
      <c r="G85" s="150"/>
      <c r="H85" s="150"/>
      <c r="I85" s="151"/>
      <c r="J85" s="41" t="str">
        <f aca="false">IF($E85="","",$E85&amp;"|"&amp;COUNTIF($E$5:$E85,$E85))</f>
        <v/>
      </c>
      <c r="K85" s="40" t="str">
        <f aca="false">IF($I85="","",LEN($I85))</f>
        <v/>
      </c>
      <c r="L85" s="13"/>
      <c r="M85" s="13"/>
      <c r="N85" s="13"/>
      <c r="O85" s="13"/>
      <c r="P85" s="152"/>
      <c r="Q85" s="149"/>
      <c r="R85" s="152"/>
      <c r="S85" s="152"/>
      <c r="T85" s="62" t="str">
        <f aca="false">IF(OR($C85="",R85=""),"",IF(R85/IF($R$2="",100,$R$2)&gt;=設定!$I$28,設定!$G$8,IF(R85/IF($R$2="",100,$R$2)&lt;設定!$I$29,設定!$G$10,設定!$G$9)))</f>
        <v/>
      </c>
      <c r="U85" s="62" t="str">
        <f aca="false">IF(OR($C85="",S85=""),"",IF(S85/IF($S$2="",100,$S$2)&gt;=設定!$I$28,設定!$G$8,IF(S85/IF($S$2="",100,$S$2)&lt;設定!$I$29,設定!$G$10,設定!$G$9)))</f>
        <v/>
      </c>
    </row>
    <row r="86" customFormat="false" ht="21" hidden="false" customHeight="true" outlineLevel="0" collapsed="false">
      <c r="A86" s="91" t="str">
        <f aca="false">IF(名簿!$D86="","",名簿!$B86&amp;"")</f>
        <v/>
      </c>
      <c r="B86" s="91" t="str">
        <f aca="false">IF(名簿!$D86="","",名簿!$C86)</f>
        <v/>
      </c>
      <c r="C86" s="59" t="str">
        <f aca="false">IF(名簿!$D86="","",名簿!$D86&amp;IF(名簿!$F86="転出","（転出）",""))</f>
        <v/>
      </c>
      <c r="D86" s="149"/>
      <c r="E86" s="61" t="str">
        <f aca="false">IF(OR($C86="",名簿!$F86="転出"),"",IF($C$2="学級ごと",$A86,IF($C$2="前の単元と同じ",単元18!$E86&amp;"",$D86&amp;"")))</f>
        <v/>
      </c>
      <c r="F86" s="150"/>
      <c r="G86" s="150"/>
      <c r="H86" s="150"/>
      <c r="I86" s="151"/>
      <c r="J86" s="41" t="str">
        <f aca="false">IF($E86="","",$E86&amp;"|"&amp;COUNTIF($E$5:$E86,$E86))</f>
        <v/>
      </c>
      <c r="K86" s="40" t="str">
        <f aca="false">IF($I86="","",LEN($I86))</f>
        <v/>
      </c>
      <c r="L86" s="13"/>
      <c r="M86" s="13"/>
      <c r="N86" s="13"/>
      <c r="O86" s="13"/>
      <c r="P86" s="152"/>
      <c r="Q86" s="149"/>
      <c r="R86" s="152"/>
      <c r="S86" s="152"/>
      <c r="T86" s="62" t="str">
        <f aca="false">IF(OR($C86="",R86=""),"",IF(R86/IF($R$2="",100,$R$2)&gt;=設定!$I$28,設定!$G$8,IF(R86/IF($R$2="",100,$R$2)&lt;設定!$I$29,設定!$G$10,設定!$G$9)))</f>
        <v/>
      </c>
      <c r="U86" s="62" t="str">
        <f aca="false">IF(OR($C86="",S86=""),"",IF(S86/IF($S$2="",100,$S$2)&gt;=設定!$I$28,設定!$G$8,IF(S86/IF($S$2="",100,$S$2)&lt;設定!$I$29,設定!$G$10,設定!$G$9)))</f>
        <v/>
      </c>
    </row>
    <row r="87" customFormat="false" ht="21" hidden="false" customHeight="true" outlineLevel="0" collapsed="false">
      <c r="A87" s="91" t="str">
        <f aca="false">IF(名簿!$D87="","",名簿!$B87&amp;"")</f>
        <v/>
      </c>
      <c r="B87" s="91" t="str">
        <f aca="false">IF(名簿!$D87="","",名簿!$C87)</f>
        <v/>
      </c>
      <c r="C87" s="59" t="str">
        <f aca="false">IF(名簿!$D87="","",名簿!$D87&amp;IF(名簿!$F87="転出","（転出）",""))</f>
        <v/>
      </c>
      <c r="D87" s="149"/>
      <c r="E87" s="61" t="str">
        <f aca="false">IF(OR($C87="",名簿!$F87="転出"),"",IF($C$2="学級ごと",$A87,IF($C$2="前の単元と同じ",単元18!$E87&amp;"",$D87&amp;"")))</f>
        <v/>
      </c>
      <c r="F87" s="150"/>
      <c r="G87" s="150"/>
      <c r="H87" s="150"/>
      <c r="I87" s="151"/>
      <c r="J87" s="41" t="str">
        <f aca="false">IF($E87="","",$E87&amp;"|"&amp;COUNTIF($E$5:$E87,$E87))</f>
        <v/>
      </c>
      <c r="K87" s="40" t="str">
        <f aca="false">IF($I87="","",LEN($I87))</f>
        <v/>
      </c>
      <c r="L87" s="13"/>
      <c r="M87" s="13"/>
      <c r="N87" s="13"/>
      <c r="O87" s="13"/>
      <c r="P87" s="152"/>
      <c r="Q87" s="149"/>
      <c r="R87" s="152"/>
      <c r="S87" s="152"/>
      <c r="T87" s="62" t="str">
        <f aca="false">IF(OR($C87="",R87=""),"",IF(R87/IF($R$2="",100,$R$2)&gt;=設定!$I$28,設定!$G$8,IF(R87/IF($R$2="",100,$R$2)&lt;設定!$I$29,設定!$G$10,設定!$G$9)))</f>
        <v/>
      </c>
      <c r="U87" s="62" t="str">
        <f aca="false">IF(OR($C87="",S87=""),"",IF(S87/IF($S$2="",100,$S$2)&gt;=設定!$I$28,設定!$G$8,IF(S87/IF($S$2="",100,$S$2)&lt;設定!$I$29,設定!$G$10,設定!$G$9)))</f>
        <v/>
      </c>
    </row>
    <row r="88" customFormat="false" ht="21" hidden="false" customHeight="true" outlineLevel="0" collapsed="false">
      <c r="A88" s="91" t="str">
        <f aca="false">IF(名簿!$D88="","",名簿!$B88&amp;"")</f>
        <v/>
      </c>
      <c r="B88" s="91" t="str">
        <f aca="false">IF(名簿!$D88="","",名簿!$C88)</f>
        <v/>
      </c>
      <c r="C88" s="59" t="str">
        <f aca="false">IF(名簿!$D88="","",名簿!$D88&amp;IF(名簿!$F88="転出","（転出）",""))</f>
        <v/>
      </c>
      <c r="D88" s="149"/>
      <c r="E88" s="61" t="str">
        <f aca="false">IF(OR($C88="",名簿!$F88="転出"),"",IF($C$2="学級ごと",$A88,IF($C$2="前の単元と同じ",単元18!$E88&amp;"",$D88&amp;"")))</f>
        <v/>
      </c>
      <c r="F88" s="150"/>
      <c r="G88" s="150"/>
      <c r="H88" s="150"/>
      <c r="I88" s="151"/>
      <c r="J88" s="41" t="str">
        <f aca="false">IF($E88="","",$E88&amp;"|"&amp;COUNTIF($E$5:$E88,$E88))</f>
        <v/>
      </c>
      <c r="K88" s="40" t="str">
        <f aca="false">IF($I88="","",LEN($I88))</f>
        <v/>
      </c>
      <c r="L88" s="13"/>
      <c r="M88" s="13"/>
      <c r="N88" s="13"/>
      <c r="O88" s="13"/>
      <c r="P88" s="152"/>
      <c r="Q88" s="149"/>
      <c r="R88" s="152"/>
      <c r="S88" s="152"/>
      <c r="T88" s="62" t="str">
        <f aca="false">IF(OR($C88="",R88=""),"",IF(R88/IF($R$2="",100,$R$2)&gt;=設定!$I$28,設定!$G$8,IF(R88/IF($R$2="",100,$R$2)&lt;設定!$I$29,設定!$G$10,設定!$G$9)))</f>
        <v/>
      </c>
      <c r="U88" s="62" t="str">
        <f aca="false">IF(OR($C88="",S88=""),"",IF(S88/IF($S$2="",100,$S$2)&gt;=設定!$I$28,設定!$G$8,IF(S88/IF($S$2="",100,$S$2)&lt;設定!$I$29,設定!$G$10,設定!$G$9)))</f>
        <v/>
      </c>
    </row>
    <row r="89" customFormat="false" ht="21" hidden="false" customHeight="true" outlineLevel="0" collapsed="false">
      <c r="A89" s="91" t="str">
        <f aca="false">IF(名簿!$D89="","",名簿!$B89&amp;"")</f>
        <v/>
      </c>
      <c r="B89" s="91" t="str">
        <f aca="false">IF(名簿!$D89="","",名簿!$C89)</f>
        <v/>
      </c>
      <c r="C89" s="59" t="str">
        <f aca="false">IF(名簿!$D89="","",名簿!$D89&amp;IF(名簿!$F89="転出","（転出）",""))</f>
        <v/>
      </c>
      <c r="D89" s="149"/>
      <c r="E89" s="61" t="str">
        <f aca="false">IF(OR($C89="",名簿!$F89="転出"),"",IF($C$2="学級ごと",$A89,IF($C$2="前の単元と同じ",単元18!$E89&amp;"",$D89&amp;"")))</f>
        <v/>
      </c>
      <c r="F89" s="150"/>
      <c r="G89" s="150"/>
      <c r="H89" s="150"/>
      <c r="I89" s="151"/>
      <c r="J89" s="41" t="str">
        <f aca="false">IF($E89="","",$E89&amp;"|"&amp;COUNTIF($E$5:$E89,$E89))</f>
        <v/>
      </c>
      <c r="K89" s="40" t="str">
        <f aca="false">IF($I89="","",LEN($I89))</f>
        <v/>
      </c>
      <c r="L89" s="13"/>
      <c r="M89" s="13"/>
      <c r="N89" s="13"/>
      <c r="O89" s="13"/>
      <c r="P89" s="152"/>
      <c r="Q89" s="149"/>
      <c r="R89" s="152"/>
      <c r="S89" s="152"/>
      <c r="T89" s="62" t="str">
        <f aca="false">IF(OR($C89="",R89=""),"",IF(R89/IF($R$2="",100,$R$2)&gt;=設定!$I$28,設定!$G$8,IF(R89/IF($R$2="",100,$R$2)&lt;設定!$I$29,設定!$G$10,設定!$G$9)))</f>
        <v/>
      </c>
      <c r="U89" s="62" t="str">
        <f aca="false">IF(OR($C89="",S89=""),"",IF(S89/IF($S$2="",100,$S$2)&gt;=設定!$I$28,設定!$G$8,IF(S89/IF($S$2="",100,$S$2)&lt;設定!$I$29,設定!$G$10,設定!$G$9)))</f>
        <v/>
      </c>
    </row>
    <row r="90" customFormat="false" ht="21" hidden="false" customHeight="true" outlineLevel="0" collapsed="false">
      <c r="A90" s="91" t="str">
        <f aca="false">IF(名簿!$D90="","",名簿!$B90&amp;"")</f>
        <v/>
      </c>
      <c r="B90" s="91" t="str">
        <f aca="false">IF(名簿!$D90="","",名簿!$C90)</f>
        <v/>
      </c>
      <c r="C90" s="59" t="str">
        <f aca="false">IF(名簿!$D90="","",名簿!$D90&amp;IF(名簿!$F90="転出","（転出）",""))</f>
        <v/>
      </c>
      <c r="D90" s="149"/>
      <c r="E90" s="61" t="str">
        <f aca="false">IF(OR($C90="",名簿!$F90="転出"),"",IF($C$2="学級ごと",$A90,IF($C$2="前の単元と同じ",単元18!$E90&amp;"",$D90&amp;"")))</f>
        <v/>
      </c>
      <c r="F90" s="150"/>
      <c r="G90" s="150"/>
      <c r="H90" s="150"/>
      <c r="I90" s="151"/>
      <c r="J90" s="41" t="str">
        <f aca="false">IF($E90="","",$E90&amp;"|"&amp;COUNTIF($E$5:$E90,$E90))</f>
        <v/>
      </c>
      <c r="K90" s="40" t="str">
        <f aca="false">IF($I90="","",LEN($I90))</f>
        <v/>
      </c>
      <c r="L90" s="13"/>
      <c r="M90" s="13"/>
      <c r="N90" s="13"/>
      <c r="O90" s="13"/>
      <c r="P90" s="152"/>
      <c r="Q90" s="149"/>
      <c r="R90" s="152"/>
      <c r="S90" s="152"/>
      <c r="T90" s="62" t="str">
        <f aca="false">IF(OR($C90="",R90=""),"",IF(R90/IF($R$2="",100,$R$2)&gt;=設定!$I$28,設定!$G$8,IF(R90/IF($R$2="",100,$R$2)&lt;設定!$I$29,設定!$G$10,設定!$G$9)))</f>
        <v/>
      </c>
      <c r="U90" s="62" t="str">
        <f aca="false">IF(OR($C90="",S90=""),"",IF(S90/IF($S$2="",100,$S$2)&gt;=設定!$I$28,設定!$G$8,IF(S90/IF($S$2="",100,$S$2)&lt;設定!$I$29,設定!$G$10,設定!$G$9)))</f>
        <v/>
      </c>
    </row>
    <row r="91" customFormat="false" ht="21" hidden="false" customHeight="true" outlineLevel="0" collapsed="false">
      <c r="A91" s="91" t="str">
        <f aca="false">IF(名簿!$D91="","",名簿!$B91&amp;"")</f>
        <v/>
      </c>
      <c r="B91" s="91" t="str">
        <f aca="false">IF(名簿!$D91="","",名簿!$C91)</f>
        <v/>
      </c>
      <c r="C91" s="59" t="str">
        <f aca="false">IF(名簿!$D91="","",名簿!$D91&amp;IF(名簿!$F91="転出","（転出）",""))</f>
        <v/>
      </c>
      <c r="D91" s="149"/>
      <c r="E91" s="61" t="str">
        <f aca="false">IF(OR($C91="",名簿!$F91="転出"),"",IF($C$2="学級ごと",$A91,IF($C$2="前の単元と同じ",単元18!$E91&amp;"",$D91&amp;"")))</f>
        <v/>
      </c>
      <c r="F91" s="150"/>
      <c r="G91" s="150"/>
      <c r="H91" s="150"/>
      <c r="I91" s="151"/>
      <c r="J91" s="41" t="str">
        <f aca="false">IF($E91="","",$E91&amp;"|"&amp;COUNTIF($E$5:$E91,$E91))</f>
        <v/>
      </c>
      <c r="K91" s="40" t="str">
        <f aca="false">IF($I91="","",LEN($I91))</f>
        <v/>
      </c>
      <c r="L91" s="13"/>
      <c r="M91" s="13"/>
      <c r="N91" s="13"/>
      <c r="O91" s="13"/>
      <c r="P91" s="152"/>
      <c r="Q91" s="149"/>
      <c r="R91" s="152"/>
      <c r="S91" s="152"/>
      <c r="T91" s="62" t="str">
        <f aca="false">IF(OR($C91="",R91=""),"",IF(R91/IF($R$2="",100,$R$2)&gt;=設定!$I$28,設定!$G$8,IF(R91/IF($R$2="",100,$R$2)&lt;設定!$I$29,設定!$G$10,設定!$G$9)))</f>
        <v/>
      </c>
      <c r="U91" s="62" t="str">
        <f aca="false">IF(OR($C91="",S91=""),"",IF(S91/IF($S$2="",100,$S$2)&gt;=設定!$I$28,設定!$G$8,IF(S91/IF($S$2="",100,$S$2)&lt;設定!$I$29,設定!$G$10,設定!$G$9)))</f>
        <v/>
      </c>
    </row>
    <row r="92" customFormat="false" ht="21" hidden="false" customHeight="true" outlineLevel="0" collapsed="false">
      <c r="A92" s="91" t="str">
        <f aca="false">IF(名簿!$D92="","",名簿!$B92&amp;"")</f>
        <v/>
      </c>
      <c r="B92" s="91" t="str">
        <f aca="false">IF(名簿!$D92="","",名簿!$C92)</f>
        <v/>
      </c>
      <c r="C92" s="59" t="str">
        <f aca="false">IF(名簿!$D92="","",名簿!$D92&amp;IF(名簿!$F92="転出","（転出）",""))</f>
        <v/>
      </c>
      <c r="D92" s="149"/>
      <c r="E92" s="61" t="str">
        <f aca="false">IF(OR($C92="",名簿!$F92="転出"),"",IF($C$2="学級ごと",$A92,IF($C$2="前の単元と同じ",単元18!$E92&amp;"",$D92&amp;"")))</f>
        <v/>
      </c>
      <c r="F92" s="150"/>
      <c r="G92" s="150"/>
      <c r="H92" s="150"/>
      <c r="I92" s="151"/>
      <c r="J92" s="41" t="str">
        <f aca="false">IF($E92="","",$E92&amp;"|"&amp;COUNTIF($E$5:$E92,$E92))</f>
        <v/>
      </c>
      <c r="K92" s="40" t="str">
        <f aca="false">IF($I92="","",LEN($I92))</f>
        <v/>
      </c>
      <c r="L92" s="13"/>
      <c r="M92" s="13"/>
      <c r="N92" s="13"/>
      <c r="O92" s="13"/>
      <c r="P92" s="152"/>
      <c r="Q92" s="149"/>
      <c r="R92" s="152"/>
      <c r="S92" s="152"/>
      <c r="T92" s="62" t="str">
        <f aca="false">IF(OR($C92="",R92=""),"",IF(R92/IF($R$2="",100,$R$2)&gt;=設定!$I$28,設定!$G$8,IF(R92/IF($R$2="",100,$R$2)&lt;設定!$I$29,設定!$G$10,設定!$G$9)))</f>
        <v/>
      </c>
      <c r="U92" s="62" t="str">
        <f aca="false">IF(OR($C92="",S92=""),"",IF(S92/IF($S$2="",100,$S$2)&gt;=設定!$I$28,設定!$G$8,IF(S92/IF($S$2="",100,$S$2)&lt;設定!$I$29,設定!$G$10,設定!$G$9)))</f>
        <v/>
      </c>
    </row>
    <row r="93" customFormat="false" ht="21" hidden="false" customHeight="true" outlineLevel="0" collapsed="false">
      <c r="A93" s="91" t="str">
        <f aca="false">IF(名簿!$D93="","",名簿!$B93&amp;"")</f>
        <v/>
      </c>
      <c r="B93" s="91" t="str">
        <f aca="false">IF(名簿!$D93="","",名簿!$C93)</f>
        <v/>
      </c>
      <c r="C93" s="59" t="str">
        <f aca="false">IF(名簿!$D93="","",名簿!$D93&amp;IF(名簿!$F93="転出","（転出）",""))</f>
        <v/>
      </c>
      <c r="D93" s="149"/>
      <c r="E93" s="61" t="str">
        <f aca="false">IF(OR($C93="",名簿!$F93="転出"),"",IF($C$2="学級ごと",$A93,IF($C$2="前の単元と同じ",単元18!$E93&amp;"",$D93&amp;"")))</f>
        <v/>
      </c>
      <c r="F93" s="150"/>
      <c r="G93" s="150"/>
      <c r="H93" s="150"/>
      <c r="I93" s="151"/>
      <c r="J93" s="41" t="str">
        <f aca="false">IF($E93="","",$E93&amp;"|"&amp;COUNTIF($E$5:$E93,$E93))</f>
        <v/>
      </c>
      <c r="K93" s="40" t="str">
        <f aca="false">IF($I93="","",LEN($I93))</f>
        <v/>
      </c>
      <c r="L93" s="13"/>
      <c r="M93" s="13"/>
      <c r="N93" s="13"/>
      <c r="O93" s="13"/>
      <c r="P93" s="152"/>
      <c r="Q93" s="149"/>
      <c r="R93" s="152"/>
      <c r="S93" s="152"/>
      <c r="T93" s="62" t="str">
        <f aca="false">IF(OR($C93="",R93=""),"",IF(R93/IF($R$2="",100,$R$2)&gt;=設定!$I$28,設定!$G$8,IF(R93/IF($R$2="",100,$R$2)&lt;設定!$I$29,設定!$G$10,設定!$G$9)))</f>
        <v/>
      </c>
      <c r="U93" s="62" t="str">
        <f aca="false">IF(OR($C93="",S93=""),"",IF(S93/IF($S$2="",100,$S$2)&gt;=設定!$I$28,設定!$G$8,IF(S93/IF($S$2="",100,$S$2)&lt;設定!$I$29,設定!$G$10,設定!$G$9)))</f>
        <v/>
      </c>
    </row>
    <row r="94" customFormat="false" ht="21" hidden="false" customHeight="true" outlineLevel="0" collapsed="false">
      <c r="A94" s="91" t="str">
        <f aca="false">IF(名簿!$D94="","",名簿!$B94&amp;"")</f>
        <v/>
      </c>
      <c r="B94" s="91" t="str">
        <f aca="false">IF(名簿!$D94="","",名簿!$C94)</f>
        <v/>
      </c>
      <c r="C94" s="59" t="str">
        <f aca="false">IF(名簿!$D94="","",名簿!$D94&amp;IF(名簿!$F94="転出","（転出）",""))</f>
        <v/>
      </c>
      <c r="D94" s="149"/>
      <c r="E94" s="61" t="str">
        <f aca="false">IF(OR($C94="",名簿!$F94="転出"),"",IF($C$2="学級ごと",$A94,IF($C$2="前の単元と同じ",単元18!$E94&amp;"",$D94&amp;"")))</f>
        <v/>
      </c>
      <c r="F94" s="150"/>
      <c r="G94" s="150"/>
      <c r="H94" s="150"/>
      <c r="I94" s="151"/>
      <c r="J94" s="41" t="str">
        <f aca="false">IF($E94="","",$E94&amp;"|"&amp;COUNTIF($E$5:$E94,$E94))</f>
        <v/>
      </c>
      <c r="K94" s="40" t="str">
        <f aca="false">IF($I94="","",LEN($I94))</f>
        <v/>
      </c>
      <c r="L94" s="13"/>
      <c r="M94" s="13"/>
      <c r="N94" s="13"/>
      <c r="O94" s="13"/>
      <c r="P94" s="152"/>
      <c r="Q94" s="149"/>
      <c r="R94" s="152"/>
      <c r="S94" s="152"/>
      <c r="T94" s="62" t="str">
        <f aca="false">IF(OR($C94="",R94=""),"",IF(R94/IF($R$2="",100,$R$2)&gt;=設定!$I$28,設定!$G$8,IF(R94/IF($R$2="",100,$R$2)&lt;設定!$I$29,設定!$G$10,設定!$G$9)))</f>
        <v/>
      </c>
      <c r="U94" s="62" t="str">
        <f aca="false">IF(OR($C94="",S94=""),"",IF(S94/IF($S$2="",100,$S$2)&gt;=設定!$I$28,設定!$G$8,IF(S94/IF($S$2="",100,$S$2)&lt;設定!$I$29,設定!$G$10,設定!$G$9)))</f>
        <v/>
      </c>
    </row>
    <row r="95" customFormat="false" ht="21" hidden="false" customHeight="true" outlineLevel="0" collapsed="false">
      <c r="A95" s="91" t="str">
        <f aca="false">IF(名簿!$D95="","",名簿!$B95&amp;"")</f>
        <v/>
      </c>
      <c r="B95" s="91" t="str">
        <f aca="false">IF(名簿!$D95="","",名簿!$C95)</f>
        <v/>
      </c>
      <c r="C95" s="59" t="str">
        <f aca="false">IF(名簿!$D95="","",名簿!$D95&amp;IF(名簿!$F95="転出","（転出）",""))</f>
        <v/>
      </c>
      <c r="D95" s="149"/>
      <c r="E95" s="61" t="str">
        <f aca="false">IF(OR($C95="",名簿!$F95="転出"),"",IF($C$2="学級ごと",$A95,IF($C$2="前の単元と同じ",単元18!$E95&amp;"",$D95&amp;"")))</f>
        <v/>
      </c>
      <c r="F95" s="150"/>
      <c r="G95" s="150"/>
      <c r="H95" s="150"/>
      <c r="I95" s="151"/>
      <c r="J95" s="41" t="str">
        <f aca="false">IF($E95="","",$E95&amp;"|"&amp;COUNTIF($E$5:$E95,$E95))</f>
        <v/>
      </c>
      <c r="K95" s="40" t="str">
        <f aca="false">IF($I95="","",LEN($I95))</f>
        <v/>
      </c>
      <c r="L95" s="13"/>
      <c r="M95" s="13"/>
      <c r="N95" s="13"/>
      <c r="O95" s="13"/>
      <c r="P95" s="152"/>
      <c r="Q95" s="149"/>
      <c r="R95" s="152"/>
      <c r="S95" s="152"/>
      <c r="T95" s="62" t="str">
        <f aca="false">IF(OR($C95="",R95=""),"",IF(R95/IF($R$2="",100,$R$2)&gt;=設定!$I$28,設定!$G$8,IF(R95/IF($R$2="",100,$R$2)&lt;設定!$I$29,設定!$G$10,設定!$G$9)))</f>
        <v/>
      </c>
      <c r="U95" s="62" t="str">
        <f aca="false">IF(OR($C95="",S95=""),"",IF(S95/IF($S$2="",100,$S$2)&gt;=設定!$I$28,設定!$G$8,IF(S95/IF($S$2="",100,$S$2)&lt;設定!$I$29,設定!$G$10,設定!$G$9)))</f>
        <v/>
      </c>
    </row>
    <row r="96" customFormat="false" ht="21" hidden="false" customHeight="true" outlineLevel="0" collapsed="false">
      <c r="A96" s="91" t="str">
        <f aca="false">IF(名簿!$D96="","",名簿!$B96&amp;"")</f>
        <v/>
      </c>
      <c r="B96" s="91" t="str">
        <f aca="false">IF(名簿!$D96="","",名簿!$C96)</f>
        <v/>
      </c>
      <c r="C96" s="59" t="str">
        <f aca="false">IF(名簿!$D96="","",名簿!$D96&amp;IF(名簿!$F96="転出","（転出）",""))</f>
        <v/>
      </c>
      <c r="D96" s="149"/>
      <c r="E96" s="61" t="str">
        <f aca="false">IF(OR($C96="",名簿!$F96="転出"),"",IF($C$2="学級ごと",$A96,IF($C$2="前の単元と同じ",単元18!$E96&amp;"",$D96&amp;"")))</f>
        <v/>
      </c>
      <c r="F96" s="150"/>
      <c r="G96" s="150"/>
      <c r="H96" s="150"/>
      <c r="I96" s="151"/>
      <c r="J96" s="41" t="str">
        <f aca="false">IF($E96="","",$E96&amp;"|"&amp;COUNTIF($E$5:$E96,$E96))</f>
        <v/>
      </c>
      <c r="K96" s="40" t="str">
        <f aca="false">IF($I96="","",LEN($I96))</f>
        <v/>
      </c>
      <c r="L96" s="13"/>
      <c r="M96" s="13"/>
      <c r="N96" s="13"/>
      <c r="O96" s="13"/>
      <c r="P96" s="152"/>
      <c r="Q96" s="149"/>
      <c r="R96" s="152"/>
      <c r="S96" s="152"/>
      <c r="T96" s="62" t="str">
        <f aca="false">IF(OR($C96="",R96=""),"",IF(R96/IF($R$2="",100,$R$2)&gt;=設定!$I$28,設定!$G$8,IF(R96/IF($R$2="",100,$R$2)&lt;設定!$I$29,設定!$G$10,設定!$G$9)))</f>
        <v/>
      </c>
      <c r="U96" s="62" t="str">
        <f aca="false">IF(OR($C96="",S96=""),"",IF(S96/IF($S$2="",100,$S$2)&gt;=設定!$I$28,設定!$G$8,IF(S96/IF($S$2="",100,$S$2)&lt;設定!$I$29,設定!$G$10,設定!$G$9)))</f>
        <v/>
      </c>
    </row>
    <row r="97" customFormat="false" ht="21" hidden="false" customHeight="true" outlineLevel="0" collapsed="false">
      <c r="A97" s="91" t="str">
        <f aca="false">IF(名簿!$D97="","",名簿!$B97&amp;"")</f>
        <v/>
      </c>
      <c r="B97" s="91" t="str">
        <f aca="false">IF(名簿!$D97="","",名簿!$C97)</f>
        <v/>
      </c>
      <c r="C97" s="59" t="str">
        <f aca="false">IF(名簿!$D97="","",名簿!$D97&amp;IF(名簿!$F97="転出","（転出）",""))</f>
        <v/>
      </c>
      <c r="D97" s="149"/>
      <c r="E97" s="61" t="str">
        <f aca="false">IF(OR($C97="",名簿!$F97="転出"),"",IF($C$2="学級ごと",$A97,IF($C$2="前の単元と同じ",単元18!$E97&amp;"",$D97&amp;"")))</f>
        <v/>
      </c>
      <c r="F97" s="150"/>
      <c r="G97" s="150"/>
      <c r="H97" s="150"/>
      <c r="I97" s="151"/>
      <c r="J97" s="41" t="str">
        <f aca="false">IF($E97="","",$E97&amp;"|"&amp;COUNTIF($E$5:$E97,$E97))</f>
        <v/>
      </c>
      <c r="K97" s="40" t="str">
        <f aca="false">IF($I97="","",LEN($I97))</f>
        <v/>
      </c>
      <c r="L97" s="13"/>
      <c r="M97" s="13"/>
      <c r="N97" s="13"/>
      <c r="O97" s="13"/>
      <c r="P97" s="152"/>
      <c r="Q97" s="149"/>
      <c r="R97" s="152"/>
      <c r="S97" s="152"/>
      <c r="T97" s="62" t="str">
        <f aca="false">IF(OR($C97="",R97=""),"",IF(R97/IF($R$2="",100,$R$2)&gt;=設定!$I$28,設定!$G$8,IF(R97/IF($R$2="",100,$R$2)&lt;設定!$I$29,設定!$G$10,設定!$G$9)))</f>
        <v/>
      </c>
      <c r="U97" s="62" t="str">
        <f aca="false">IF(OR($C97="",S97=""),"",IF(S97/IF($S$2="",100,$S$2)&gt;=設定!$I$28,設定!$G$8,IF(S97/IF($S$2="",100,$S$2)&lt;設定!$I$29,設定!$G$10,設定!$G$9)))</f>
        <v/>
      </c>
    </row>
    <row r="98" customFormat="false" ht="21" hidden="false" customHeight="true" outlineLevel="0" collapsed="false">
      <c r="A98" s="91" t="str">
        <f aca="false">IF(名簿!$D98="","",名簿!$B98&amp;"")</f>
        <v/>
      </c>
      <c r="B98" s="91" t="str">
        <f aca="false">IF(名簿!$D98="","",名簿!$C98)</f>
        <v/>
      </c>
      <c r="C98" s="59" t="str">
        <f aca="false">IF(名簿!$D98="","",名簿!$D98&amp;IF(名簿!$F98="転出","（転出）",""))</f>
        <v/>
      </c>
      <c r="D98" s="149"/>
      <c r="E98" s="61" t="str">
        <f aca="false">IF(OR($C98="",名簿!$F98="転出"),"",IF($C$2="学級ごと",$A98,IF($C$2="前の単元と同じ",単元18!$E98&amp;"",$D98&amp;"")))</f>
        <v/>
      </c>
      <c r="F98" s="150"/>
      <c r="G98" s="150"/>
      <c r="H98" s="150"/>
      <c r="I98" s="151"/>
      <c r="J98" s="41" t="str">
        <f aca="false">IF($E98="","",$E98&amp;"|"&amp;COUNTIF($E$5:$E98,$E98))</f>
        <v/>
      </c>
      <c r="K98" s="40" t="str">
        <f aca="false">IF($I98="","",LEN($I98))</f>
        <v/>
      </c>
      <c r="L98" s="13"/>
      <c r="M98" s="13"/>
      <c r="N98" s="13"/>
      <c r="O98" s="13"/>
      <c r="P98" s="152"/>
      <c r="Q98" s="149"/>
      <c r="R98" s="152"/>
      <c r="S98" s="152"/>
      <c r="T98" s="62" t="str">
        <f aca="false">IF(OR($C98="",R98=""),"",IF(R98/IF($R$2="",100,$R$2)&gt;=設定!$I$28,設定!$G$8,IF(R98/IF($R$2="",100,$R$2)&lt;設定!$I$29,設定!$G$10,設定!$G$9)))</f>
        <v/>
      </c>
      <c r="U98" s="62" t="str">
        <f aca="false">IF(OR($C98="",S98=""),"",IF(S98/IF($S$2="",100,$S$2)&gt;=設定!$I$28,設定!$G$8,IF(S98/IF($S$2="",100,$S$2)&lt;設定!$I$29,設定!$G$10,設定!$G$9)))</f>
        <v/>
      </c>
    </row>
    <row r="99" customFormat="false" ht="21" hidden="false" customHeight="true" outlineLevel="0" collapsed="false">
      <c r="A99" s="91" t="str">
        <f aca="false">IF(名簿!$D99="","",名簿!$B99&amp;"")</f>
        <v/>
      </c>
      <c r="B99" s="91" t="str">
        <f aca="false">IF(名簿!$D99="","",名簿!$C99)</f>
        <v/>
      </c>
      <c r="C99" s="59" t="str">
        <f aca="false">IF(名簿!$D99="","",名簿!$D99&amp;IF(名簿!$F99="転出","（転出）",""))</f>
        <v/>
      </c>
      <c r="D99" s="149"/>
      <c r="E99" s="61" t="str">
        <f aca="false">IF(OR($C99="",名簿!$F99="転出"),"",IF($C$2="学級ごと",$A99,IF($C$2="前の単元と同じ",単元18!$E99&amp;"",$D99&amp;"")))</f>
        <v/>
      </c>
      <c r="F99" s="150"/>
      <c r="G99" s="150"/>
      <c r="H99" s="150"/>
      <c r="I99" s="151"/>
      <c r="J99" s="41" t="str">
        <f aca="false">IF($E99="","",$E99&amp;"|"&amp;COUNTIF($E$5:$E99,$E99))</f>
        <v/>
      </c>
      <c r="K99" s="40" t="str">
        <f aca="false">IF($I99="","",LEN($I99))</f>
        <v/>
      </c>
      <c r="L99" s="13"/>
      <c r="M99" s="13"/>
      <c r="N99" s="13"/>
      <c r="O99" s="13"/>
      <c r="P99" s="152"/>
      <c r="Q99" s="149"/>
      <c r="R99" s="152"/>
      <c r="S99" s="152"/>
      <c r="T99" s="62" t="str">
        <f aca="false">IF(OR($C99="",R99=""),"",IF(R99/IF($R$2="",100,$R$2)&gt;=設定!$I$28,設定!$G$8,IF(R99/IF($R$2="",100,$R$2)&lt;設定!$I$29,設定!$G$10,設定!$G$9)))</f>
        <v/>
      </c>
      <c r="U99" s="62" t="str">
        <f aca="false">IF(OR($C99="",S99=""),"",IF(S99/IF($S$2="",100,$S$2)&gt;=設定!$I$28,設定!$G$8,IF(S99/IF($S$2="",100,$S$2)&lt;設定!$I$29,設定!$G$10,設定!$G$9)))</f>
        <v/>
      </c>
    </row>
    <row r="100" customFormat="false" ht="21" hidden="false" customHeight="true" outlineLevel="0" collapsed="false">
      <c r="A100" s="91" t="str">
        <f aca="false">IF(名簿!$D100="","",名簿!$B100&amp;"")</f>
        <v/>
      </c>
      <c r="B100" s="91" t="str">
        <f aca="false">IF(名簿!$D100="","",名簿!$C100)</f>
        <v/>
      </c>
      <c r="C100" s="59" t="str">
        <f aca="false">IF(名簿!$D100="","",名簿!$D100&amp;IF(名簿!$F100="転出","（転出）",""))</f>
        <v/>
      </c>
      <c r="D100" s="149"/>
      <c r="E100" s="61" t="str">
        <f aca="false">IF(OR($C100="",名簿!$F100="転出"),"",IF($C$2="学級ごと",$A100,IF($C$2="前の単元と同じ",単元18!$E100&amp;"",$D100&amp;"")))</f>
        <v/>
      </c>
      <c r="F100" s="150"/>
      <c r="G100" s="150"/>
      <c r="H100" s="150"/>
      <c r="I100" s="151"/>
      <c r="J100" s="41" t="str">
        <f aca="false">IF($E100="","",$E100&amp;"|"&amp;COUNTIF($E$5:$E100,$E100))</f>
        <v/>
      </c>
      <c r="K100" s="40" t="str">
        <f aca="false">IF($I100="","",LEN($I100))</f>
        <v/>
      </c>
      <c r="L100" s="13"/>
      <c r="M100" s="13"/>
      <c r="N100" s="13"/>
      <c r="O100" s="13"/>
      <c r="P100" s="152"/>
      <c r="Q100" s="149"/>
      <c r="R100" s="152"/>
      <c r="S100" s="152"/>
      <c r="T100" s="62" t="str">
        <f aca="false">IF(OR($C100="",R100=""),"",IF(R100/IF($R$2="",100,$R$2)&gt;=設定!$I$28,設定!$G$8,IF(R100/IF($R$2="",100,$R$2)&lt;設定!$I$29,設定!$G$10,設定!$G$9)))</f>
        <v/>
      </c>
      <c r="U100" s="62" t="str">
        <f aca="false">IF(OR($C100="",S100=""),"",IF(S100/IF($S$2="",100,$S$2)&gt;=設定!$I$28,設定!$G$8,IF(S100/IF($S$2="",100,$S$2)&lt;設定!$I$29,設定!$G$10,設定!$G$9)))</f>
        <v/>
      </c>
    </row>
    <row r="101" customFormat="false" ht="21" hidden="false" customHeight="true" outlineLevel="0" collapsed="false">
      <c r="A101" s="91" t="str">
        <f aca="false">IF(名簿!$D101="","",名簿!$B101&amp;"")</f>
        <v/>
      </c>
      <c r="B101" s="91" t="str">
        <f aca="false">IF(名簿!$D101="","",名簿!$C101)</f>
        <v/>
      </c>
      <c r="C101" s="59" t="str">
        <f aca="false">IF(名簿!$D101="","",名簿!$D101&amp;IF(名簿!$F101="転出","（転出）",""))</f>
        <v/>
      </c>
      <c r="D101" s="149"/>
      <c r="E101" s="61" t="str">
        <f aca="false">IF(OR($C101="",名簿!$F101="転出"),"",IF($C$2="学級ごと",$A101,IF($C$2="前の単元と同じ",単元18!$E101&amp;"",$D101&amp;"")))</f>
        <v/>
      </c>
      <c r="F101" s="150"/>
      <c r="G101" s="150"/>
      <c r="H101" s="150"/>
      <c r="I101" s="151"/>
      <c r="J101" s="41" t="str">
        <f aca="false">IF($E101="","",$E101&amp;"|"&amp;COUNTIF($E$5:$E101,$E101))</f>
        <v/>
      </c>
      <c r="K101" s="40" t="str">
        <f aca="false">IF($I101="","",LEN($I101))</f>
        <v/>
      </c>
      <c r="L101" s="13"/>
      <c r="M101" s="13"/>
      <c r="N101" s="13"/>
      <c r="O101" s="13"/>
      <c r="P101" s="152"/>
      <c r="Q101" s="149"/>
      <c r="R101" s="152"/>
      <c r="S101" s="152"/>
      <c r="T101" s="62" t="str">
        <f aca="false">IF(OR($C101="",R101=""),"",IF(R101/IF($R$2="",100,$R$2)&gt;=設定!$I$28,設定!$G$8,IF(R101/IF($R$2="",100,$R$2)&lt;設定!$I$29,設定!$G$10,設定!$G$9)))</f>
        <v/>
      </c>
      <c r="U101" s="62" t="str">
        <f aca="false">IF(OR($C101="",S101=""),"",IF(S101/IF($S$2="",100,$S$2)&gt;=設定!$I$28,設定!$G$8,IF(S101/IF($S$2="",100,$S$2)&lt;設定!$I$29,設定!$G$10,設定!$G$9)))</f>
        <v/>
      </c>
    </row>
    <row r="102" customFormat="false" ht="21" hidden="false" customHeight="true" outlineLevel="0" collapsed="false">
      <c r="A102" s="91" t="str">
        <f aca="false">IF(名簿!$D102="","",名簿!$B102&amp;"")</f>
        <v/>
      </c>
      <c r="B102" s="91" t="str">
        <f aca="false">IF(名簿!$D102="","",名簿!$C102)</f>
        <v/>
      </c>
      <c r="C102" s="59" t="str">
        <f aca="false">IF(名簿!$D102="","",名簿!$D102&amp;IF(名簿!$F102="転出","（転出）",""))</f>
        <v/>
      </c>
      <c r="D102" s="149"/>
      <c r="E102" s="61" t="str">
        <f aca="false">IF(OR($C102="",名簿!$F102="転出"),"",IF($C$2="学級ごと",$A102,IF($C$2="前の単元と同じ",単元18!$E102&amp;"",$D102&amp;"")))</f>
        <v/>
      </c>
      <c r="F102" s="150"/>
      <c r="G102" s="150"/>
      <c r="H102" s="150"/>
      <c r="I102" s="151"/>
      <c r="J102" s="41" t="str">
        <f aca="false">IF($E102="","",$E102&amp;"|"&amp;COUNTIF($E$5:$E102,$E102))</f>
        <v/>
      </c>
      <c r="K102" s="40" t="str">
        <f aca="false">IF($I102="","",LEN($I102))</f>
        <v/>
      </c>
      <c r="L102" s="13"/>
      <c r="M102" s="13"/>
      <c r="N102" s="13"/>
      <c r="O102" s="13"/>
      <c r="P102" s="152"/>
      <c r="Q102" s="149"/>
      <c r="R102" s="152"/>
      <c r="S102" s="152"/>
      <c r="T102" s="62" t="str">
        <f aca="false">IF(OR($C102="",R102=""),"",IF(R102/IF($R$2="",100,$R$2)&gt;=設定!$I$28,設定!$G$8,IF(R102/IF($R$2="",100,$R$2)&lt;設定!$I$29,設定!$G$10,設定!$G$9)))</f>
        <v/>
      </c>
      <c r="U102" s="62" t="str">
        <f aca="false">IF(OR($C102="",S102=""),"",IF(S102/IF($S$2="",100,$S$2)&gt;=設定!$I$28,設定!$G$8,IF(S102/IF($S$2="",100,$S$2)&lt;設定!$I$29,設定!$G$10,設定!$G$9)))</f>
        <v/>
      </c>
    </row>
    <row r="103" customFormat="false" ht="21" hidden="false" customHeight="true" outlineLevel="0" collapsed="false">
      <c r="A103" s="91" t="str">
        <f aca="false">IF(名簿!$D103="","",名簿!$B103&amp;"")</f>
        <v/>
      </c>
      <c r="B103" s="91" t="str">
        <f aca="false">IF(名簿!$D103="","",名簿!$C103)</f>
        <v/>
      </c>
      <c r="C103" s="59" t="str">
        <f aca="false">IF(名簿!$D103="","",名簿!$D103&amp;IF(名簿!$F103="転出","（転出）",""))</f>
        <v/>
      </c>
      <c r="D103" s="149"/>
      <c r="E103" s="61" t="str">
        <f aca="false">IF(OR($C103="",名簿!$F103="転出"),"",IF($C$2="学級ごと",$A103,IF($C$2="前の単元と同じ",単元18!$E103&amp;"",$D103&amp;"")))</f>
        <v/>
      </c>
      <c r="F103" s="150"/>
      <c r="G103" s="150"/>
      <c r="H103" s="150"/>
      <c r="I103" s="151"/>
      <c r="J103" s="41" t="str">
        <f aca="false">IF($E103="","",$E103&amp;"|"&amp;COUNTIF($E$5:$E103,$E103))</f>
        <v/>
      </c>
      <c r="K103" s="40" t="str">
        <f aca="false">IF($I103="","",LEN($I103))</f>
        <v/>
      </c>
      <c r="L103" s="13"/>
      <c r="M103" s="13"/>
      <c r="N103" s="13"/>
      <c r="O103" s="13"/>
      <c r="P103" s="152"/>
      <c r="Q103" s="149"/>
      <c r="R103" s="152"/>
      <c r="S103" s="152"/>
      <c r="T103" s="62" t="str">
        <f aca="false">IF(OR($C103="",R103=""),"",IF(R103/IF($R$2="",100,$R$2)&gt;=設定!$I$28,設定!$G$8,IF(R103/IF($R$2="",100,$R$2)&lt;設定!$I$29,設定!$G$10,設定!$G$9)))</f>
        <v/>
      </c>
      <c r="U103" s="62" t="str">
        <f aca="false">IF(OR($C103="",S103=""),"",IF(S103/IF($S$2="",100,$S$2)&gt;=設定!$I$28,設定!$G$8,IF(S103/IF($S$2="",100,$S$2)&lt;設定!$I$29,設定!$G$10,設定!$G$9)))</f>
        <v/>
      </c>
    </row>
    <row r="104" customFormat="false" ht="21" hidden="false" customHeight="true" outlineLevel="0" collapsed="false">
      <c r="A104" s="91" t="str">
        <f aca="false">IF(名簿!$D104="","",名簿!$B104&amp;"")</f>
        <v/>
      </c>
      <c r="B104" s="91" t="str">
        <f aca="false">IF(名簿!$D104="","",名簿!$C104)</f>
        <v/>
      </c>
      <c r="C104" s="59" t="str">
        <f aca="false">IF(名簿!$D104="","",名簿!$D104&amp;IF(名簿!$F104="転出","（転出）",""))</f>
        <v/>
      </c>
      <c r="D104" s="149"/>
      <c r="E104" s="61" t="str">
        <f aca="false">IF(OR($C104="",名簿!$F104="転出"),"",IF($C$2="学級ごと",$A104,IF($C$2="前の単元と同じ",単元18!$E104&amp;"",$D104&amp;"")))</f>
        <v/>
      </c>
      <c r="F104" s="150"/>
      <c r="G104" s="150"/>
      <c r="H104" s="150"/>
      <c r="I104" s="151"/>
      <c r="J104" s="41" t="str">
        <f aca="false">IF($E104="","",$E104&amp;"|"&amp;COUNTIF($E$5:$E104,$E104))</f>
        <v/>
      </c>
      <c r="K104" s="40" t="str">
        <f aca="false">IF($I104="","",LEN($I104))</f>
        <v/>
      </c>
      <c r="L104" s="13"/>
      <c r="M104" s="13"/>
      <c r="N104" s="13"/>
      <c r="O104" s="13"/>
      <c r="P104" s="152"/>
      <c r="Q104" s="149"/>
      <c r="R104" s="152"/>
      <c r="S104" s="152"/>
      <c r="T104" s="62" t="str">
        <f aca="false">IF(OR($C104="",R104=""),"",IF(R104/IF($R$2="",100,$R$2)&gt;=設定!$I$28,設定!$G$8,IF(R104/IF($R$2="",100,$R$2)&lt;設定!$I$29,設定!$G$10,設定!$G$9)))</f>
        <v/>
      </c>
      <c r="U104" s="62" t="str">
        <f aca="false">IF(OR($C104="",S104=""),"",IF(S104/IF($S$2="",100,$S$2)&gt;=設定!$I$28,設定!$G$8,IF(S104/IF($S$2="",100,$S$2)&lt;設定!$I$29,設定!$G$10,設定!$G$9)))</f>
        <v/>
      </c>
    </row>
    <row r="105" customFormat="false" ht="21" hidden="false" customHeight="true" outlineLevel="0" collapsed="false">
      <c r="A105" s="91" t="str">
        <f aca="false">IF(名簿!$D105="","",名簿!$B105&amp;"")</f>
        <v/>
      </c>
      <c r="B105" s="91" t="str">
        <f aca="false">IF(名簿!$D105="","",名簿!$C105)</f>
        <v/>
      </c>
      <c r="C105" s="59" t="str">
        <f aca="false">IF(名簿!$D105="","",名簿!$D105&amp;IF(名簿!$F105="転出","（転出）",""))</f>
        <v/>
      </c>
      <c r="D105" s="149"/>
      <c r="E105" s="61" t="str">
        <f aca="false">IF(OR($C105="",名簿!$F105="転出"),"",IF($C$2="学級ごと",$A105,IF($C$2="前の単元と同じ",単元18!$E105&amp;"",$D105&amp;"")))</f>
        <v/>
      </c>
      <c r="F105" s="150"/>
      <c r="G105" s="150"/>
      <c r="H105" s="150"/>
      <c r="I105" s="151"/>
      <c r="J105" s="41" t="str">
        <f aca="false">IF($E105="","",$E105&amp;"|"&amp;COUNTIF($E$5:$E105,$E105))</f>
        <v/>
      </c>
      <c r="K105" s="40" t="str">
        <f aca="false">IF($I105="","",LEN($I105))</f>
        <v/>
      </c>
      <c r="L105" s="13"/>
      <c r="M105" s="13"/>
      <c r="N105" s="13"/>
      <c r="O105" s="13"/>
      <c r="P105" s="152"/>
      <c r="Q105" s="149"/>
      <c r="R105" s="152"/>
      <c r="S105" s="152"/>
      <c r="T105" s="62" t="str">
        <f aca="false">IF(OR($C105="",R105=""),"",IF(R105/IF($R$2="",100,$R$2)&gt;=設定!$I$28,設定!$G$8,IF(R105/IF($R$2="",100,$R$2)&lt;設定!$I$29,設定!$G$10,設定!$G$9)))</f>
        <v/>
      </c>
      <c r="U105" s="62" t="str">
        <f aca="false">IF(OR($C105="",S105=""),"",IF(S105/IF($S$2="",100,$S$2)&gt;=設定!$I$28,設定!$G$8,IF(S105/IF($S$2="",100,$S$2)&lt;設定!$I$29,設定!$G$10,設定!$G$9)))</f>
        <v/>
      </c>
    </row>
    <row r="106" customFormat="false" ht="21" hidden="false" customHeight="true" outlineLevel="0" collapsed="false">
      <c r="A106" s="91" t="str">
        <f aca="false">IF(名簿!$D106="","",名簿!$B106&amp;"")</f>
        <v/>
      </c>
      <c r="B106" s="91" t="str">
        <f aca="false">IF(名簿!$D106="","",名簿!$C106)</f>
        <v/>
      </c>
      <c r="C106" s="59" t="str">
        <f aca="false">IF(名簿!$D106="","",名簿!$D106&amp;IF(名簿!$F106="転出","（転出）",""))</f>
        <v/>
      </c>
      <c r="D106" s="149"/>
      <c r="E106" s="61" t="str">
        <f aca="false">IF(OR($C106="",名簿!$F106="転出"),"",IF($C$2="学級ごと",$A106,IF($C$2="前の単元と同じ",単元18!$E106&amp;"",$D106&amp;"")))</f>
        <v/>
      </c>
      <c r="F106" s="150"/>
      <c r="G106" s="150"/>
      <c r="H106" s="150"/>
      <c r="I106" s="151"/>
      <c r="J106" s="41" t="str">
        <f aca="false">IF($E106="","",$E106&amp;"|"&amp;COUNTIF($E$5:$E106,$E106))</f>
        <v/>
      </c>
      <c r="K106" s="40" t="str">
        <f aca="false">IF($I106="","",LEN($I106))</f>
        <v/>
      </c>
      <c r="L106" s="13"/>
      <c r="M106" s="13"/>
      <c r="N106" s="13"/>
      <c r="O106" s="13"/>
      <c r="P106" s="152"/>
      <c r="Q106" s="149"/>
      <c r="R106" s="152"/>
      <c r="S106" s="152"/>
      <c r="T106" s="62" t="str">
        <f aca="false">IF(OR($C106="",R106=""),"",IF(R106/IF($R$2="",100,$R$2)&gt;=設定!$I$28,設定!$G$8,IF(R106/IF($R$2="",100,$R$2)&lt;設定!$I$29,設定!$G$10,設定!$G$9)))</f>
        <v/>
      </c>
      <c r="U106" s="62" t="str">
        <f aca="false">IF(OR($C106="",S106=""),"",IF(S106/IF($S$2="",100,$S$2)&gt;=設定!$I$28,設定!$G$8,IF(S106/IF($S$2="",100,$S$2)&lt;設定!$I$29,設定!$G$10,設定!$G$9)))</f>
        <v/>
      </c>
    </row>
    <row r="107" customFormat="false" ht="21" hidden="false" customHeight="true" outlineLevel="0" collapsed="false">
      <c r="A107" s="91" t="str">
        <f aca="false">IF(名簿!$D107="","",名簿!$B107&amp;"")</f>
        <v/>
      </c>
      <c r="B107" s="91" t="str">
        <f aca="false">IF(名簿!$D107="","",名簿!$C107)</f>
        <v/>
      </c>
      <c r="C107" s="59" t="str">
        <f aca="false">IF(名簿!$D107="","",名簿!$D107&amp;IF(名簿!$F107="転出","（転出）",""))</f>
        <v/>
      </c>
      <c r="D107" s="149"/>
      <c r="E107" s="61" t="str">
        <f aca="false">IF(OR($C107="",名簿!$F107="転出"),"",IF($C$2="学級ごと",$A107,IF($C$2="前の単元と同じ",単元18!$E107&amp;"",$D107&amp;"")))</f>
        <v/>
      </c>
      <c r="F107" s="150"/>
      <c r="G107" s="150"/>
      <c r="H107" s="150"/>
      <c r="I107" s="151"/>
      <c r="J107" s="41" t="str">
        <f aca="false">IF($E107="","",$E107&amp;"|"&amp;COUNTIF($E$5:$E107,$E107))</f>
        <v/>
      </c>
      <c r="K107" s="40" t="str">
        <f aca="false">IF($I107="","",LEN($I107))</f>
        <v/>
      </c>
      <c r="L107" s="13"/>
      <c r="M107" s="13"/>
      <c r="N107" s="13"/>
      <c r="O107" s="13"/>
      <c r="P107" s="152"/>
      <c r="Q107" s="149"/>
      <c r="R107" s="152"/>
      <c r="S107" s="152"/>
      <c r="T107" s="62" t="str">
        <f aca="false">IF(OR($C107="",R107=""),"",IF(R107/IF($R$2="",100,$R$2)&gt;=設定!$I$28,設定!$G$8,IF(R107/IF($R$2="",100,$R$2)&lt;設定!$I$29,設定!$G$10,設定!$G$9)))</f>
        <v/>
      </c>
      <c r="U107" s="62" t="str">
        <f aca="false">IF(OR($C107="",S107=""),"",IF(S107/IF($S$2="",100,$S$2)&gt;=設定!$I$28,設定!$G$8,IF(S107/IF($S$2="",100,$S$2)&lt;設定!$I$29,設定!$G$10,設定!$G$9)))</f>
        <v/>
      </c>
    </row>
    <row r="108" customFormat="false" ht="21" hidden="false" customHeight="true" outlineLevel="0" collapsed="false">
      <c r="A108" s="91" t="str">
        <f aca="false">IF(名簿!$D108="","",名簿!$B108&amp;"")</f>
        <v/>
      </c>
      <c r="B108" s="91" t="str">
        <f aca="false">IF(名簿!$D108="","",名簿!$C108)</f>
        <v/>
      </c>
      <c r="C108" s="59" t="str">
        <f aca="false">IF(名簿!$D108="","",名簿!$D108&amp;IF(名簿!$F108="転出","（転出）",""))</f>
        <v/>
      </c>
      <c r="D108" s="149"/>
      <c r="E108" s="61" t="str">
        <f aca="false">IF(OR($C108="",名簿!$F108="転出"),"",IF($C$2="学級ごと",$A108,IF($C$2="前の単元と同じ",単元18!$E108&amp;"",$D108&amp;"")))</f>
        <v/>
      </c>
      <c r="F108" s="150"/>
      <c r="G108" s="150"/>
      <c r="H108" s="150"/>
      <c r="I108" s="151"/>
      <c r="J108" s="41" t="str">
        <f aca="false">IF($E108="","",$E108&amp;"|"&amp;COUNTIF($E$5:$E108,$E108))</f>
        <v/>
      </c>
      <c r="K108" s="40" t="str">
        <f aca="false">IF($I108="","",LEN($I108))</f>
        <v/>
      </c>
      <c r="L108" s="13"/>
      <c r="M108" s="13"/>
      <c r="N108" s="13"/>
      <c r="O108" s="13"/>
      <c r="P108" s="152"/>
      <c r="Q108" s="149"/>
      <c r="R108" s="152"/>
      <c r="S108" s="152"/>
      <c r="T108" s="62" t="str">
        <f aca="false">IF(OR($C108="",R108=""),"",IF(R108/IF($R$2="",100,$R$2)&gt;=設定!$I$28,設定!$G$8,IF(R108/IF($R$2="",100,$R$2)&lt;設定!$I$29,設定!$G$10,設定!$G$9)))</f>
        <v/>
      </c>
      <c r="U108" s="62" t="str">
        <f aca="false">IF(OR($C108="",S108=""),"",IF(S108/IF($S$2="",100,$S$2)&gt;=設定!$I$28,設定!$G$8,IF(S108/IF($S$2="",100,$S$2)&lt;設定!$I$29,設定!$G$10,設定!$G$9)))</f>
        <v/>
      </c>
    </row>
    <row r="109" customFormat="false" ht="21" hidden="false" customHeight="true" outlineLevel="0" collapsed="false">
      <c r="A109" s="91" t="str">
        <f aca="false">IF(名簿!$D109="","",名簿!$B109&amp;"")</f>
        <v/>
      </c>
      <c r="B109" s="91" t="str">
        <f aca="false">IF(名簿!$D109="","",名簿!$C109)</f>
        <v/>
      </c>
      <c r="C109" s="59" t="str">
        <f aca="false">IF(名簿!$D109="","",名簿!$D109&amp;IF(名簿!$F109="転出","（転出）",""))</f>
        <v/>
      </c>
      <c r="D109" s="149"/>
      <c r="E109" s="61" t="str">
        <f aca="false">IF(OR($C109="",名簿!$F109="転出"),"",IF($C$2="学級ごと",$A109,IF($C$2="前の単元と同じ",単元18!$E109&amp;"",$D109&amp;"")))</f>
        <v/>
      </c>
      <c r="F109" s="150"/>
      <c r="G109" s="150"/>
      <c r="H109" s="150"/>
      <c r="I109" s="151"/>
      <c r="J109" s="41" t="str">
        <f aca="false">IF($E109="","",$E109&amp;"|"&amp;COUNTIF($E$5:$E109,$E109))</f>
        <v/>
      </c>
      <c r="K109" s="40" t="str">
        <f aca="false">IF($I109="","",LEN($I109))</f>
        <v/>
      </c>
      <c r="L109" s="13"/>
      <c r="M109" s="13"/>
      <c r="N109" s="13"/>
      <c r="O109" s="13"/>
      <c r="P109" s="152"/>
      <c r="Q109" s="149"/>
      <c r="R109" s="152"/>
      <c r="S109" s="152"/>
      <c r="T109" s="62" t="str">
        <f aca="false">IF(OR($C109="",R109=""),"",IF(R109/IF($R$2="",100,$R$2)&gt;=設定!$I$28,設定!$G$8,IF(R109/IF($R$2="",100,$R$2)&lt;設定!$I$29,設定!$G$10,設定!$G$9)))</f>
        <v/>
      </c>
      <c r="U109" s="62" t="str">
        <f aca="false">IF(OR($C109="",S109=""),"",IF(S109/IF($S$2="",100,$S$2)&gt;=設定!$I$28,設定!$G$8,IF(S109/IF($S$2="",100,$S$2)&lt;設定!$I$29,設定!$G$10,設定!$G$9)))</f>
        <v/>
      </c>
    </row>
    <row r="110" customFormat="false" ht="21" hidden="false" customHeight="true" outlineLevel="0" collapsed="false">
      <c r="A110" s="91" t="str">
        <f aca="false">IF(名簿!$D110="","",名簿!$B110&amp;"")</f>
        <v/>
      </c>
      <c r="B110" s="91" t="str">
        <f aca="false">IF(名簿!$D110="","",名簿!$C110)</f>
        <v/>
      </c>
      <c r="C110" s="59" t="str">
        <f aca="false">IF(名簿!$D110="","",名簿!$D110&amp;IF(名簿!$F110="転出","（転出）",""))</f>
        <v/>
      </c>
      <c r="D110" s="149"/>
      <c r="E110" s="61" t="str">
        <f aca="false">IF(OR($C110="",名簿!$F110="転出"),"",IF($C$2="学級ごと",$A110,IF($C$2="前の単元と同じ",単元18!$E110&amp;"",$D110&amp;"")))</f>
        <v/>
      </c>
      <c r="F110" s="150"/>
      <c r="G110" s="150"/>
      <c r="H110" s="150"/>
      <c r="I110" s="151"/>
      <c r="J110" s="41" t="str">
        <f aca="false">IF($E110="","",$E110&amp;"|"&amp;COUNTIF($E$5:$E110,$E110))</f>
        <v/>
      </c>
      <c r="K110" s="40" t="str">
        <f aca="false">IF($I110="","",LEN($I110))</f>
        <v/>
      </c>
      <c r="L110" s="13"/>
      <c r="M110" s="13"/>
      <c r="N110" s="13"/>
      <c r="O110" s="13"/>
      <c r="P110" s="152"/>
      <c r="Q110" s="149"/>
      <c r="R110" s="152"/>
      <c r="S110" s="152"/>
      <c r="T110" s="62" t="str">
        <f aca="false">IF(OR($C110="",R110=""),"",IF(R110/IF($R$2="",100,$R$2)&gt;=設定!$I$28,設定!$G$8,IF(R110/IF($R$2="",100,$R$2)&lt;設定!$I$29,設定!$G$10,設定!$G$9)))</f>
        <v/>
      </c>
      <c r="U110" s="62" t="str">
        <f aca="false">IF(OR($C110="",S110=""),"",IF(S110/IF($S$2="",100,$S$2)&gt;=設定!$I$28,設定!$G$8,IF(S110/IF($S$2="",100,$S$2)&lt;設定!$I$29,設定!$G$10,設定!$G$9)))</f>
        <v/>
      </c>
    </row>
    <row r="111" customFormat="false" ht="21" hidden="false" customHeight="true" outlineLevel="0" collapsed="false">
      <c r="A111" s="91" t="str">
        <f aca="false">IF(名簿!$D111="","",名簿!$B111&amp;"")</f>
        <v/>
      </c>
      <c r="B111" s="91" t="str">
        <f aca="false">IF(名簿!$D111="","",名簿!$C111)</f>
        <v/>
      </c>
      <c r="C111" s="59" t="str">
        <f aca="false">IF(名簿!$D111="","",名簿!$D111&amp;IF(名簿!$F111="転出","（転出）",""))</f>
        <v/>
      </c>
      <c r="D111" s="149"/>
      <c r="E111" s="61" t="str">
        <f aca="false">IF(OR($C111="",名簿!$F111="転出"),"",IF($C$2="学級ごと",$A111,IF($C$2="前の単元と同じ",単元18!$E111&amp;"",$D111&amp;"")))</f>
        <v/>
      </c>
      <c r="F111" s="150"/>
      <c r="G111" s="150"/>
      <c r="H111" s="150"/>
      <c r="I111" s="151"/>
      <c r="J111" s="41" t="str">
        <f aca="false">IF($E111="","",$E111&amp;"|"&amp;COUNTIF($E$5:$E111,$E111))</f>
        <v/>
      </c>
      <c r="K111" s="40" t="str">
        <f aca="false">IF($I111="","",LEN($I111))</f>
        <v/>
      </c>
      <c r="L111" s="13"/>
      <c r="M111" s="13"/>
      <c r="N111" s="13"/>
      <c r="O111" s="13"/>
      <c r="P111" s="152"/>
      <c r="Q111" s="149"/>
      <c r="R111" s="152"/>
      <c r="S111" s="152"/>
      <c r="T111" s="62" t="str">
        <f aca="false">IF(OR($C111="",R111=""),"",IF(R111/IF($R$2="",100,$R$2)&gt;=設定!$I$28,設定!$G$8,IF(R111/IF($R$2="",100,$R$2)&lt;設定!$I$29,設定!$G$10,設定!$G$9)))</f>
        <v/>
      </c>
      <c r="U111" s="62" t="str">
        <f aca="false">IF(OR($C111="",S111=""),"",IF(S111/IF($S$2="",100,$S$2)&gt;=設定!$I$28,設定!$G$8,IF(S111/IF($S$2="",100,$S$2)&lt;設定!$I$29,設定!$G$10,設定!$G$9)))</f>
        <v/>
      </c>
    </row>
    <row r="112" customFormat="false" ht="21" hidden="false" customHeight="true" outlineLevel="0" collapsed="false">
      <c r="A112" s="91" t="str">
        <f aca="false">IF(名簿!$D112="","",名簿!$B112&amp;"")</f>
        <v/>
      </c>
      <c r="B112" s="91" t="str">
        <f aca="false">IF(名簿!$D112="","",名簿!$C112)</f>
        <v/>
      </c>
      <c r="C112" s="59" t="str">
        <f aca="false">IF(名簿!$D112="","",名簿!$D112&amp;IF(名簿!$F112="転出","（転出）",""))</f>
        <v/>
      </c>
      <c r="D112" s="149"/>
      <c r="E112" s="61" t="str">
        <f aca="false">IF(OR($C112="",名簿!$F112="転出"),"",IF($C$2="学級ごと",$A112,IF($C$2="前の単元と同じ",単元18!$E112&amp;"",$D112&amp;"")))</f>
        <v/>
      </c>
      <c r="F112" s="150"/>
      <c r="G112" s="150"/>
      <c r="H112" s="150"/>
      <c r="I112" s="151"/>
      <c r="J112" s="41" t="str">
        <f aca="false">IF($E112="","",$E112&amp;"|"&amp;COUNTIF($E$5:$E112,$E112))</f>
        <v/>
      </c>
      <c r="K112" s="40" t="str">
        <f aca="false">IF($I112="","",LEN($I112))</f>
        <v/>
      </c>
      <c r="L112" s="13"/>
      <c r="M112" s="13"/>
      <c r="N112" s="13"/>
      <c r="O112" s="13"/>
      <c r="P112" s="152"/>
      <c r="Q112" s="149"/>
      <c r="R112" s="152"/>
      <c r="S112" s="152"/>
      <c r="T112" s="62" t="str">
        <f aca="false">IF(OR($C112="",R112=""),"",IF(R112/IF($R$2="",100,$R$2)&gt;=設定!$I$28,設定!$G$8,IF(R112/IF($R$2="",100,$R$2)&lt;設定!$I$29,設定!$G$10,設定!$G$9)))</f>
        <v/>
      </c>
      <c r="U112" s="62" t="str">
        <f aca="false">IF(OR($C112="",S112=""),"",IF(S112/IF($S$2="",100,$S$2)&gt;=設定!$I$28,設定!$G$8,IF(S112/IF($S$2="",100,$S$2)&lt;設定!$I$29,設定!$G$10,設定!$G$9)))</f>
        <v/>
      </c>
    </row>
    <row r="113" customFormat="false" ht="21" hidden="false" customHeight="true" outlineLevel="0" collapsed="false">
      <c r="A113" s="91" t="str">
        <f aca="false">IF(名簿!$D113="","",名簿!$B113&amp;"")</f>
        <v/>
      </c>
      <c r="B113" s="91" t="str">
        <f aca="false">IF(名簿!$D113="","",名簿!$C113)</f>
        <v/>
      </c>
      <c r="C113" s="59" t="str">
        <f aca="false">IF(名簿!$D113="","",名簿!$D113&amp;IF(名簿!$F113="転出","（転出）",""))</f>
        <v/>
      </c>
      <c r="D113" s="149"/>
      <c r="E113" s="61" t="str">
        <f aca="false">IF(OR($C113="",名簿!$F113="転出"),"",IF($C$2="学級ごと",$A113,IF($C$2="前の単元と同じ",単元18!$E113&amp;"",$D113&amp;"")))</f>
        <v/>
      </c>
      <c r="F113" s="150"/>
      <c r="G113" s="150"/>
      <c r="H113" s="150"/>
      <c r="I113" s="151"/>
      <c r="J113" s="41" t="str">
        <f aca="false">IF($E113="","",$E113&amp;"|"&amp;COUNTIF($E$5:$E113,$E113))</f>
        <v/>
      </c>
      <c r="K113" s="40" t="str">
        <f aca="false">IF($I113="","",LEN($I113))</f>
        <v/>
      </c>
      <c r="L113" s="13"/>
      <c r="M113" s="13"/>
      <c r="N113" s="13"/>
      <c r="O113" s="13"/>
      <c r="P113" s="152"/>
      <c r="Q113" s="149"/>
      <c r="R113" s="152"/>
      <c r="S113" s="152"/>
      <c r="T113" s="62" t="str">
        <f aca="false">IF(OR($C113="",R113=""),"",IF(R113/IF($R$2="",100,$R$2)&gt;=設定!$I$28,設定!$G$8,IF(R113/IF($R$2="",100,$R$2)&lt;設定!$I$29,設定!$G$10,設定!$G$9)))</f>
        <v/>
      </c>
      <c r="U113" s="62" t="str">
        <f aca="false">IF(OR($C113="",S113=""),"",IF(S113/IF($S$2="",100,$S$2)&gt;=設定!$I$28,設定!$G$8,IF(S113/IF($S$2="",100,$S$2)&lt;設定!$I$29,設定!$G$10,設定!$G$9)))</f>
        <v/>
      </c>
    </row>
    <row r="114" customFormat="false" ht="21" hidden="false" customHeight="true" outlineLevel="0" collapsed="false">
      <c r="A114" s="91" t="str">
        <f aca="false">IF(名簿!$D114="","",名簿!$B114&amp;"")</f>
        <v/>
      </c>
      <c r="B114" s="91" t="str">
        <f aca="false">IF(名簿!$D114="","",名簿!$C114)</f>
        <v/>
      </c>
      <c r="C114" s="59" t="str">
        <f aca="false">IF(名簿!$D114="","",名簿!$D114&amp;IF(名簿!$F114="転出","（転出）",""))</f>
        <v/>
      </c>
      <c r="D114" s="149"/>
      <c r="E114" s="61" t="str">
        <f aca="false">IF(OR($C114="",名簿!$F114="転出"),"",IF($C$2="学級ごと",$A114,IF($C$2="前の単元と同じ",単元18!$E114&amp;"",$D114&amp;"")))</f>
        <v/>
      </c>
      <c r="F114" s="150"/>
      <c r="G114" s="150"/>
      <c r="H114" s="150"/>
      <c r="I114" s="151"/>
      <c r="J114" s="41" t="str">
        <f aca="false">IF($E114="","",$E114&amp;"|"&amp;COUNTIF($E$5:$E114,$E114))</f>
        <v/>
      </c>
      <c r="K114" s="40" t="str">
        <f aca="false">IF($I114="","",LEN($I114))</f>
        <v/>
      </c>
      <c r="L114" s="13"/>
      <c r="M114" s="13"/>
      <c r="N114" s="13"/>
      <c r="O114" s="13"/>
      <c r="P114" s="152"/>
      <c r="Q114" s="149"/>
      <c r="R114" s="152"/>
      <c r="S114" s="152"/>
      <c r="T114" s="62" t="str">
        <f aca="false">IF(OR($C114="",R114=""),"",IF(R114/IF($R$2="",100,$R$2)&gt;=設定!$I$28,設定!$G$8,IF(R114/IF($R$2="",100,$R$2)&lt;設定!$I$29,設定!$G$10,設定!$G$9)))</f>
        <v/>
      </c>
      <c r="U114" s="62" t="str">
        <f aca="false">IF(OR($C114="",S114=""),"",IF(S114/IF($S$2="",100,$S$2)&gt;=設定!$I$28,設定!$G$8,IF(S114/IF($S$2="",100,$S$2)&lt;設定!$I$29,設定!$G$10,設定!$G$9)))</f>
        <v/>
      </c>
    </row>
    <row r="115" customFormat="false" ht="21" hidden="false" customHeight="true" outlineLevel="0" collapsed="false">
      <c r="A115" s="91" t="str">
        <f aca="false">IF(名簿!$D115="","",名簿!$B115&amp;"")</f>
        <v/>
      </c>
      <c r="B115" s="91" t="str">
        <f aca="false">IF(名簿!$D115="","",名簿!$C115)</f>
        <v/>
      </c>
      <c r="C115" s="59" t="str">
        <f aca="false">IF(名簿!$D115="","",名簿!$D115&amp;IF(名簿!$F115="転出","（転出）",""))</f>
        <v/>
      </c>
      <c r="D115" s="149"/>
      <c r="E115" s="61" t="str">
        <f aca="false">IF(OR($C115="",名簿!$F115="転出"),"",IF($C$2="学級ごと",$A115,IF($C$2="前の単元と同じ",単元18!$E115&amp;"",$D115&amp;"")))</f>
        <v/>
      </c>
      <c r="F115" s="150"/>
      <c r="G115" s="150"/>
      <c r="H115" s="150"/>
      <c r="I115" s="151"/>
      <c r="J115" s="41" t="str">
        <f aca="false">IF($E115="","",$E115&amp;"|"&amp;COUNTIF($E$5:$E115,$E115))</f>
        <v/>
      </c>
      <c r="K115" s="40" t="str">
        <f aca="false">IF($I115="","",LEN($I115))</f>
        <v/>
      </c>
      <c r="L115" s="13"/>
      <c r="M115" s="13"/>
      <c r="N115" s="13"/>
      <c r="O115" s="13"/>
      <c r="P115" s="152"/>
      <c r="Q115" s="149"/>
      <c r="R115" s="152"/>
      <c r="S115" s="152"/>
      <c r="T115" s="62" t="str">
        <f aca="false">IF(OR($C115="",R115=""),"",IF(R115/IF($R$2="",100,$R$2)&gt;=設定!$I$28,設定!$G$8,IF(R115/IF($R$2="",100,$R$2)&lt;設定!$I$29,設定!$G$10,設定!$G$9)))</f>
        <v/>
      </c>
      <c r="U115" s="62" t="str">
        <f aca="false">IF(OR($C115="",S115=""),"",IF(S115/IF($S$2="",100,$S$2)&gt;=設定!$I$28,設定!$G$8,IF(S115/IF($S$2="",100,$S$2)&lt;設定!$I$29,設定!$G$10,設定!$G$9)))</f>
        <v/>
      </c>
    </row>
    <row r="116" customFormat="false" ht="21" hidden="false" customHeight="true" outlineLevel="0" collapsed="false">
      <c r="A116" s="91" t="str">
        <f aca="false">IF(名簿!$D116="","",名簿!$B116&amp;"")</f>
        <v/>
      </c>
      <c r="B116" s="91" t="str">
        <f aca="false">IF(名簿!$D116="","",名簿!$C116)</f>
        <v/>
      </c>
      <c r="C116" s="59" t="str">
        <f aca="false">IF(名簿!$D116="","",名簿!$D116&amp;IF(名簿!$F116="転出","（転出）",""))</f>
        <v/>
      </c>
      <c r="D116" s="149"/>
      <c r="E116" s="61" t="str">
        <f aca="false">IF(OR($C116="",名簿!$F116="転出"),"",IF($C$2="学級ごと",$A116,IF($C$2="前の単元と同じ",単元18!$E116&amp;"",$D116&amp;"")))</f>
        <v/>
      </c>
      <c r="F116" s="150"/>
      <c r="G116" s="150"/>
      <c r="H116" s="150"/>
      <c r="I116" s="151"/>
      <c r="J116" s="41" t="str">
        <f aca="false">IF($E116="","",$E116&amp;"|"&amp;COUNTIF($E$5:$E116,$E116))</f>
        <v/>
      </c>
      <c r="K116" s="40" t="str">
        <f aca="false">IF($I116="","",LEN($I116))</f>
        <v/>
      </c>
      <c r="L116" s="13"/>
      <c r="M116" s="13"/>
      <c r="N116" s="13"/>
      <c r="O116" s="13"/>
      <c r="P116" s="152"/>
      <c r="Q116" s="149"/>
      <c r="R116" s="152"/>
      <c r="S116" s="152"/>
      <c r="T116" s="62" t="str">
        <f aca="false">IF(OR($C116="",R116=""),"",IF(R116/IF($R$2="",100,$R$2)&gt;=設定!$I$28,設定!$G$8,IF(R116/IF($R$2="",100,$R$2)&lt;設定!$I$29,設定!$G$10,設定!$G$9)))</f>
        <v/>
      </c>
      <c r="U116" s="62" t="str">
        <f aca="false">IF(OR($C116="",S116=""),"",IF(S116/IF($S$2="",100,$S$2)&gt;=設定!$I$28,設定!$G$8,IF(S116/IF($S$2="",100,$S$2)&lt;設定!$I$29,設定!$G$10,設定!$G$9)))</f>
        <v/>
      </c>
    </row>
    <row r="117" customFormat="false" ht="21" hidden="false" customHeight="true" outlineLevel="0" collapsed="false">
      <c r="A117" s="91" t="str">
        <f aca="false">IF(名簿!$D117="","",名簿!$B117&amp;"")</f>
        <v/>
      </c>
      <c r="B117" s="91" t="str">
        <f aca="false">IF(名簿!$D117="","",名簿!$C117)</f>
        <v/>
      </c>
      <c r="C117" s="59" t="str">
        <f aca="false">IF(名簿!$D117="","",名簿!$D117&amp;IF(名簿!$F117="転出","（転出）",""))</f>
        <v/>
      </c>
      <c r="D117" s="149"/>
      <c r="E117" s="61" t="str">
        <f aca="false">IF(OR($C117="",名簿!$F117="転出"),"",IF($C$2="学級ごと",$A117,IF($C$2="前の単元と同じ",単元18!$E117&amp;"",$D117&amp;"")))</f>
        <v/>
      </c>
      <c r="F117" s="150"/>
      <c r="G117" s="150"/>
      <c r="H117" s="150"/>
      <c r="I117" s="151"/>
      <c r="J117" s="41" t="str">
        <f aca="false">IF($E117="","",$E117&amp;"|"&amp;COUNTIF($E$5:$E117,$E117))</f>
        <v/>
      </c>
      <c r="K117" s="40" t="str">
        <f aca="false">IF($I117="","",LEN($I117))</f>
        <v/>
      </c>
      <c r="L117" s="13"/>
      <c r="M117" s="13"/>
      <c r="N117" s="13"/>
      <c r="O117" s="13"/>
      <c r="P117" s="152"/>
      <c r="Q117" s="149"/>
      <c r="R117" s="152"/>
      <c r="S117" s="152"/>
      <c r="T117" s="62" t="str">
        <f aca="false">IF(OR($C117="",R117=""),"",IF(R117/IF($R$2="",100,$R$2)&gt;=設定!$I$28,設定!$G$8,IF(R117/IF($R$2="",100,$R$2)&lt;設定!$I$29,設定!$G$10,設定!$G$9)))</f>
        <v/>
      </c>
      <c r="U117" s="62" t="str">
        <f aca="false">IF(OR($C117="",S117=""),"",IF(S117/IF($S$2="",100,$S$2)&gt;=設定!$I$28,設定!$G$8,IF(S117/IF($S$2="",100,$S$2)&lt;設定!$I$29,設定!$G$10,設定!$G$9)))</f>
        <v/>
      </c>
    </row>
    <row r="118" customFormat="false" ht="21" hidden="false" customHeight="true" outlineLevel="0" collapsed="false">
      <c r="A118" s="91" t="str">
        <f aca="false">IF(名簿!$D118="","",名簿!$B118&amp;"")</f>
        <v/>
      </c>
      <c r="B118" s="91" t="str">
        <f aca="false">IF(名簿!$D118="","",名簿!$C118)</f>
        <v/>
      </c>
      <c r="C118" s="59" t="str">
        <f aca="false">IF(名簿!$D118="","",名簿!$D118&amp;IF(名簿!$F118="転出","（転出）",""))</f>
        <v/>
      </c>
      <c r="D118" s="149"/>
      <c r="E118" s="61" t="str">
        <f aca="false">IF(OR($C118="",名簿!$F118="転出"),"",IF($C$2="学級ごと",$A118,IF($C$2="前の単元と同じ",単元18!$E118&amp;"",$D118&amp;"")))</f>
        <v/>
      </c>
      <c r="F118" s="150"/>
      <c r="G118" s="150"/>
      <c r="H118" s="150"/>
      <c r="I118" s="151"/>
      <c r="J118" s="41" t="str">
        <f aca="false">IF($E118="","",$E118&amp;"|"&amp;COUNTIF($E$5:$E118,$E118))</f>
        <v/>
      </c>
      <c r="K118" s="40" t="str">
        <f aca="false">IF($I118="","",LEN($I118))</f>
        <v/>
      </c>
      <c r="L118" s="13"/>
      <c r="M118" s="13"/>
      <c r="N118" s="13"/>
      <c r="O118" s="13"/>
      <c r="P118" s="152"/>
      <c r="Q118" s="149"/>
      <c r="R118" s="152"/>
      <c r="S118" s="152"/>
      <c r="T118" s="62" t="str">
        <f aca="false">IF(OR($C118="",R118=""),"",IF(R118/IF($R$2="",100,$R$2)&gt;=設定!$I$28,設定!$G$8,IF(R118/IF($R$2="",100,$R$2)&lt;設定!$I$29,設定!$G$10,設定!$G$9)))</f>
        <v/>
      </c>
      <c r="U118" s="62" t="str">
        <f aca="false">IF(OR($C118="",S118=""),"",IF(S118/IF($S$2="",100,$S$2)&gt;=設定!$I$28,設定!$G$8,IF(S118/IF($S$2="",100,$S$2)&lt;設定!$I$29,設定!$G$10,設定!$G$9)))</f>
        <v/>
      </c>
    </row>
    <row r="119" customFormat="false" ht="21" hidden="false" customHeight="true" outlineLevel="0" collapsed="false">
      <c r="A119" s="91" t="str">
        <f aca="false">IF(名簿!$D119="","",名簿!$B119&amp;"")</f>
        <v/>
      </c>
      <c r="B119" s="91" t="str">
        <f aca="false">IF(名簿!$D119="","",名簿!$C119)</f>
        <v/>
      </c>
      <c r="C119" s="59" t="str">
        <f aca="false">IF(名簿!$D119="","",名簿!$D119&amp;IF(名簿!$F119="転出","（転出）",""))</f>
        <v/>
      </c>
      <c r="D119" s="149"/>
      <c r="E119" s="61" t="str">
        <f aca="false">IF(OR($C119="",名簿!$F119="転出"),"",IF($C$2="学級ごと",$A119,IF($C$2="前の単元と同じ",単元18!$E119&amp;"",$D119&amp;"")))</f>
        <v/>
      </c>
      <c r="F119" s="150"/>
      <c r="G119" s="150"/>
      <c r="H119" s="150"/>
      <c r="I119" s="151"/>
      <c r="J119" s="41" t="str">
        <f aca="false">IF($E119="","",$E119&amp;"|"&amp;COUNTIF($E$5:$E119,$E119))</f>
        <v/>
      </c>
      <c r="K119" s="40" t="str">
        <f aca="false">IF($I119="","",LEN($I119))</f>
        <v/>
      </c>
      <c r="L119" s="13"/>
      <c r="M119" s="13"/>
      <c r="N119" s="13"/>
      <c r="O119" s="13"/>
      <c r="P119" s="152"/>
      <c r="Q119" s="149"/>
      <c r="R119" s="152"/>
      <c r="S119" s="152"/>
      <c r="T119" s="62" t="str">
        <f aca="false">IF(OR($C119="",R119=""),"",IF(R119/IF($R$2="",100,$R$2)&gt;=設定!$I$28,設定!$G$8,IF(R119/IF($R$2="",100,$R$2)&lt;設定!$I$29,設定!$G$10,設定!$G$9)))</f>
        <v/>
      </c>
      <c r="U119" s="62" t="str">
        <f aca="false">IF(OR($C119="",S119=""),"",IF(S119/IF($S$2="",100,$S$2)&gt;=設定!$I$28,設定!$G$8,IF(S119/IF($S$2="",100,$S$2)&lt;設定!$I$29,設定!$G$10,設定!$G$9)))</f>
        <v/>
      </c>
    </row>
    <row r="120" customFormat="false" ht="21" hidden="false" customHeight="true" outlineLevel="0" collapsed="false">
      <c r="A120" s="91" t="str">
        <f aca="false">IF(名簿!$D120="","",名簿!$B120&amp;"")</f>
        <v/>
      </c>
      <c r="B120" s="91" t="str">
        <f aca="false">IF(名簿!$D120="","",名簿!$C120)</f>
        <v/>
      </c>
      <c r="C120" s="59" t="str">
        <f aca="false">IF(名簿!$D120="","",名簿!$D120&amp;IF(名簿!$F120="転出","（転出）",""))</f>
        <v/>
      </c>
      <c r="D120" s="149"/>
      <c r="E120" s="61" t="str">
        <f aca="false">IF(OR($C120="",名簿!$F120="転出"),"",IF($C$2="学級ごと",$A120,IF($C$2="前の単元と同じ",単元18!$E120&amp;"",$D120&amp;"")))</f>
        <v/>
      </c>
      <c r="F120" s="150"/>
      <c r="G120" s="150"/>
      <c r="H120" s="150"/>
      <c r="I120" s="151"/>
      <c r="J120" s="41" t="str">
        <f aca="false">IF($E120="","",$E120&amp;"|"&amp;COUNTIF($E$5:$E120,$E120))</f>
        <v/>
      </c>
      <c r="K120" s="40" t="str">
        <f aca="false">IF($I120="","",LEN($I120))</f>
        <v/>
      </c>
      <c r="L120" s="13"/>
      <c r="M120" s="13"/>
      <c r="N120" s="13"/>
      <c r="O120" s="13"/>
      <c r="P120" s="152"/>
      <c r="Q120" s="149"/>
      <c r="R120" s="152"/>
      <c r="S120" s="152"/>
      <c r="T120" s="62" t="str">
        <f aca="false">IF(OR($C120="",R120=""),"",IF(R120/IF($R$2="",100,$R$2)&gt;=設定!$I$28,設定!$G$8,IF(R120/IF($R$2="",100,$R$2)&lt;設定!$I$29,設定!$G$10,設定!$G$9)))</f>
        <v/>
      </c>
      <c r="U120" s="62" t="str">
        <f aca="false">IF(OR($C120="",S120=""),"",IF(S120/IF($S$2="",100,$S$2)&gt;=設定!$I$28,設定!$G$8,IF(S120/IF($S$2="",100,$S$2)&lt;設定!$I$29,設定!$G$10,設定!$G$9)))</f>
        <v/>
      </c>
    </row>
    <row r="121" customFormat="false" ht="21" hidden="false" customHeight="true" outlineLevel="0" collapsed="false">
      <c r="A121" s="91" t="str">
        <f aca="false">IF(名簿!$D121="","",名簿!$B121&amp;"")</f>
        <v/>
      </c>
      <c r="B121" s="91" t="str">
        <f aca="false">IF(名簿!$D121="","",名簿!$C121)</f>
        <v/>
      </c>
      <c r="C121" s="59" t="str">
        <f aca="false">IF(名簿!$D121="","",名簿!$D121&amp;IF(名簿!$F121="転出","（転出）",""))</f>
        <v/>
      </c>
      <c r="D121" s="149"/>
      <c r="E121" s="61" t="str">
        <f aca="false">IF(OR($C121="",名簿!$F121="転出"),"",IF($C$2="学級ごと",$A121,IF($C$2="前の単元と同じ",単元18!$E121&amp;"",$D121&amp;"")))</f>
        <v/>
      </c>
      <c r="F121" s="150"/>
      <c r="G121" s="150"/>
      <c r="H121" s="150"/>
      <c r="I121" s="151"/>
      <c r="J121" s="41" t="str">
        <f aca="false">IF($E121="","",$E121&amp;"|"&amp;COUNTIF($E$5:$E121,$E121))</f>
        <v/>
      </c>
      <c r="K121" s="40" t="str">
        <f aca="false">IF($I121="","",LEN($I121))</f>
        <v/>
      </c>
      <c r="L121" s="13"/>
      <c r="M121" s="13"/>
      <c r="N121" s="13"/>
      <c r="O121" s="13"/>
      <c r="P121" s="152"/>
      <c r="Q121" s="149"/>
      <c r="R121" s="152"/>
      <c r="S121" s="152"/>
      <c r="T121" s="62" t="str">
        <f aca="false">IF(OR($C121="",R121=""),"",IF(R121/IF($R$2="",100,$R$2)&gt;=設定!$I$28,設定!$G$8,IF(R121/IF($R$2="",100,$R$2)&lt;設定!$I$29,設定!$G$10,設定!$G$9)))</f>
        <v/>
      </c>
      <c r="U121" s="62" t="str">
        <f aca="false">IF(OR($C121="",S121=""),"",IF(S121/IF($S$2="",100,$S$2)&gt;=設定!$I$28,設定!$G$8,IF(S121/IF($S$2="",100,$S$2)&lt;設定!$I$29,設定!$G$10,設定!$G$9)))</f>
        <v/>
      </c>
    </row>
    <row r="122" customFormat="false" ht="21" hidden="false" customHeight="true" outlineLevel="0" collapsed="false">
      <c r="A122" s="91" t="str">
        <f aca="false">IF(名簿!$D122="","",名簿!$B122&amp;"")</f>
        <v/>
      </c>
      <c r="B122" s="91" t="str">
        <f aca="false">IF(名簿!$D122="","",名簿!$C122)</f>
        <v/>
      </c>
      <c r="C122" s="59" t="str">
        <f aca="false">IF(名簿!$D122="","",名簿!$D122&amp;IF(名簿!$F122="転出","（転出）",""))</f>
        <v/>
      </c>
      <c r="D122" s="149"/>
      <c r="E122" s="61" t="str">
        <f aca="false">IF(OR($C122="",名簿!$F122="転出"),"",IF($C$2="学級ごと",$A122,IF($C$2="前の単元と同じ",単元18!$E122&amp;"",$D122&amp;"")))</f>
        <v/>
      </c>
      <c r="F122" s="150"/>
      <c r="G122" s="150"/>
      <c r="H122" s="150"/>
      <c r="I122" s="151"/>
      <c r="J122" s="41" t="str">
        <f aca="false">IF($E122="","",$E122&amp;"|"&amp;COUNTIF($E$5:$E122,$E122))</f>
        <v/>
      </c>
      <c r="K122" s="40" t="str">
        <f aca="false">IF($I122="","",LEN($I122))</f>
        <v/>
      </c>
      <c r="L122" s="13"/>
      <c r="M122" s="13"/>
      <c r="N122" s="13"/>
      <c r="O122" s="13"/>
      <c r="P122" s="152"/>
      <c r="Q122" s="149"/>
      <c r="R122" s="152"/>
      <c r="S122" s="152"/>
      <c r="T122" s="62" t="str">
        <f aca="false">IF(OR($C122="",R122=""),"",IF(R122/IF($R$2="",100,$R$2)&gt;=設定!$I$28,設定!$G$8,IF(R122/IF($R$2="",100,$R$2)&lt;設定!$I$29,設定!$G$10,設定!$G$9)))</f>
        <v/>
      </c>
      <c r="U122" s="62" t="str">
        <f aca="false">IF(OR($C122="",S122=""),"",IF(S122/IF($S$2="",100,$S$2)&gt;=設定!$I$28,設定!$G$8,IF(S122/IF($S$2="",100,$S$2)&lt;設定!$I$29,設定!$G$10,設定!$G$9)))</f>
        <v/>
      </c>
    </row>
    <row r="123" customFormat="false" ht="21" hidden="false" customHeight="true" outlineLevel="0" collapsed="false">
      <c r="A123" s="91" t="str">
        <f aca="false">IF(名簿!$D123="","",名簿!$B123&amp;"")</f>
        <v/>
      </c>
      <c r="B123" s="91" t="str">
        <f aca="false">IF(名簿!$D123="","",名簿!$C123)</f>
        <v/>
      </c>
      <c r="C123" s="59" t="str">
        <f aca="false">IF(名簿!$D123="","",名簿!$D123&amp;IF(名簿!$F123="転出","（転出）",""))</f>
        <v/>
      </c>
      <c r="D123" s="149"/>
      <c r="E123" s="61" t="str">
        <f aca="false">IF(OR($C123="",名簿!$F123="転出"),"",IF($C$2="学級ごと",$A123,IF($C$2="前の単元と同じ",単元18!$E123&amp;"",$D123&amp;"")))</f>
        <v/>
      </c>
      <c r="F123" s="150"/>
      <c r="G123" s="150"/>
      <c r="H123" s="150"/>
      <c r="I123" s="151"/>
      <c r="J123" s="41" t="str">
        <f aca="false">IF($E123="","",$E123&amp;"|"&amp;COUNTIF($E$5:$E123,$E123))</f>
        <v/>
      </c>
      <c r="K123" s="40" t="str">
        <f aca="false">IF($I123="","",LEN($I123))</f>
        <v/>
      </c>
      <c r="L123" s="13"/>
      <c r="M123" s="13"/>
      <c r="N123" s="13"/>
      <c r="O123" s="13"/>
      <c r="P123" s="152"/>
      <c r="Q123" s="149"/>
      <c r="R123" s="152"/>
      <c r="S123" s="152"/>
      <c r="T123" s="62" t="str">
        <f aca="false">IF(OR($C123="",R123=""),"",IF(R123/IF($R$2="",100,$R$2)&gt;=設定!$I$28,設定!$G$8,IF(R123/IF($R$2="",100,$R$2)&lt;設定!$I$29,設定!$G$10,設定!$G$9)))</f>
        <v/>
      </c>
      <c r="U123" s="62" t="str">
        <f aca="false">IF(OR($C123="",S123=""),"",IF(S123/IF($S$2="",100,$S$2)&gt;=設定!$I$28,設定!$G$8,IF(S123/IF($S$2="",100,$S$2)&lt;設定!$I$29,設定!$G$10,設定!$G$9)))</f>
        <v/>
      </c>
    </row>
    <row r="124" customFormat="false" ht="21" hidden="false" customHeight="true" outlineLevel="0" collapsed="false">
      <c r="A124" s="91" t="str">
        <f aca="false">IF(名簿!$D124="","",名簿!$B124&amp;"")</f>
        <v/>
      </c>
      <c r="B124" s="91" t="str">
        <f aca="false">IF(名簿!$D124="","",名簿!$C124)</f>
        <v/>
      </c>
      <c r="C124" s="59" t="str">
        <f aca="false">IF(名簿!$D124="","",名簿!$D124&amp;IF(名簿!$F124="転出","（転出）",""))</f>
        <v/>
      </c>
      <c r="D124" s="149"/>
      <c r="E124" s="61" t="str">
        <f aca="false">IF(OR($C124="",名簿!$F124="転出"),"",IF($C$2="学級ごと",$A124,IF($C$2="前の単元と同じ",単元18!$E124&amp;"",$D124&amp;"")))</f>
        <v/>
      </c>
      <c r="F124" s="150"/>
      <c r="G124" s="150"/>
      <c r="H124" s="150"/>
      <c r="I124" s="151"/>
      <c r="J124" s="41" t="str">
        <f aca="false">IF($E124="","",$E124&amp;"|"&amp;COUNTIF($E$5:$E124,$E124))</f>
        <v/>
      </c>
      <c r="K124" s="40" t="str">
        <f aca="false">IF($I124="","",LEN($I124))</f>
        <v/>
      </c>
      <c r="L124" s="13"/>
      <c r="M124" s="13"/>
      <c r="N124" s="13"/>
      <c r="O124" s="13"/>
      <c r="P124" s="152"/>
      <c r="Q124" s="149"/>
      <c r="R124" s="152"/>
      <c r="S124" s="152"/>
      <c r="T124" s="62" t="str">
        <f aca="false">IF(OR($C124="",R124=""),"",IF(R124/IF($R$2="",100,$R$2)&gt;=設定!$I$28,設定!$G$8,IF(R124/IF($R$2="",100,$R$2)&lt;設定!$I$29,設定!$G$10,設定!$G$9)))</f>
        <v/>
      </c>
      <c r="U124" s="62" t="str">
        <f aca="false">IF(OR($C124="",S124=""),"",IF(S124/IF($S$2="",100,$S$2)&gt;=設定!$I$28,設定!$G$8,IF(S124/IF($S$2="",100,$S$2)&lt;設定!$I$29,設定!$G$10,設定!$G$9)))</f>
        <v/>
      </c>
    </row>
    <row r="125" customFormat="false" ht="21" hidden="false" customHeight="true" outlineLevel="0" collapsed="false">
      <c r="A125" s="91" t="str">
        <f aca="false">IF(名簿!$D125="","",名簿!$B125&amp;"")</f>
        <v/>
      </c>
      <c r="B125" s="91" t="str">
        <f aca="false">IF(名簿!$D125="","",名簿!$C125)</f>
        <v/>
      </c>
      <c r="C125" s="59" t="str">
        <f aca="false">IF(名簿!$D125="","",名簿!$D125&amp;IF(名簿!$F125="転出","（転出）",""))</f>
        <v/>
      </c>
      <c r="D125" s="149"/>
      <c r="E125" s="61" t="str">
        <f aca="false">IF(OR($C125="",名簿!$F125="転出"),"",IF($C$2="学級ごと",$A125,IF($C$2="前の単元と同じ",単元18!$E125&amp;"",$D125&amp;"")))</f>
        <v/>
      </c>
      <c r="F125" s="150"/>
      <c r="G125" s="150"/>
      <c r="H125" s="150"/>
      <c r="I125" s="151"/>
      <c r="J125" s="41" t="str">
        <f aca="false">IF($E125="","",$E125&amp;"|"&amp;COUNTIF($E$5:$E125,$E125))</f>
        <v/>
      </c>
      <c r="K125" s="40" t="str">
        <f aca="false">IF($I125="","",LEN($I125))</f>
        <v/>
      </c>
      <c r="L125" s="13"/>
      <c r="M125" s="13"/>
      <c r="N125" s="13"/>
      <c r="O125" s="13"/>
      <c r="P125" s="152"/>
      <c r="Q125" s="149"/>
      <c r="R125" s="152"/>
      <c r="S125" s="152"/>
      <c r="T125" s="62" t="str">
        <f aca="false">IF(OR($C125="",R125=""),"",IF(R125/IF($R$2="",100,$R$2)&gt;=設定!$I$28,設定!$G$8,IF(R125/IF($R$2="",100,$R$2)&lt;設定!$I$29,設定!$G$10,設定!$G$9)))</f>
        <v/>
      </c>
      <c r="U125" s="62" t="str">
        <f aca="false">IF(OR($C125="",S125=""),"",IF(S125/IF($S$2="",100,$S$2)&gt;=設定!$I$28,設定!$G$8,IF(S125/IF($S$2="",100,$S$2)&lt;設定!$I$29,設定!$G$10,設定!$G$9)))</f>
        <v/>
      </c>
    </row>
    <row r="126" customFormat="false" ht="21" hidden="false" customHeight="true" outlineLevel="0" collapsed="false">
      <c r="A126" s="91" t="str">
        <f aca="false">IF(名簿!$D126="","",名簿!$B126&amp;"")</f>
        <v/>
      </c>
      <c r="B126" s="91" t="str">
        <f aca="false">IF(名簿!$D126="","",名簿!$C126)</f>
        <v/>
      </c>
      <c r="C126" s="59" t="str">
        <f aca="false">IF(名簿!$D126="","",名簿!$D126&amp;IF(名簿!$F126="転出","（転出）",""))</f>
        <v/>
      </c>
      <c r="D126" s="149"/>
      <c r="E126" s="61" t="str">
        <f aca="false">IF(OR($C126="",名簿!$F126="転出"),"",IF($C$2="学級ごと",$A126,IF($C$2="前の単元と同じ",単元18!$E126&amp;"",$D126&amp;"")))</f>
        <v/>
      </c>
      <c r="F126" s="150"/>
      <c r="G126" s="150"/>
      <c r="H126" s="150"/>
      <c r="I126" s="151"/>
      <c r="J126" s="41" t="str">
        <f aca="false">IF($E126="","",$E126&amp;"|"&amp;COUNTIF($E$5:$E126,$E126))</f>
        <v/>
      </c>
      <c r="K126" s="40" t="str">
        <f aca="false">IF($I126="","",LEN($I126))</f>
        <v/>
      </c>
      <c r="L126" s="13"/>
      <c r="M126" s="13"/>
      <c r="N126" s="13"/>
      <c r="O126" s="13"/>
      <c r="P126" s="152"/>
      <c r="Q126" s="149"/>
      <c r="R126" s="152"/>
      <c r="S126" s="152"/>
      <c r="T126" s="62" t="str">
        <f aca="false">IF(OR($C126="",R126=""),"",IF(R126/IF($R$2="",100,$R$2)&gt;=設定!$I$28,設定!$G$8,IF(R126/IF($R$2="",100,$R$2)&lt;設定!$I$29,設定!$G$10,設定!$G$9)))</f>
        <v/>
      </c>
      <c r="U126" s="62" t="str">
        <f aca="false">IF(OR($C126="",S126=""),"",IF(S126/IF($S$2="",100,$S$2)&gt;=設定!$I$28,設定!$G$8,IF(S126/IF($S$2="",100,$S$2)&lt;設定!$I$29,設定!$G$10,設定!$G$9)))</f>
        <v/>
      </c>
    </row>
    <row r="127" customFormat="false" ht="21" hidden="false" customHeight="true" outlineLevel="0" collapsed="false">
      <c r="A127" s="91" t="str">
        <f aca="false">IF(名簿!$D127="","",名簿!$B127&amp;"")</f>
        <v/>
      </c>
      <c r="B127" s="91" t="str">
        <f aca="false">IF(名簿!$D127="","",名簿!$C127)</f>
        <v/>
      </c>
      <c r="C127" s="59" t="str">
        <f aca="false">IF(名簿!$D127="","",名簿!$D127&amp;IF(名簿!$F127="転出","（転出）",""))</f>
        <v/>
      </c>
      <c r="D127" s="149"/>
      <c r="E127" s="61" t="str">
        <f aca="false">IF(OR($C127="",名簿!$F127="転出"),"",IF($C$2="学級ごと",$A127,IF($C$2="前の単元と同じ",単元18!$E127&amp;"",$D127&amp;"")))</f>
        <v/>
      </c>
      <c r="F127" s="150"/>
      <c r="G127" s="150"/>
      <c r="H127" s="150"/>
      <c r="I127" s="151"/>
      <c r="J127" s="41" t="str">
        <f aca="false">IF($E127="","",$E127&amp;"|"&amp;COUNTIF($E$5:$E127,$E127))</f>
        <v/>
      </c>
      <c r="K127" s="40" t="str">
        <f aca="false">IF($I127="","",LEN($I127))</f>
        <v/>
      </c>
      <c r="L127" s="13"/>
      <c r="M127" s="13"/>
      <c r="N127" s="13"/>
      <c r="O127" s="13"/>
      <c r="P127" s="152"/>
      <c r="Q127" s="149"/>
      <c r="R127" s="152"/>
      <c r="S127" s="152"/>
      <c r="T127" s="62" t="str">
        <f aca="false">IF(OR($C127="",R127=""),"",IF(R127/IF($R$2="",100,$R$2)&gt;=設定!$I$28,設定!$G$8,IF(R127/IF($R$2="",100,$R$2)&lt;設定!$I$29,設定!$G$10,設定!$G$9)))</f>
        <v/>
      </c>
      <c r="U127" s="62" t="str">
        <f aca="false">IF(OR($C127="",S127=""),"",IF(S127/IF($S$2="",100,$S$2)&gt;=設定!$I$28,設定!$G$8,IF(S127/IF($S$2="",100,$S$2)&lt;設定!$I$29,設定!$G$10,設定!$G$9)))</f>
        <v/>
      </c>
    </row>
    <row r="128" customFormat="false" ht="21" hidden="false" customHeight="true" outlineLevel="0" collapsed="false">
      <c r="A128" s="91" t="str">
        <f aca="false">IF(名簿!$D128="","",名簿!$B128&amp;"")</f>
        <v/>
      </c>
      <c r="B128" s="91" t="str">
        <f aca="false">IF(名簿!$D128="","",名簿!$C128)</f>
        <v/>
      </c>
      <c r="C128" s="59" t="str">
        <f aca="false">IF(名簿!$D128="","",名簿!$D128&amp;IF(名簿!$F128="転出","（転出）",""))</f>
        <v/>
      </c>
      <c r="D128" s="149"/>
      <c r="E128" s="61" t="str">
        <f aca="false">IF(OR($C128="",名簿!$F128="転出"),"",IF($C$2="学級ごと",$A128,IF($C$2="前の単元と同じ",単元18!$E128&amp;"",$D128&amp;"")))</f>
        <v/>
      </c>
      <c r="F128" s="150"/>
      <c r="G128" s="150"/>
      <c r="H128" s="150"/>
      <c r="I128" s="151"/>
      <c r="J128" s="41" t="str">
        <f aca="false">IF($E128="","",$E128&amp;"|"&amp;COUNTIF($E$5:$E128,$E128))</f>
        <v/>
      </c>
      <c r="K128" s="40" t="str">
        <f aca="false">IF($I128="","",LEN($I128))</f>
        <v/>
      </c>
      <c r="L128" s="13"/>
      <c r="M128" s="13"/>
      <c r="N128" s="13"/>
      <c r="O128" s="13"/>
      <c r="P128" s="152"/>
      <c r="Q128" s="149"/>
      <c r="R128" s="152"/>
      <c r="S128" s="152"/>
      <c r="T128" s="62" t="str">
        <f aca="false">IF(OR($C128="",R128=""),"",IF(R128/IF($R$2="",100,$R$2)&gt;=設定!$I$28,設定!$G$8,IF(R128/IF($R$2="",100,$R$2)&lt;設定!$I$29,設定!$G$10,設定!$G$9)))</f>
        <v/>
      </c>
      <c r="U128" s="62" t="str">
        <f aca="false">IF(OR($C128="",S128=""),"",IF(S128/IF($S$2="",100,$S$2)&gt;=設定!$I$28,設定!$G$8,IF(S128/IF($S$2="",100,$S$2)&lt;設定!$I$29,設定!$G$10,設定!$G$9)))</f>
        <v/>
      </c>
    </row>
    <row r="129" customFormat="false" ht="21" hidden="false" customHeight="true" outlineLevel="0" collapsed="false">
      <c r="A129" s="91" t="str">
        <f aca="false">IF(名簿!$D129="","",名簿!$B129&amp;"")</f>
        <v/>
      </c>
      <c r="B129" s="91" t="str">
        <f aca="false">IF(名簿!$D129="","",名簿!$C129)</f>
        <v/>
      </c>
      <c r="C129" s="59" t="str">
        <f aca="false">IF(名簿!$D129="","",名簿!$D129&amp;IF(名簿!$F129="転出","（転出）",""))</f>
        <v/>
      </c>
      <c r="D129" s="149"/>
      <c r="E129" s="61" t="str">
        <f aca="false">IF(OR($C129="",名簿!$F129="転出"),"",IF($C$2="学級ごと",$A129,IF($C$2="前の単元と同じ",単元18!$E129&amp;"",$D129&amp;"")))</f>
        <v/>
      </c>
      <c r="F129" s="150"/>
      <c r="G129" s="150"/>
      <c r="H129" s="150"/>
      <c r="I129" s="151"/>
      <c r="J129" s="41" t="str">
        <f aca="false">IF($E129="","",$E129&amp;"|"&amp;COUNTIF($E$5:$E129,$E129))</f>
        <v/>
      </c>
      <c r="K129" s="40" t="str">
        <f aca="false">IF($I129="","",LEN($I129))</f>
        <v/>
      </c>
      <c r="L129" s="13"/>
      <c r="M129" s="13"/>
      <c r="N129" s="13"/>
      <c r="O129" s="13"/>
      <c r="P129" s="152"/>
      <c r="Q129" s="149"/>
      <c r="R129" s="152"/>
      <c r="S129" s="152"/>
      <c r="T129" s="62" t="str">
        <f aca="false">IF(OR($C129="",R129=""),"",IF(R129/IF($R$2="",100,$R$2)&gt;=設定!$I$28,設定!$G$8,IF(R129/IF($R$2="",100,$R$2)&lt;設定!$I$29,設定!$G$10,設定!$G$9)))</f>
        <v/>
      </c>
      <c r="U129" s="62" t="str">
        <f aca="false">IF(OR($C129="",S129=""),"",IF(S129/IF($S$2="",100,$S$2)&gt;=設定!$I$28,設定!$G$8,IF(S129/IF($S$2="",100,$S$2)&lt;設定!$I$29,設定!$G$10,設定!$G$9)))</f>
        <v/>
      </c>
    </row>
    <row r="130" customFormat="false" ht="21" hidden="false" customHeight="true" outlineLevel="0" collapsed="false">
      <c r="A130" s="91" t="str">
        <f aca="false">IF(名簿!$D130="","",名簿!$B130&amp;"")</f>
        <v/>
      </c>
      <c r="B130" s="91" t="str">
        <f aca="false">IF(名簿!$D130="","",名簿!$C130)</f>
        <v/>
      </c>
      <c r="C130" s="59" t="str">
        <f aca="false">IF(名簿!$D130="","",名簿!$D130&amp;IF(名簿!$F130="転出","（転出）",""))</f>
        <v/>
      </c>
      <c r="D130" s="149"/>
      <c r="E130" s="61" t="str">
        <f aca="false">IF(OR($C130="",名簿!$F130="転出"),"",IF($C$2="学級ごと",$A130,IF($C$2="前の単元と同じ",単元18!$E130&amp;"",$D130&amp;"")))</f>
        <v/>
      </c>
      <c r="F130" s="150"/>
      <c r="G130" s="150"/>
      <c r="H130" s="150"/>
      <c r="I130" s="151"/>
      <c r="J130" s="41" t="str">
        <f aca="false">IF($E130="","",$E130&amp;"|"&amp;COUNTIF($E$5:$E130,$E130))</f>
        <v/>
      </c>
      <c r="K130" s="40" t="str">
        <f aca="false">IF($I130="","",LEN($I130))</f>
        <v/>
      </c>
      <c r="L130" s="13"/>
      <c r="M130" s="13"/>
      <c r="N130" s="13"/>
      <c r="O130" s="13"/>
      <c r="P130" s="152"/>
      <c r="Q130" s="149"/>
      <c r="R130" s="152"/>
      <c r="S130" s="152"/>
      <c r="T130" s="62" t="str">
        <f aca="false">IF(OR($C130="",R130=""),"",IF(R130/IF($R$2="",100,$R$2)&gt;=設定!$I$28,設定!$G$8,IF(R130/IF($R$2="",100,$R$2)&lt;設定!$I$29,設定!$G$10,設定!$G$9)))</f>
        <v/>
      </c>
      <c r="U130" s="62" t="str">
        <f aca="false">IF(OR($C130="",S130=""),"",IF(S130/IF($S$2="",100,$S$2)&gt;=設定!$I$28,設定!$G$8,IF(S130/IF($S$2="",100,$S$2)&lt;設定!$I$29,設定!$G$10,設定!$G$9)))</f>
        <v/>
      </c>
    </row>
    <row r="131" customFormat="false" ht="21" hidden="false" customHeight="true" outlineLevel="0" collapsed="false">
      <c r="A131" s="91" t="str">
        <f aca="false">IF(名簿!$D131="","",名簿!$B131&amp;"")</f>
        <v/>
      </c>
      <c r="B131" s="91" t="str">
        <f aca="false">IF(名簿!$D131="","",名簿!$C131)</f>
        <v/>
      </c>
      <c r="C131" s="59" t="str">
        <f aca="false">IF(名簿!$D131="","",名簿!$D131&amp;IF(名簿!$F131="転出","（転出）",""))</f>
        <v/>
      </c>
      <c r="D131" s="149"/>
      <c r="E131" s="61" t="str">
        <f aca="false">IF(OR($C131="",名簿!$F131="転出"),"",IF($C$2="学級ごと",$A131,IF($C$2="前の単元と同じ",単元18!$E131&amp;"",$D131&amp;"")))</f>
        <v/>
      </c>
      <c r="F131" s="150"/>
      <c r="G131" s="150"/>
      <c r="H131" s="150"/>
      <c r="I131" s="151"/>
      <c r="J131" s="41" t="str">
        <f aca="false">IF($E131="","",$E131&amp;"|"&amp;COUNTIF($E$5:$E131,$E131))</f>
        <v/>
      </c>
      <c r="K131" s="40" t="str">
        <f aca="false">IF($I131="","",LEN($I131))</f>
        <v/>
      </c>
      <c r="L131" s="13"/>
      <c r="M131" s="13"/>
      <c r="N131" s="13"/>
      <c r="O131" s="13"/>
      <c r="P131" s="152"/>
      <c r="Q131" s="149"/>
      <c r="R131" s="152"/>
      <c r="S131" s="152"/>
      <c r="T131" s="62" t="str">
        <f aca="false">IF(OR($C131="",R131=""),"",IF(R131/IF($R$2="",100,$R$2)&gt;=設定!$I$28,設定!$G$8,IF(R131/IF($R$2="",100,$R$2)&lt;設定!$I$29,設定!$G$10,設定!$G$9)))</f>
        <v/>
      </c>
      <c r="U131" s="62" t="str">
        <f aca="false">IF(OR($C131="",S131=""),"",IF(S131/IF($S$2="",100,$S$2)&gt;=設定!$I$28,設定!$G$8,IF(S131/IF($S$2="",100,$S$2)&lt;設定!$I$29,設定!$G$10,設定!$G$9)))</f>
        <v/>
      </c>
    </row>
    <row r="132" customFormat="false" ht="21" hidden="false" customHeight="true" outlineLevel="0" collapsed="false">
      <c r="A132" s="91" t="str">
        <f aca="false">IF(名簿!$D132="","",名簿!$B132&amp;"")</f>
        <v/>
      </c>
      <c r="B132" s="91" t="str">
        <f aca="false">IF(名簿!$D132="","",名簿!$C132)</f>
        <v/>
      </c>
      <c r="C132" s="59" t="str">
        <f aca="false">IF(名簿!$D132="","",名簿!$D132&amp;IF(名簿!$F132="転出","（転出）",""))</f>
        <v/>
      </c>
      <c r="D132" s="149"/>
      <c r="E132" s="61" t="str">
        <f aca="false">IF(OR($C132="",名簿!$F132="転出"),"",IF($C$2="学級ごと",$A132,IF($C$2="前の単元と同じ",単元18!$E132&amp;"",$D132&amp;"")))</f>
        <v/>
      </c>
      <c r="F132" s="150"/>
      <c r="G132" s="150"/>
      <c r="H132" s="150"/>
      <c r="I132" s="151"/>
      <c r="J132" s="41" t="str">
        <f aca="false">IF($E132="","",$E132&amp;"|"&amp;COUNTIF($E$5:$E132,$E132))</f>
        <v/>
      </c>
      <c r="K132" s="40" t="str">
        <f aca="false">IF($I132="","",LEN($I132))</f>
        <v/>
      </c>
      <c r="L132" s="13"/>
      <c r="M132" s="13"/>
      <c r="N132" s="13"/>
      <c r="O132" s="13"/>
      <c r="P132" s="152"/>
      <c r="Q132" s="149"/>
      <c r="R132" s="152"/>
      <c r="S132" s="152"/>
      <c r="T132" s="62" t="str">
        <f aca="false">IF(OR($C132="",R132=""),"",IF(R132/IF($R$2="",100,$R$2)&gt;=設定!$I$28,設定!$G$8,IF(R132/IF($R$2="",100,$R$2)&lt;設定!$I$29,設定!$G$10,設定!$G$9)))</f>
        <v/>
      </c>
      <c r="U132" s="62" t="str">
        <f aca="false">IF(OR($C132="",S132=""),"",IF(S132/IF($S$2="",100,$S$2)&gt;=設定!$I$28,設定!$G$8,IF(S132/IF($S$2="",100,$S$2)&lt;設定!$I$29,設定!$G$10,設定!$G$9)))</f>
        <v/>
      </c>
    </row>
    <row r="133" customFormat="false" ht="21" hidden="false" customHeight="true" outlineLevel="0" collapsed="false">
      <c r="A133" s="91" t="str">
        <f aca="false">IF(名簿!$D133="","",名簿!$B133&amp;"")</f>
        <v/>
      </c>
      <c r="B133" s="91" t="str">
        <f aca="false">IF(名簿!$D133="","",名簿!$C133)</f>
        <v/>
      </c>
      <c r="C133" s="59" t="str">
        <f aca="false">IF(名簿!$D133="","",名簿!$D133&amp;IF(名簿!$F133="転出","（転出）",""))</f>
        <v/>
      </c>
      <c r="D133" s="149"/>
      <c r="E133" s="61" t="str">
        <f aca="false">IF(OR($C133="",名簿!$F133="転出"),"",IF($C$2="学級ごと",$A133,IF($C$2="前の単元と同じ",単元18!$E133&amp;"",$D133&amp;"")))</f>
        <v/>
      </c>
      <c r="F133" s="150"/>
      <c r="G133" s="150"/>
      <c r="H133" s="150"/>
      <c r="I133" s="151"/>
      <c r="J133" s="41" t="str">
        <f aca="false">IF($E133="","",$E133&amp;"|"&amp;COUNTIF($E$5:$E133,$E133))</f>
        <v/>
      </c>
      <c r="K133" s="40" t="str">
        <f aca="false">IF($I133="","",LEN($I133))</f>
        <v/>
      </c>
      <c r="L133" s="13"/>
      <c r="M133" s="13"/>
      <c r="N133" s="13"/>
      <c r="O133" s="13"/>
      <c r="P133" s="152"/>
      <c r="Q133" s="149"/>
      <c r="R133" s="152"/>
      <c r="S133" s="152"/>
      <c r="T133" s="62" t="str">
        <f aca="false">IF(OR($C133="",R133=""),"",IF(R133/IF($R$2="",100,$R$2)&gt;=設定!$I$28,設定!$G$8,IF(R133/IF($R$2="",100,$R$2)&lt;設定!$I$29,設定!$G$10,設定!$G$9)))</f>
        <v/>
      </c>
      <c r="U133" s="62" t="str">
        <f aca="false">IF(OR($C133="",S133=""),"",IF(S133/IF($S$2="",100,$S$2)&gt;=設定!$I$28,設定!$G$8,IF(S133/IF($S$2="",100,$S$2)&lt;設定!$I$29,設定!$G$10,設定!$G$9)))</f>
        <v/>
      </c>
    </row>
    <row r="134" customFormat="false" ht="21" hidden="false" customHeight="true" outlineLevel="0" collapsed="false">
      <c r="A134" s="91" t="str">
        <f aca="false">IF(名簿!$D134="","",名簿!$B134&amp;"")</f>
        <v/>
      </c>
      <c r="B134" s="91" t="str">
        <f aca="false">IF(名簿!$D134="","",名簿!$C134)</f>
        <v/>
      </c>
      <c r="C134" s="59" t="str">
        <f aca="false">IF(名簿!$D134="","",名簿!$D134&amp;IF(名簿!$F134="転出","（転出）",""))</f>
        <v/>
      </c>
      <c r="D134" s="149"/>
      <c r="E134" s="61" t="str">
        <f aca="false">IF(OR($C134="",名簿!$F134="転出"),"",IF($C$2="学級ごと",$A134,IF($C$2="前の単元と同じ",単元18!$E134&amp;"",$D134&amp;"")))</f>
        <v/>
      </c>
      <c r="F134" s="150"/>
      <c r="G134" s="150"/>
      <c r="H134" s="150"/>
      <c r="I134" s="151"/>
      <c r="J134" s="41" t="str">
        <f aca="false">IF($E134="","",$E134&amp;"|"&amp;COUNTIF($E$5:$E134,$E134))</f>
        <v/>
      </c>
      <c r="K134" s="40" t="str">
        <f aca="false">IF($I134="","",LEN($I134))</f>
        <v/>
      </c>
      <c r="L134" s="13"/>
      <c r="M134" s="13"/>
      <c r="N134" s="13"/>
      <c r="O134" s="13"/>
      <c r="P134" s="152"/>
      <c r="Q134" s="149"/>
      <c r="R134" s="152"/>
      <c r="S134" s="152"/>
      <c r="T134" s="62" t="str">
        <f aca="false">IF(OR($C134="",R134=""),"",IF(R134/IF($R$2="",100,$R$2)&gt;=設定!$I$28,設定!$G$8,IF(R134/IF($R$2="",100,$R$2)&lt;設定!$I$29,設定!$G$10,設定!$G$9)))</f>
        <v/>
      </c>
      <c r="U134" s="62" t="str">
        <f aca="false">IF(OR($C134="",S134=""),"",IF(S134/IF($S$2="",100,$S$2)&gt;=設定!$I$28,設定!$G$8,IF(S134/IF($S$2="",100,$S$2)&lt;設定!$I$29,設定!$G$10,設定!$G$9)))</f>
        <v/>
      </c>
    </row>
    <row r="135" customFormat="false" ht="21" hidden="false" customHeight="true" outlineLevel="0" collapsed="false">
      <c r="A135" s="91" t="str">
        <f aca="false">IF(名簿!$D135="","",名簿!$B135&amp;"")</f>
        <v/>
      </c>
      <c r="B135" s="91" t="str">
        <f aca="false">IF(名簿!$D135="","",名簿!$C135)</f>
        <v/>
      </c>
      <c r="C135" s="59" t="str">
        <f aca="false">IF(名簿!$D135="","",名簿!$D135&amp;IF(名簿!$F135="転出","（転出）",""))</f>
        <v/>
      </c>
      <c r="D135" s="149"/>
      <c r="E135" s="61" t="str">
        <f aca="false">IF(OR($C135="",名簿!$F135="転出"),"",IF($C$2="学級ごと",$A135,IF($C$2="前の単元と同じ",単元18!$E135&amp;"",$D135&amp;"")))</f>
        <v/>
      </c>
      <c r="F135" s="150"/>
      <c r="G135" s="150"/>
      <c r="H135" s="150"/>
      <c r="I135" s="151"/>
      <c r="J135" s="41" t="str">
        <f aca="false">IF($E135="","",$E135&amp;"|"&amp;COUNTIF($E$5:$E135,$E135))</f>
        <v/>
      </c>
      <c r="K135" s="40" t="str">
        <f aca="false">IF($I135="","",LEN($I135))</f>
        <v/>
      </c>
      <c r="L135" s="13"/>
      <c r="M135" s="13"/>
      <c r="N135" s="13"/>
      <c r="O135" s="13"/>
      <c r="P135" s="152"/>
      <c r="Q135" s="149"/>
      <c r="R135" s="152"/>
      <c r="S135" s="152"/>
      <c r="T135" s="62" t="str">
        <f aca="false">IF(OR($C135="",R135=""),"",IF(R135/IF($R$2="",100,$R$2)&gt;=設定!$I$28,設定!$G$8,IF(R135/IF($R$2="",100,$R$2)&lt;設定!$I$29,設定!$G$10,設定!$G$9)))</f>
        <v/>
      </c>
      <c r="U135" s="62" t="str">
        <f aca="false">IF(OR($C135="",S135=""),"",IF(S135/IF($S$2="",100,$S$2)&gt;=設定!$I$28,設定!$G$8,IF(S135/IF($S$2="",100,$S$2)&lt;設定!$I$29,設定!$G$10,設定!$G$9)))</f>
        <v/>
      </c>
    </row>
    <row r="136" customFormat="false" ht="21" hidden="false" customHeight="true" outlineLevel="0" collapsed="false">
      <c r="A136" s="91" t="str">
        <f aca="false">IF(名簿!$D136="","",名簿!$B136&amp;"")</f>
        <v/>
      </c>
      <c r="B136" s="91" t="str">
        <f aca="false">IF(名簿!$D136="","",名簿!$C136)</f>
        <v/>
      </c>
      <c r="C136" s="59" t="str">
        <f aca="false">IF(名簿!$D136="","",名簿!$D136&amp;IF(名簿!$F136="転出","（転出）",""))</f>
        <v/>
      </c>
      <c r="D136" s="149"/>
      <c r="E136" s="61" t="str">
        <f aca="false">IF(OR($C136="",名簿!$F136="転出"),"",IF($C$2="学級ごと",$A136,IF($C$2="前の単元と同じ",単元18!$E136&amp;"",$D136&amp;"")))</f>
        <v/>
      </c>
      <c r="F136" s="150"/>
      <c r="G136" s="150"/>
      <c r="H136" s="150"/>
      <c r="I136" s="151"/>
      <c r="J136" s="41" t="str">
        <f aca="false">IF($E136="","",$E136&amp;"|"&amp;COUNTIF($E$5:$E136,$E136))</f>
        <v/>
      </c>
      <c r="K136" s="40" t="str">
        <f aca="false">IF($I136="","",LEN($I136))</f>
        <v/>
      </c>
      <c r="L136" s="13"/>
      <c r="M136" s="13"/>
      <c r="N136" s="13"/>
      <c r="O136" s="13"/>
      <c r="P136" s="152"/>
      <c r="Q136" s="149"/>
      <c r="R136" s="152"/>
      <c r="S136" s="152"/>
      <c r="T136" s="62" t="str">
        <f aca="false">IF(OR($C136="",R136=""),"",IF(R136/IF($R$2="",100,$R$2)&gt;=設定!$I$28,設定!$G$8,IF(R136/IF($R$2="",100,$R$2)&lt;設定!$I$29,設定!$G$10,設定!$G$9)))</f>
        <v/>
      </c>
      <c r="U136" s="62" t="str">
        <f aca="false">IF(OR($C136="",S136=""),"",IF(S136/IF($S$2="",100,$S$2)&gt;=設定!$I$28,設定!$G$8,IF(S136/IF($S$2="",100,$S$2)&lt;設定!$I$29,設定!$G$10,設定!$G$9)))</f>
        <v/>
      </c>
    </row>
    <row r="137" customFormat="false" ht="21" hidden="false" customHeight="true" outlineLevel="0" collapsed="false">
      <c r="A137" s="91" t="str">
        <f aca="false">IF(名簿!$D137="","",名簿!$B137&amp;"")</f>
        <v/>
      </c>
      <c r="B137" s="91" t="str">
        <f aca="false">IF(名簿!$D137="","",名簿!$C137)</f>
        <v/>
      </c>
      <c r="C137" s="59" t="str">
        <f aca="false">IF(名簿!$D137="","",名簿!$D137&amp;IF(名簿!$F137="転出","（転出）",""))</f>
        <v/>
      </c>
      <c r="D137" s="149"/>
      <c r="E137" s="61" t="str">
        <f aca="false">IF(OR($C137="",名簿!$F137="転出"),"",IF($C$2="学級ごと",$A137,IF($C$2="前の単元と同じ",単元18!$E137&amp;"",$D137&amp;"")))</f>
        <v/>
      </c>
      <c r="F137" s="150"/>
      <c r="G137" s="150"/>
      <c r="H137" s="150"/>
      <c r="I137" s="151"/>
      <c r="J137" s="41" t="str">
        <f aca="false">IF($E137="","",$E137&amp;"|"&amp;COUNTIF($E$5:$E137,$E137))</f>
        <v/>
      </c>
      <c r="K137" s="40" t="str">
        <f aca="false">IF($I137="","",LEN($I137))</f>
        <v/>
      </c>
      <c r="L137" s="13"/>
      <c r="M137" s="13"/>
      <c r="N137" s="13"/>
      <c r="O137" s="13"/>
      <c r="P137" s="152"/>
      <c r="Q137" s="149"/>
      <c r="R137" s="152"/>
      <c r="S137" s="152"/>
      <c r="T137" s="62" t="str">
        <f aca="false">IF(OR($C137="",R137=""),"",IF(R137/IF($R$2="",100,$R$2)&gt;=設定!$I$28,設定!$G$8,IF(R137/IF($R$2="",100,$R$2)&lt;設定!$I$29,設定!$G$10,設定!$G$9)))</f>
        <v/>
      </c>
      <c r="U137" s="62" t="str">
        <f aca="false">IF(OR($C137="",S137=""),"",IF(S137/IF($S$2="",100,$S$2)&gt;=設定!$I$28,設定!$G$8,IF(S137/IF($S$2="",100,$S$2)&lt;設定!$I$29,設定!$G$10,設定!$G$9)))</f>
        <v/>
      </c>
    </row>
    <row r="138" customFormat="false" ht="21" hidden="false" customHeight="true" outlineLevel="0" collapsed="false">
      <c r="A138" s="91" t="str">
        <f aca="false">IF(名簿!$D138="","",名簿!$B138&amp;"")</f>
        <v/>
      </c>
      <c r="B138" s="91" t="str">
        <f aca="false">IF(名簿!$D138="","",名簿!$C138)</f>
        <v/>
      </c>
      <c r="C138" s="59" t="str">
        <f aca="false">IF(名簿!$D138="","",名簿!$D138&amp;IF(名簿!$F138="転出","（転出）",""))</f>
        <v/>
      </c>
      <c r="D138" s="149"/>
      <c r="E138" s="61" t="str">
        <f aca="false">IF(OR($C138="",名簿!$F138="転出"),"",IF($C$2="学級ごと",$A138,IF($C$2="前の単元と同じ",単元18!$E138&amp;"",$D138&amp;"")))</f>
        <v/>
      </c>
      <c r="F138" s="150"/>
      <c r="G138" s="150"/>
      <c r="H138" s="150"/>
      <c r="I138" s="151"/>
      <c r="J138" s="41" t="str">
        <f aca="false">IF($E138="","",$E138&amp;"|"&amp;COUNTIF($E$5:$E138,$E138))</f>
        <v/>
      </c>
      <c r="K138" s="40" t="str">
        <f aca="false">IF($I138="","",LEN($I138))</f>
        <v/>
      </c>
      <c r="L138" s="13"/>
      <c r="M138" s="13"/>
      <c r="N138" s="13"/>
      <c r="O138" s="13"/>
      <c r="P138" s="152"/>
      <c r="Q138" s="149"/>
      <c r="R138" s="152"/>
      <c r="S138" s="152"/>
      <c r="T138" s="62" t="str">
        <f aca="false">IF(OR($C138="",R138=""),"",IF(R138/IF($R$2="",100,$R$2)&gt;=設定!$I$28,設定!$G$8,IF(R138/IF($R$2="",100,$R$2)&lt;設定!$I$29,設定!$G$10,設定!$G$9)))</f>
        <v/>
      </c>
      <c r="U138" s="62" t="str">
        <f aca="false">IF(OR($C138="",S138=""),"",IF(S138/IF($S$2="",100,$S$2)&gt;=設定!$I$28,設定!$G$8,IF(S138/IF($S$2="",100,$S$2)&lt;設定!$I$29,設定!$G$10,設定!$G$9)))</f>
        <v/>
      </c>
    </row>
    <row r="139" customFormat="false" ht="21" hidden="false" customHeight="true" outlineLevel="0" collapsed="false">
      <c r="A139" s="91" t="str">
        <f aca="false">IF(名簿!$D139="","",名簿!$B139&amp;"")</f>
        <v/>
      </c>
      <c r="B139" s="91" t="str">
        <f aca="false">IF(名簿!$D139="","",名簿!$C139)</f>
        <v/>
      </c>
      <c r="C139" s="59" t="str">
        <f aca="false">IF(名簿!$D139="","",名簿!$D139&amp;IF(名簿!$F139="転出","（転出）",""))</f>
        <v/>
      </c>
      <c r="D139" s="149"/>
      <c r="E139" s="61" t="str">
        <f aca="false">IF(OR($C139="",名簿!$F139="転出"),"",IF($C$2="学級ごと",$A139,IF($C$2="前の単元と同じ",単元18!$E139&amp;"",$D139&amp;"")))</f>
        <v/>
      </c>
      <c r="F139" s="150"/>
      <c r="G139" s="150"/>
      <c r="H139" s="150"/>
      <c r="I139" s="151"/>
      <c r="J139" s="41" t="str">
        <f aca="false">IF($E139="","",$E139&amp;"|"&amp;COUNTIF($E$5:$E139,$E139))</f>
        <v/>
      </c>
      <c r="K139" s="40" t="str">
        <f aca="false">IF($I139="","",LEN($I139))</f>
        <v/>
      </c>
      <c r="L139" s="13"/>
      <c r="M139" s="13"/>
      <c r="N139" s="13"/>
      <c r="O139" s="13"/>
      <c r="P139" s="152"/>
      <c r="Q139" s="149"/>
      <c r="R139" s="152"/>
      <c r="S139" s="152"/>
      <c r="T139" s="62" t="str">
        <f aca="false">IF(OR($C139="",R139=""),"",IF(R139/IF($R$2="",100,$R$2)&gt;=設定!$I$28,設定!$G$8,IF(R139/IF($R$2="",100,$R$2)&lt;設定!$I$29,設定!$G$10,設定!$G$9)))</f>
        <v/>
      </c>
      <c r="U139" s="62" t="str">
        <f aca="false">IF(OR($C139="",S139=""),"",IF(S139/IF($S$2="",100,$S$2)&gt;=設定!$I$28,設定!$G$8,IF(S139/IF($S$2="",100,$S$2)&lt;設定!$I$29,設定!$G$10,設定!$G$9)))</f>
        <v/>
      </c>
    </row>
    <row r="140" customFormat="false" ht="21" hidden="false" customHeight="true" outlineLevel="0" collapsed="false">
      <c r="A140" s="91" t="str">
        <f aca="false">IF(名簿!$D140="","",名簿!$B140&amp;"")</f>
        <v/>
      </c>
      <c r="B140" s="91" t="str">
        <f aca="false">IF(名簿!$D140="","",名簿!$C140)</f>
        <v/>
      </c>
      <c r="C140" s="59" t="str">
        <f aca="false">IF(名簿!$D140="","",名簿!$D140&amp;IF(名簿!$F140="転出","（転出）",""))</f>
        <v/>
      </c>
      <c r="D140" s="149"/>
      <c r="E140" s="61" t="str">
        <f aca="false">IF(OR($C140="",名簿!$F140="転出"),"",IF($C$2="学級ごと",$A140,IF($C$2="前の単元と同じ",単元18!$E140&amp;"",$D140&amp;"")))</f>
        <v/>
      </c>
      <c r="F140" s="150"/>
      <c r="G140" s="150"/>
      <c r="H140" s="150"/>
      <c r="I140" s="151"/>
      <c r="J140" s="41" t="str">
        <f aca="false">IF($E140="","",$E140&amp;"|"&amp;COUNTIF($E$5:$E140,$E140))</f>
        <v/>
      </c>
      <c r="K140" s="40" t="str">
        <f aca="false">IF($I140="","",LEN($I140))</f>
        <v/>
      </c>
      <c r="L140" s="13"/>
      <c r="M140" s="13"/>
      <c r="N140" s="13"/>
      <c r="O140" s="13"/>
      <c r="P140" s="152"/>
      <c r="Q140" s="149"/>
      <c r="R140" s="152"/>
      <c r="S140" s="152"/>
      <c r="T140" s="62" t="str">
        <f aca="false">IF(OR($C140="",R140=""),"",IF(R140/IF($R$2="",100,$R$2)&gt;=設定!$I$28,設定!$G$8,IF(R140/IF($R$2="",100,$R$2)&lt;設定!$I$29,設定!$G$10,設定!$G$9)))</f>
        <v/>
      </c>
      <c r="U140" s="62" t="str">
        <f aca="false">IF(OR($C140="",S140=""),"",IF(S140/IF($S$2="",100,$S$2)&gt;=設定!$I$28,設定!$G$8,IF(S140/IF($S$2="",100,$S$2)&lt;設定!$I$29,設定!$G$10,設定!$G$9)))</f>
        <v/>
      </c>
    </row>
    <row r="141" customFormat="false" ht="21" hidden="false" customHeight="true" outlineLevel="0" collapsed="false">
      <c r="A141" s="91" t="str">
        <f aca="false">IF(名簿!$D141="","",名簿!$B141&amp;"")</f>
        <v/>
      </c>
      <c r="B141" s="91" t="str">
        <f aca="false">IF(名簿!$D141="","",名簿!$C141)</f>
        <v/>
      </c>
      <c r="C141" s="59" t="str">
        <f aca="false">IF(名簿!$D141="","",名簿!$D141&amp;IF(名簿!$F141="転出","（転出）",""))</f>
        <v/>
      </c>
      <c r="D141" s="149"/>
      <c r="E141" s="61" t="str">
        <f aca="false">IF(OR($C141="",名簿!$F141="転出"),"",IF($C$2="学級ごと",$A141,IF($C$2="前の単元と同じ",単元18!$E141&amp;"",$D141&amp;"")))</f>
        <v/>
      </c>
      <c r="F141" s="150"/>
      <c r="G141" s="150"/>
      <c r="H141" s="150"/>
      <c r="I141" s="151"/>
      <c r="J141" s="41" t="str">
        <f aca="false">IF($E141="","",$E141&amp;"|"&amp;COUNTIF($E$5:$E141,$E141))</f>
        <v/>
      </c>
      <c r="K141" s="40" t="str">
        <f aca="false">IF($I141="","",LEN($I141))</f>
        <v/>
      </c>
      <c r="L141" s="13"/>
      <c r="M141" s="13"/>
      <c r="N141" s="13"/>
      <c r="O141" s="13"/>
      <c r="P141" s="152"/>
      <c r="Q141" s="149"/>
      <c r="R141" s="152"/>
      <c r="S141" s="152"/>
      <c r="T141" s="62" t="str">
        <f aca="false">IF(OR($C141="",R141=""),"",IF(R141/IF($R$2="",100,$R$2)&gt;=設定!$I$28,設定!$G$8,IF(R141/IF($R$2="",100,$R$2)&lt;設定!$I$29,設定!$G$10,設定!$G$9)))</f>
        <v/>
      </c>
      <c r="U141" s="62" t="str">
        <f aca="false">IF(OR($C141="",S141=""),"",IF(S141/IF($S$2="",100,$S$2)&gt;=設定!$I$28,設定!$G$8,IF(S141/IF($S$2="",100,$S$2)&lt;設定!$I$29,設定!$G$10,設定!$G$9)))</f>
        <v/>
      </c>
    </row>
    <row r="142" customFormat="false" ht="21" hidden="false" customHeight="true" outlineLevel="0" collapsed="false">
      <c r="A142" s="91" t="str">
        <f aca="false">IF(名簿!$D142="","",名簿!$B142&amp;"")</f>
        <v/>
      </c>
      <c r="B142" s="91" t="str">
        <f aca="false">IF(名簿!$D142="","",名簿!$C142)</f>
        <v/>
      </c>
      <c r="C142" s="59" t="str">
        <f aca="false">IF(名簿!$D142="","",名簿!$D142&amp;IF(名簿!$F142="転出","（転出）",""))</f>
        <v/>
      </c>
      <c r="D142" s="149"/>
      <c r="E142" s="61" t="str">
        <f aca="false">IF(OR($C142="",名簿!$F142="転出"),"",IF($C$2="学級ごと",$A142,IF($C$2="前の単元と同じ",単元18!$E142&amp;"",$D142&amp;"")))</f>
        <v/>
      </c>
      <c r="F142" s="150"/>
      <c r="G142" s="150"/>
      <c r="H142" s="150"/>
      <c r="I142" s="151"/>
      <c r="J142" s="41" t="str">
        <f aca="false">IF($E142="","",$E142&amp;"|"&amp;COUNTIF($E$5:$E142,$E142))</f>
        <v/>
      </c>
      <c r="K142" s="40" t="str">
        <f aca="false">IF($I142="","",LEN($I142))</f>
        <v/>
      </c>
      <c r="L142" s="13"/>
      <c r="M142" s="13"/>
      <c r="N142" s="13"/>
      <c r="O142" s="13"/>
      <c r="P142" s="152"/>
      <c r="Q142" s="149"/>
      <c r="R142" s="152"/>
      <c r="S142" s="152"/>
      <c r="T142" s="62" t="str">
        <f aca="false">IF(OR($C142="",R142=""),"",IF(R142/IF($R$2="",100,$R$2)&gt;=設定!$I$28,設定!$G$8,IF(R142/IF($R$2="",100,$R$2)&lt;設定!$I$29,設定!$G$10,設定!$G$9)))</f>
        <v/>
      </c>
      <c r="U142" s="62" t="str">
        <f aca="false">IF(OR($C142="",S142=""),"",IF(S142/IF($S$2="",100,$S$2)&gt;=設定!$I$28,設定!$G$8,IF(S142/IF($S$2="",100,$S$2)&lt;設定!$I$29,設定!$G$10,設定!$G$9)))</f>
        <v/>
      </c>
    </row>
    <row r="143" customFormat="false" ht="21" hidden="false" customHeight="true" outlineLevel="0" collapsed="false">
      <c r="A143" s="91" t="str">
        <f aca="false">IF(名簿!$D143="","",名簿!$B143&amp;"")</f>
        <v/>
      </c>
      <c r="B143" s="91" t="str">
        <f aca="false">IF(名簿!$D143="","",名簿!$C143)</f>
        <v/>
      </c>
      <c r="C143" s="59" t="str">
        <f aca="false">IF(名簿!$D143="","",名簿!$D143&amp;IF(名簿!$F143="転出","（転出）",""))</f>
        <v/>
      </c>
      <c r="D143" s="149"/>
      <c r="E143" s="61" t="str">
        <f aca="false">IF(OR($C143="",名簿!$F143="転出"),"",IF($C$2="学級ごと",$A143,IF($C$2="前の単元と同じ",単元18!$E143&amp;"",$D143&amp;"")))</f>
        <v/>
      </c>
      <c r="F143" s="150"/>
      <c r="G143" s="150"/>
      <c r="H143" s="150"/>
      <c r="I143" s="151"/>
      <c r="J143" s="41" t="str">
        <f aca="false">IF($E143="","",$E143&amp;"|"&amp;COUNTIF($E$5:$E143,$E143))</f>
        <v/>
      </c>
      <c r="K143" s="40" t="str">
        <f aca="false">IF($I143="","",LEN($I143))</f>
        <v/>
      </c>
      <c r="L143" s="13"/>
      <c r="M143" s="13"/>
      <c r="N143" s="13"/>
      <c r="O143" s="13"/>
      <c r="P143" s="152"/>
      <c r="Q143" s="149"/>
      <c r="R143" s="152"/>
      <c r="S143" s="152"/>
      <c r="T143" s="62" t="str">
        <f aca="false">IF(OR($C143="",R143=""),"",IF(R143/IF($R$2="",100,$R$2)&gt;=設定!$I$28,設定!$G$8,IF(R143/IF($R$2="",100,$R$2)&lt;設定!$I$29,設定!$G$10,設定!$G$9)))</f>
        <v/>
      </c>
      <c r="U143" s="62" t="str">
        <f aca="false">IF(OR($C143="",S143=""),"",IF(S143/IF($S$2="",100,$S$2)&gt;=設定!$I$28,設定!$G$8,IF(S143/IF($S$2="",100,$S$2)&lt;設定!$I$29,設定!$G$10,設定!$G$9)))</f>
        <v/>
      </c>
    </row>
    <row r="144" customFormat="false" ht="21" hidden="false" customHeight="true" outlineLevel="0" collapsed="false">
      <c r="A144" s="91" t="str">
        <f aca="false">IF(名簿!$D144="","",名簿!$B144&amp;"")</f>
        <v/>
      </c>
      <c r="B144" s="91" t="str">
        <f aca="false">IF(名簿!$D144="","",名簿!$C144)</f>
        <v/>
      </c>
      <c r="C144" s="59" t="str">
        <f aca="false">IF(名簿!$D144="","",名簿!$D144&amp;IF(名簿!$F144="転出","（転出）",""))</f>
        <v/>
      </c>
      <c r="D144" s="149"/>
      <c r="E144" s="61" t="str">
        <f aca="false">IF(OR($C144="",名簿!$F144="転出"),"",IF($C$2="学級ごと",$A144,IF($C$2="前の単元と同じ",単元18!$E144&amp;"",$D144&amp;"")))</f>
        <v/>
      </c>
      <c r="F144" s="150"/>
      <c r="G144" s="150"/>
      <c r="H144" s="150"/>
      <c r="I144" s="151"/>
      <c r="J144" s="41" t="str">
        <f aca="false">IF($E144="","",$E144&amp;"|"&amp;COUNTIF($E$5:$E144,$E144))</f>
        <v/>
      </c>
      <c r="K144" s="40" t="str">
        <f aca="false">IF($I144="","",LEN($I144))</f>
        <v/>
      </c>
      <c r="L144" s="13"/>
      <c r="M144" s="13"/>
      <c r="N144" s="13"/>
      <c r="O144" s="13"/>
      <c r="P144" s="152"/>
      <c r="Q144" s="149"/>
      <c r="R144" s="152"/>
      <c r="S144" s="152"/>
      <c r="T144" s="62" t="str">
        <f aca="false">IF(OR($C144="",R144=""),"",IF(R144/IF($R$2="",100,$R$2)&gt;=設定!$I$28,設定!$G$8,IF(R144/IF($R$2="",100,$R$2)&lt;設定!$I$29,設定!$G$10,設定!$G$9)))</f>
        <v/>
      </c>
      <c r="U144" s="62" t="str">
        <f aca="false">IF(OR($C144="",S144=""),"",IF(S144/IF($S$2="",100,$S$2)&gt;=設定!$I$28,設定!$G$8,IF(S144/IF($S$2="",100,$S$2)&lt;設定!$I$29,設定!$G$10,設定!$G$9)))</f>
        <v/>
      </c>
    </row>
    <row r="145" customFormat="false" ht="21" hidden="false" customHeight="true" outlineLevel="0" collapsed="false">
      <c r="A145" s="91" t="str">
        <f aca="false">IF(名簿!$D145="","",名簿!$B145&amp;"")</f>
        <v/>
      </c>
      <c r="B145" s="91" t="str">
        <f aca="false">IF(名簿!$D145="","",名簿!$C145)</f>
        <v/>
      </c>
      <c r="C145" s="59" t="str">
        <f aca="false">IF(名簿!$D145="","",名簿!$D145&amp;IF(名簿!$F145="転出","（転出）",""))</f>
        <v/>
      </c>
      <c r="D145" s="149"/>
      <c r="E145" s="61" t="str">
        <f aca="false">IF(OR($C145="",名簿!$F145="転出"),"",IF($C$2="学級ごと",$A145,IF($C$2="前の単元と同じ",単元18!$E145&amp;"",$D145&amp;"")))</f>
        <v/>
      </c>
      <c r="F145" s="150"/>
      <c r="G145" s="150"/>
      <c r="H145" s="150"/>
      <c r="I145" s="151"/>
      <c r="J145" s="41" t="str">
        <f aca="false">IF($E145="","",$E145&amp;"|"&amp;COUNTIF($E$5:$E145,$E145))</f>
        <v/>
      </c>
      <c r="K145" s="40" t="str">
        <f aca="false">IF($I145="","",LEN($I145))</f>
        <v/>
      </c>
      <c r="L145" s="13"/>
      <c r="M145" s="13"/>
      <c r="N145" s="13"/>
      <c r="O145" s="13"/>
      <c r="P145" s="152"/>
      <c r="Q145" s="149"/>
      <c r="R145" s="152"/>
      <c r="S145" s="152"/>
      <c r="T145" s="62" t="str">
        <f aca="false">IF(OR($C145="",R145=""),"",IF(R145/IF($R$2="",100,$R$2)&gt;=設定!$I$28,設定!$G$8,IF(R145/IF($R$2="",100,$R$2)&lt;設定!$I$29,設定!$G$10,設定!$G$9)))</f>
        <v/>
      </c>
      <c r="U145" s="62" t="str">
        <f aca="false">IF(OR($C145="",S145=""),"",IF(S145/IF($S$2="",100,$S$2)&gt;=設定!$I$28,設定!$G$8,IF(S145/IF($S$2="",100,$S$2)&lt;設定!$I$29,設定!$G$10,設定!$G$9)))</f>
        <v/>
      </c>
    </row>
    <row r="146" customFormat="false" ht="21" hidden="false" customHeight="true" outlineLevel="0" collapsed="false">
      <c r="A146" s="91" t="str">
        <f aca="false">IF(名簿!$D146="","",名簿!$B146&amp;"")</f>
        <v/>
      </c>
      <c r="B146" s="91" t="str">
        <f aca="false">IF(名簿!$D146="","",名簿!$C146)</f>
        <v/>
      </c>
      <c r="C146" s="59" t="str">
        <f aca="false">IF(名簿!$D146="","",名簿!$D146&amp;IF(名簿!$F146="転出","（転出）",""))</f>
        <v/>
      </c>
      <c r="D146" s="149"/>
      <c r="E146" s="61" t="str">
        <f aca="false">IF(OR($C146="",名簿!$F146="転出"),"",IF($C$2="学級ごと",$A146,IF($C$2="前の単元と同じ",単元18!$E146&amp;"",$D146&amp;"")))</f>
        <v/>
      </c>
      <c r="F146" s="150"/>
      <c r="G146" s="150"/>
      <c r="H146" s="150"/>
      <c r="I146" s="151"/>
      <c r="J146" s="41" t="str">
        <f aca="false">IF($E146="","",$E146&amp;"|"&amp;COUNTIF($E$5:$E146,$E146))</f>
        <v/>
      </c>
      <c r="K146" s="40" t="str">
        <f aca="false">IF($I146="","",LEN($I146))</f>
        <v/>
      </c>
      <c r="L146" s="13"/>
      <c r="M146" s="13"/>
      <c r="N146" s="13"/>
      <c r="O146" s="13"/>
      <c r="P146" s="152"/>
      <c r="Q146" s="149"/>
      <c r="R146" s="152"/>
      <c r="S146" s="152"/>
      <c r="T146" s="62" t="str">
        <f aca="false">IF(OR($C146="",R146=""),"",IF(R146/IF($R$2="",100,$R$2)&gt;=設定!$I$28,設定!$G$8,IF(R146/IF($R$2="",100,$R$2)&lt;設定!$I$29,設定!$G$10,設定!$G$9)))</f>
        <v/>
      </c>
      <c r="U146" s="62" t="str">
        <f aca="false">IF(OR($C146="",S146=""),"",IF(S146/IF($S$2="",100,$S$2)&gt;=設定!$I$28,設定!$G$8,IF(S146/IF($S$2="",100,$S$2)&lt;設定!$I$29,設定!$G$10,設定!$G$9)))</f>
        <v/>
      </c>
    </row>
    <row r="147" customFormat="false" ht="21" hidden="false" customHeight="true" outlineLevel="0" collapsed="false">
      <c r="A147" s="91" t="str">
        <f aca="false">IF(名簿!$D147="","",名簿!$B147&amp;"")</f>
        <v/>
      </c>
      <c r="B147" s="91" t="str">
        <f aca="false">IF(名簿!$D147="","",名簿!$C147)</f>
        <v/>
      </c>
      <c r="C147" s="59" t="str">
        <f aca="false">IF(名簿!$D147="","",名簿!$D147&amp;IF(名簿!$F147="転出","（転出）",""))</f>
        <v/>
      </c>
      <c r="D147" s="149"/>
      <c r="E147" s="61" t="str">
        <f aca="false">IF(OR($C147="",名簿!$F147="転出"),"",IF($C$2="学級ごと",$A147,IF($C$2="前の単元と同じ",単元18!$E147&amp;"",$D147&amp;"")))</f>
        <v/>
      </c>
      <c r="F147" s="150"/>
      <c r="G147" s="150"/>
      <c r="H147" s="150"/>
      <c r="I147" s="151"/>
      <c r="J147" s="41" t="str">
        <f aca="false">IF($E147="","",$E147&amp;"|"&amp;COUNTIF($E$5:$E147,$E147))</f>
        <v/>
      </c>
      <c r="K147" s="40" t="str">
        <f aca="false">IF($I147="","",LEN($I147))</f>
        <v/>
      </c>
      <c r="L147" s="13"/>
      <c r="M147" s="13"/>
      <c r="N147" s="13"/>
      <c r="O147" s="13"/>
      <c r="P147" s="152"/>
      <c r="Q147" s="149"/>
      <c r="R147" s="152"/>
      <c r="S147" s="152"/>
      <c r="T147" s="62" t="str">
        <f aca="false">IF(OR($C147="",R147=""),"",IF(R147/IF($R$2="",100,$R$2)&gt;=設定!$I$28,設定!$G$8,IF(R147/IF($R$2="",100,$R$2)&lt;設定!$I$29,設定!$G$10,設定!$G$9)))</f>
        <v/>
      </c>
      <c r="U147" s="62" t="str">
        <f aca="false">IF(OR($C147="",S147=""),"",IF(S147/IF($S$2="",100,$S$2)&gt;=設定!$I$28,設定!$G$8,IF(S147/IF($S$2="",100,$S$2)&lt;設定!$I$29,設定!$G$10,設定!$G$9)))</f>
        <v/>
      </c>
    </row>
    <row r="148" customFormat="false" ht="21" hidden="false" customHeight="true" outlineLevel="0" collapsed="false">
      <c r="A148" s="91" t="str">
        <f aca="false">IF(名簿!$D148="","",名簿!$B148&amp;"")</f>
        <v/>
      </c>
      <c r="B148" s="91" t="str">
        <f aca="false">IF(名簿!$D148="","",名簿!$C148)</f>
        <v/>
      </c>
      <c r="C148" s="59" t="str">
        <f aca="false">IF(名簿!$D148="","",名簿!$D148&amp;IF(名簿!$F148="転出","（転出）",""))</f>
        <v/>
      </c>
      <c r="D148" s="149"/>
      <c r="E148" s="61" t="str">
        <f aca="false">IF(OR($C148="",名簿!$F148="転出"),"",IF($C$2="学級ごと",$A148,IF($C$2="前の単元と同じ",単元18!$E148&amp;"",$D148&amp;"")))</f>
        <v/>
      </c>
      <c r="F148" s="150"/>
      <c r="G148" s="150"/>
      <c r="H148" s="150"/>
      <c r="I148" s="151"/>
      <c r="J148" s="41" t="str">
        <f aca="false">IF($E148="","",$E148&amp;"|"&amp;COUNTIF($E$5:$E148,$E148))</f>
        <v/>
      </c>
      <c r="K148" s="40" t="str">
        <f aca="false">IF($I148="","",LEN($I148))</f>
        <v/>
      </c>
      <c r="L148" s="13"/>
      <c r="M148" s="13"/>
      <c r="N148" s="13"/>
      <c r="O148" s="13"/>
      <c r="P148" s="152"/>
      <c r="Q148" s="149"/>
      <c r="R148" s="152"/>
      <c r="S148" s="152"/>
      <c r="T148" s="62" t="str">
        <f aca="false">IF(OR($C148="",R148=""),"",IF(R148/IF($R$2="",100,$R$2)&gt;=設定!$I$28,設定!$G$8,IF(R148/IF($R$2="",100,$R$2)&lt;設定!$I$29,設定!$G$10,設定!$G$9)))</f>
        <v/>
      </c>
      <c r="U148" s="62" t="str">
        <f aca="false">IF(OR($C148="",S148=""),"",IF(S148/IF($S$2="",100,$S$2)&gt;=設定!$I$28,設定!$G$8,IF(S148/IF($S$2="",100,$S$2)&lt;設定!$I$29,設定!$G$10,設定!$G$9)))</f>
        <v/>
      </c>
    </row>
    <row r="149" customFormat="false" ht="21" hidden="false" customHeight="true" outlineLevel="0" collapsed="false">
      <c r="A149" s="91" t="str">
        <f aca="false">IF(名簿!$D149="","",名簿!$B149&amp;"")</f>
        <v/>
      </c>
      <c r="B149" s="91" t="str">
        <f aca="false">IF(名簿!$D149="","",名簿!$C149)</f>
        <v/>
      </c>
      <c r="C149" s="59" t="str">
        <f aca="false">IF(名簿!$D149="","",名簿!$D149&amp;IF(名簿!$F149="転出","（転出）",""))</f>
        <v/>
      </c>
      <c r="D149" s="149"/>
      <c r="E149" s="61" t="str">
        <f aca="false">IF(OR($C149="",名簿!$F149="転出"),"",IF($C$2="学級ごと",$A149,IF($C$2="前の単元と同じ",単元18!$E149&amp;"",$D149&amp;"")))</f>
        <v/>
      </c>
      <c r="F149" s="150"/>
      <c r="G149" s="150"/>
      <c r="H149" s="150"/>
      <c r="I149" s="151"/>
      <c r="J149" s="41" t="str">
        <f aca="false">IF($E149="","",$E149&amp;"|"&amp;COUNTIF($E$5:$E149,$E149))</f>
        <v/>
      </c>
      <c r="K149" s="40" t="str">
        <f aca="false">IF($I149="","",LEN($I149))</f>
        <v/>
      </c>
      <c r="L149" s="13"/>
      <c r="M149" s="13"/>
      <c r="N149" s="13"/>
      <c r="O149" s="13"/>
      <c r="P149" s="152"/>
      <c r="Q149" s="149"/>
      <c r="R149" s="152"/>
      <c r="S149" s="152"/>
      <c r="T149" s="62" t="str">
        <f aca="false">IF(OR($C149="",R149=""),"",IF(R149/IF($R$2="",100,$R$2)&gt;=設定!$I$28,設定!$G$8,IF(R149/IF($R$2="",100,$R$2)&lt;設定!$I$29,設定!$G$10,設定!$G$9)))</f>
        <v/>
      </c>
      <c r="U149" s="62" t="str">
        <f aca="false">IF(OR($C149="",S149=""),"",IF(S149/IF($S$2="",100,$S$2)&gt;=設定!$I$28,設定!$G$8,IF(S149/IF($S$2="",100,$S$2)&lt;設定!$I$29,設定!$G$10,設定!$G$9)))</f>
        <v/>
      </c>
    </row>
    <row r="150" customFormat="false" ht="21" hidden="false" customHeight="true" outlineLevel="0" collapsed="false">
      <c r="A150" s="91" t="str">
        <f aca="false">IF(名簿!$D150="","",名簿!$B150&amp;"")</f>
        <v/>
      </c>
      <c r="B150" s="91" t="str">
        <f aca="false">IF(名簿!$D150="","",名簿!$C150)</f>
        <v/>
      </c>
      <c r="C150" s="59" t="str">
        <f aca="false">IF(名簿!$D150="","",名簿!$D150&amp;IF(名簿!$F150="転出","（転出）",""))</f>
        <v/>
      </c>
      <c r="D150" s="149"/>
      <c r="E150" s="61" t="str">
        <f aca="false">IF(OR($C150="",名簿!$F150="転出"),"",IF($C$2="学級ごと",$A150,IF($C$2="前の単元と同じ",単元18!$E150&amp;"",$D150&amp;"")))</f>
        <v/>
      </c>
      <c r="F150" s="150"/>
      <c r="G150" s="150"/>
      <c r="H150" s="150"/>
      <c r="I150" s="151"/>
      <c r="J150" s="41" t="str">
        <f aca="false">IF($E150="","",$E150&amp;"|"&amp;COUNTIF($E$5:$E150,$E150))</f>
        <v/>
      </c>
      <c r="K150" s="40" t="str">
        <f aca="false">IF($I150="","",LEN($I150))</f>
        <v/>
      </c>
      <c r="L150" s="13"/>
      <c r="M150" s="13"/>
      <c r="N150" s="13"/>
      <c r="O150" s="13"/>
      <c r="P150" s="152"/>
      <c r="Q150" s="149"/>
      <c r="R150" s="152"/>
      <c r="S150" s="152"/>
      <c r="T150" s="62" t="str">
        <f aca="false">IF(OR($C150="",R150=""),"",IF(R150/IF($R$2="",100,$R$2)&gt;=設定!$I$28,設定!$G$8,IF(R150/IF($R$2="",100,$R$2)&lt;設定!$I$29,設定!$G$10,設定!$G$9)))</f>
        <v/>
      </c>
      <c r="U150" s="62" t="str">
        <f aca="false">IF(OR($C150="",S150=""),"",IF(S150/IF($S$2="",100,$S$2)&gt;=設定!$I$28,設定!$G$8,IF(S150/IF($S$2="",100,$S$2)&lt;設定!$I$29,設定!$G$10,設定!$G$9)))</f>
        <v/>
      </c>
    </row>
    <row r="151" customFormat="false" ht="21" hidden="false" customHeight="true" outlineLevel="0" collapsed="false">
      <c r="A151" s="91" t="str">
        <f aca="false">IF(名簿!$D151="","",名簿!$B151&amp;"")</f>
        <v/>
      </c>
      <c r="B151" s="91" t="str">
        <f aca="false">IF(名簿!$D151="","",名簿!$C151)</f>
        <v/>
      </c>
      <c r="C151" s="59" t="str">
        <f aca="false">IF(名簿!$D151="","",名簿!$D151&amp;IF(名簿!$F151="転出","（転出）",""))</f>
        <v/>
      </c>
      <c r="D151" s="149"/>
      <c r="E151" s="61" t="str">
        <f aca="false">IF(OR($C151="",名簿!$F151="転出"),"",IF($C$2="学級ごと",$A151,IF($C$2="前の単元と同じ",単元18!$E151&amp;"",$D151&amp;"")))</f>
        <v/>
      </c>
      <c r="F151" s="150"/>
      <c r="G151" s="150"/>
      <c r="H151" s="150"/>
      <c r="I151" s="151"/>
      <c r="J151" s="41" t="str">
        <f aca="false">IF($E151="","",$E151&amp;"|"&amp;COUNTIF($E$5:$E151,$E151))</f>
        <v/>
      </c>
      <c r="K151" s="40" t="str">
        <f aca="false">IF($I151="","",LEN($I151))</f>
        <v/>
      </c>
      <c r="L151" s="13"/>
      <c r="M151" s="13"/>
      <c r="N151" s="13"/>
      <c r="O151" s="13"/>
      <c r="P151" s="152"/>
      <c r="Q151" s="149"/>
      <c r="R151" s="152"/>
      <c r="S151" s="152"/>
      <c r="T151" s="62" t="str">
        <f aca="false">IF(OR($C151="",R151=""),"",IF(R151/IF($R$2="",100,$R$2)&gt;=設定!$I$28,設定!$G$8,IF(R151/IF($R$2="",100,$R$2)&lt;設定!$I$29,設定!$G$10,設定!$G$9)))</f>
        <v/>
      </c>
      <c r="U151" s="62" t="str">
        <f aca="false">IF(OR($C151="",S151=""),"",IF(S151/IF($S$2="",100,$S$2)&gt;=設定!$I$28,設定!$G$8,IF(S151/IF($S$2="",100,$S$2)&lt;設定!$I$29,設定!$G$10,設定!$G$9)))</f>
        <v/>
      </c>
    </row>
    <row r="152" customFormat="false" ht="21" hidden="false" customHeight="true" outlineLevel="0" collapsed="false">
      <c r="A152" s="91" t="str">
        <f aca="false">IF(名簿!$D152="","",名簿!$B152&amp;"")</f>
        <v/>
      </c>
      <c r="B152" s="91" t="str">
        <f aca="false">IF(名簿!$D152="","",名簿!$C152)</f>
        <v/>
      </c>
      <c r="C152" s="59" t="str">
        <f aca="false">IF(名簿!$D152="","",名簿!$D152&amp;IF(名簿!$F152="転出","（転出）",""))</f>
        <v/>
      </c>
      <c r="D152" s="149"/>
      <c r="E152" s="61" t="str">
        <f aca="false">IF(OR($C152="",名簿!$F152="転出"),"",IF($C$2="学級ごと",$A152,IF($C$2="前の単元と同じ",単元18!$E152&amp;"",$D152&amp;"")))</f>
        <v/>
      </c>
      <c r="F152" s="150"/>
      <c r="G152" s="150"/>
      <c r="H152" s="150"/>
      <c r="I152" s="151"/>
      <c r="J152" s="41" t="str">
        <f aca="false">IF($E152="","",$E152&amp;"|"&amp;COUNTIF($E$5:$E152,$E152))</f>
        <v/>
      </c>
      <c r="K152" s="40" t="str">
        <f aca="false">IF($I152="","",LEN($I152))</f>
        <v/>
      </c>
      <c r="L152" s="13"/>
      <c r="M152" s="13"/>
      <c r="N152" s="13"/>
      <c r="O152" s="13"/>
      <c r="P152" s="152"/>
      <c r="Q152" s="149"/>
      <c r="R152" s="152"/>
      <c r="S152" s="152"/>
      <c r="T152" s="62" t="str">
        <f aca="false">IF(OR($C152="",R152=""),"",IF(R152/IF($R$2="",100,$R$2)&gt;=設定!$I$28,設定!$G$8,IF(R152/IF($R$2="",100,$R$2)&lt;設定!$I$29,設定!$G$10,設定!$G$9)))</f>
        <v/>
      </c>
      <c r="U152" s="62" t="str">
        <f aca="false">IF(OR($C152="",S152=""),"",IF(S152/IF($S$2="",100,$S$2)&gt;=設定!$I$28,設定!$G$8,IF(S152/IF($S$2="",100,$S$2)&lt;設定!$I$29,設定!$G$10,設定!$G$9)))</f>
        <v/>
      </c>
    </row>
    <row r="153" customFormat="false" ht="21" hidden="false" customHeight="true" outlineLevel="0" collapsed="false">
      <c r="A153" s="91" t="str">
        <f aca="false">IF(名簿!$D153="","",名簿!$B153&amp;"")</f>
        <v/>
      </c>
      <c r="B153" s="91" t="str">
        <f aca="false">IF(名簿!$D153="","",名簿!$C153)</f>
        <v/>
      </c>
      <c r="C153" s="59" t="str">
        <f aca="false">IF(名簿!$D153="","",名簿!$D153&amp;IF(名簿!$F153="転出","（転出）",""))</f>
        <v/>
      </c>
      <c r="D153" s="149"/>
      <c r="E153" s="61" t="str">
        <f aca="false">IF(OR($C153="",名簿!$F153="転出"),"",IF($C$2="学級ごと",$A153,IF($C$2="前の単元と同じ",単元18!$E153&amp;"",$D153&amp;"")))</f>
        <v/>
      </c>
      <c r="F153" s="150"/>
      <c r="G153" s="150"/>
      <c r="H153" s="150"/>
      <c r="I153" s="151"/>
      <c r="J153" s="41" t="str">
        <f aca="false">IF($E153="","",$E153&amp;"|"&amp;COUNTIF($E$5:$E153,$E153))</f>
        <v/>
      </c>
      <c r="K153" s="40" t="str">
        <f aca="false">IF($I153="","",LEN($I153))</f>
        <v/>
      </c>
      <c r="L153" s="13"/>
      <c r="M153" s="13"/>
      <c r="N153" s="13"/>
      <c r="O153" s="13"/>
      <c r="P153" s="152"/>
      <c r="Q153" s="149"/>
      <c r="R153" s="152"/>
      <c r="S153" s="152"/>
      <c r="T153" s="62" t="str">
        <f aca="false">IF(OR($C153="",R153=""),"",IF(R153/IF($R$2="",100,$R$2)&gt;=設定!$I$28,設定!$G$8,IF(R153/IF($R$2="",100,$R$2)&lt;設定!$I$29,設定!$G$10,設定!$G$9)))</f>
        <v/>
      </c>
      <c r="U153" s="62" t="str">
        <f aca="false">IF(OR($C153="",S153=""),"",IF(S153/IF($S$2="",100,$S$2)&gt;=設定!$I$28,設定!$G$8,IF(S153/IF($S$2="",100,$S$2)&lt;設定!$I$29,設定!$G$10,設定!$G$9)))</f>
        <v/>
      </c>
    </row>
    <row r="154" customFormat="false" ht="21" hidden="false" customHeight="true" outlineLevel="0" collapsed="false">
      <c r="A154" s="91" t="str">
        <f aca="false">IF(名簿!$D154="","",名簿!$B154&amp;"")</f>
        <v/>
      </c>
      <c r="B154" s="91" t="str">
        <f aca="false">IF(名簿!$D154="","",名簿!$C154)</f>
        <v/>
      </c>
      <c r="C154" s="59" t="str">
        <f aca="false">IF(名簿!$D154="","",名簿!$D154&amp;IF(名簿!$F154="転出","（転出）",""))</f>
        <v/>
      </c>
      <c r="D154" s="149"/>
      <c r="E154" s="61" t="str">
        <f aca="false">IF(OR($C154="",名簿!$F154="転出"),"",IF($C$2="学級ごと",$A154,IF($C$2="前の単元と同じ",単元18!$E154&amp;"",$D154&amp;"")))</f>
        <v/>
      </c>
      <c r="F154" s="150"/>
      <c r="G154" s="150"/>
      <c r="H154" s="150"/>
      <c r="I154" s="151"/>
      <c r="J154" s="41" t="str">
        <f aca="false">IF($E154="","",$E154&amp;"|"&amp;COUNTIF($E$5:$E154,$E154))</f>
        <v/>
      </c>
      <c r="K154" s="40" t="str">
        <f aca="false">IF($I154="","",LEN($I154))</f>
        <v/>
      </c>
      <c r="L154" s="13"/>
      <c r="M154" s="13"/>
      <c r="N154" s="13"/>
      <c r="O154" s="13"/>
      <c r="P154" s="152"/>
      <c r="Q154" s="149"/>
      <c r="R154" s="152"/>
      <c r="S154" s="152"/>
      <c r="T154" s="62" t="str">
        <f aca="false">IF(OR($C154="",R154=""),"",IF(R154/IF($R$2="",100,$R$2)&gt;=設定!$I$28,設定!$G$8,IF(R154/IF($R$2="",100,$R$2)&lt;設定!$I$29,設定!$G$10,設定!$G$9)))</f>
        <v/>
      </c>
      <c r="U154" s="62" t="str">
        <f aca="false">IF(OR($C154="",S154=""),"",IF(S154/IF($S$2="",100,$S$2)&gt;=設定!$I$28,設定!$G$8,IF(S154/IF($S$2="",100,$S$2)&lt;設定!$I$29,設定!$G$10,設定!$G$9)))</f>
        <v/>
      </c>
    </row>
    <row r="155" customFormat="false" ht="21" hidden="false" customHeight="true" outlineLevel="0" collapsed="false">
      <c r="A155" s="91" t="str">
        <f aca="false">IF(名簿!$D155="","",名簿!$B155&amp;"")</f>
        <v/>
      </c>
      <c r="B155" s="91" t="str">
        <f aca="false">IF(名簿!$D155="","",名簿!$C155)</f>
        <v/>
      </c>
      <c r="C155" s="59" t="str">
        <f aca="false">IF(名簿!$D155="","",名簿!$D155&amp;IF(名簿!$F155="転出","（転出）",""))</f>
        <v/>
      </c>
      <c r="D155" s="149"/>
      <c r="E155" s="61" t="str">
        <f aca="false">IF(OR($C155="",名簿!$F155="転出"),"",IF($C$2="学級ごと",$A155,IF($C$2="前の単元と同じ",単元18!$E155&amp;"",$D155&amp;"")))</f>
        <v/>
      </c>
      <c r="F155" s="150"/>
      <c r="G155" s="150"/>
      <c r="H155" s="150"/>
      <c r="I155" s="151"/>
      <c r="J155" s="41" t="str">
        <f aca="false">IF($E155="","",$E155&amp;"|"&amp;COUNTIF($E$5:$E155,$E155))</f>
        <v/>
      </c>
      <c r="K155" s="40" t="str">
        <f aca="false">IF($I155="","",LEN($I155))</f>
        <v/>
      </c>
      <c r="L155" s="13"/>
      <c r="M155" s="13"/>
      <c r="N155" s="13"/>
      <c r="O155" s="13"/>
      <c r="P155" s="152"/>
      <c r="Q155" s="149"/>
      <c r="R155" s="152"/>
      <c r="S155" s="152"/>
      <c r="T155" s="62" t="str">
        <f aca="false">IF(OR($C155="",R155=""),"",IF(R155/IF($R$2="",100,$R$2)&gt;=設定!$I$28,設定!$G$8,IF(R155/IF($R$2="",100,$R$2)&lt;設定!$I$29,設定!$G$10,設定!$G$9)))</f>
        <v/>
      </c>
      <c r="U155" s="62" t="str">
        <f aca="false">IF(OR($C155="",S155=""),"",IF(S155/IF($S$2="",100,$S$2)&gt;=設定!$I$28,設定!$G$8,IF(S155/IF($S$2="",100,$S$2)&lt;設定!$I$29,設定!$G$10,設定!$G$9)))</f>
        <v/>
      </c>
    </row>
    <row r="156" customFormat="false" ht="21" hidden="false" customHeight="true" outlineLevel="0" collapsed="false">
      <c r="A156" s="91" t="str">
        <f aca="false">IF(名簿!$D156="","",名簿!$B156&amp;"")</f>
        <v/>
      </c>
      <c r="B156" s="91" t="str">
        <f aca="false">IF(名簿!$D156="","",名簿!$C156)</f>
        <v/>
      </c>
      <c r="C156" s="59" t="str">
        <f aca="false">IF(名簿!$D156="","",名簿!$D156&amp;IF(名簿!$F156="転出","（転出）",""))</f>
        <v/>
      </c>
      <c r="D156" s="149"/>
      <c r="E156" s="61" t="str">
        <f aca="false">IF(OR($C156="",名簿!$F156="転出"),"",IF($C$2="学級ごと",$A156,IF($C$2="前の単元と同じ",単元18!$E156&amp;"",$D156&amp;"")))</f>
        <v/>
      </c>
      <c r="F156" s="150"/>
      <c r="G156" s="150"/>
      <c r="H156" s="150"/>
      <c r="I156" s="151"/>
      <c r="J156" s="41" t="str">
        <f aca="false">IF($E156="","",$E156&amp;"|"&amp;COUNTIF($E$5:$E156,$E156))</f>
        <v/>
      </c>
      <c r="K156" s="40" t="str">
        <f aca="false">IF($I156="","",LEN($I156))</f>
        <v/>
      </c>
      <c r="L156" s="13"/>
      <c r="M156" s="13"/>
      <c r="N156" s="13"/>
      <c r="O156" s="13"/>
      <c r="P156" s="152"/>
      <c r="Q156" s="149"/>
      <c r="R156" s="152"/>
      <c r="S156" s="152"/>
      <c r="T156" s="62" t="str">
        <f aca="false">IF(OR($C156="",R156=""),"",IF(R156/IF($R$2="",100,$R$2)&gt;=設定!$I$28,設定!$G$8,IF(R156/IF($R$2="",100,$R$2)&lt;設定!$I$29,設定!$G$10,設定!$G$9)))</f>
        <v/>
      </c>
      <c r="U156" s="62" t="str">
        <f aca="false">IF(OR($C156="",S156=""),"",IF(S156/IF($S$2="",100,$S$2)&gt;=設定!$I$28,設定!$G$8,IF(S156/IF($S$2="",100,$S$2)&lt;設定!$I$29,設定!$G$10,設定!$G$9)))</f>
        <v/>
      </c>
    </row>
    <row r="157" customFormat="false" ht="21" hidden="false" customHeight="true" outlineLevel="0" collapsed="false">
      <c r="A157" s="91" t="str">
        <f aca="false">IF(名簿!$D157="","",名簿!$B157&amp;"")</f>
        <v/>
      </c>
      <c r="B157" s="91" t="str">
        <f aca="false">IF(名簿!$D157="","",名簿!$C157)</f>
        <v/>
      </c>
      <c r="C157" s="59" t="str">
        <f aca="false">IF(名簿!$D157="","",名簿!$D157&amp;IF(名簿!$F157="転出","（転出）",""))</f>
        <v/>
      </c>
      <c r="D157" s="149"/>
      <c r="E157" s="61" t="str">
        <f aca="false">IF(OR($C157="",名簿!$F157="転出"),"",IF($C$2="学級ごと",$A157,IF($C$2="前の単元と同じ",単元18!$E157&amp;"",$D157&amp;"")))</f>
        <v/>
      </c>
      <c r="F157" s="150"/>
      <c r="G157" s="150"/>
      <c r="H157" s="150"/>
      <c r="I157" s="151"/>
      <c r="J157" s="41" t="str">
        <f aca="false">IF($E157="","",$E157&amp;"|"&amp;COUNTIF($E$5:$E157,$E157))</f>
        <v/>
      </c>
      <c r="K157" s="40" t="str">
        <f aca="false">IF($I157="","",LEN($I157))</f>
        <v/>
      </c>
      <c r="L157" s="13"/>
      <c r="M157" s="13"/>
      <c r="N157" s="13"/>
      <c r="O157" s="13"/>
      <c r="P157" s="152"/>
      <c r="Q157" s="149"/>
      <c r="R157" s="152"/>
      <c r="S157" s="152"/>
      <c r="T157" s="62" t="str">
        <f aca="false">IF(OR($C157="",R157=""),"",IF(R157/IF($R$2="",100,$R$2)&gt;=設定!$I$28,設定!$G$8,IF(R157/IF($R$2="",100,$R$2)&lt;設定!$I$29,設定!$G$10,設定!$G$9)))</f>
        <v/>
      </c>
      <c r="U157" s="62" t="str">
        <f aca="false">IF(OR($C157="",S157=""),"",IF(S157/IF($S$2="",100,$S$2)&gt;=設定!$I$28,設定!$G$8,IF(S157/IF($S$2="",100,$S$2)&lt;設定!$I$29,設定!$G$10,設定!$G$9)))</f>
        <v/>
      </c>
    </row>
    <row r="158" customFormat="false" ht="21" hidden="false" customHeight="true" outlineLevel="0" collapsed="false">
      <c r="A158" s="91" t="str">
        <f aca="false">IF(名簿!$D158="","",名簿!$B158&amp;"")</f>
        <v/>
      </c>
      <c r="B158" s="91" t="str">
        <f aca="false">IF(名簿!$D158="","",名簿!$C158)</f>
        <v/>
      </c>
      <c r="C158" s="59" t="str">
        <f aca="false">IF(名簿!$D158="","",名簿!$D158&amp;IF(名簿!$F158="転出","（転出）",""))</f>
        <v/>
      </c>
      <c r="D158" s="149"/>
      <c r="E158" s="61" t="str">
        <f aca="false">IF(OR($C158="",名簿!$F158="転出"),"",IF($C$2="学級ごと",$A158,IF($C$2="前の単元と同じ",単元18!$E158&amp;"",$D158&amp;"")))</f>
        <v/>
      </c>
      <c r="F158" s="150"/>
      <c r="G158" s="150"/>
      <c r="H158" s="150"/>
      <c r="I158" s="151"/>
      <c r="J158" s="41" t="str">
        <f aca="false">IF($E158="","",$E158&amp;"|"&amp;COUNTIF($E$5:$E158,$E158))</f>
        <v/>
      </c>
      <c r="K158" s="40" t="str">
        <f aca="false">IF($I158="","",LEN($I158))</f>
        <v/>
      </c>
      <c r="L158" s="13"/>
      <c r="M158" s="13"/>
      <c r="N158" s="13"/>
      <c r="O158" s="13"/>
      <c r="P158" s="152"/>
      <c r="Q158" s="149"/>
      <c r="R158" s="152"/>
      <c r="S158" s="152"/>
      <c r="T158" s="62" t="str">
        <f aca="false">IF(OR($C158="",R158=""),"",IF(R158/IF($R$2="",100,$R$2)&gt;=設定!$I$28,設定!$G$8,IF(R158/IF($R$2="",100,$R$2)&lt;設定!$I$29,設定!$G$10,設定!$G$9)))</f>
        <v/>
      </c>
      <c r="U158" s="62" t="str">
        <f aca="false">IF(OR($C158="",S158=""),"",IF(S158/IF($S$2="",100,$S$2)&gt;=設定!$I$28,設定!$G$8,IF(S158/IF($S$2="",100,$S$2)&lt;設定!$I$29,設定!$G$10,設定!$G$9)))</f>
        <v/>
      </c>
    </row>
    <row r="159" customFormat="false" ht="21" hidden="false" customHeight="true" outlineLevel="0" collapsed="false">
      <c r="A159" s="91" t="str">
        <f aca="false">IF(名簿!$D159="","",名簿!$B159&amp;"")</f>
        <v/>
      </c>
      <c r="B159" s="91" t="str">
        <f aca="false">IF(名簿!$D159="","",名簿!$C159)</f>
        <v/>
      </c>
      <c r="C159" s="59" t="str">
        <f aca="false">IF(名簿!$D159="","",名簿!$D159&amp;IF(名簿!$F159="転出","（転出）",""))</f>
        <v/>
      </c>
      <c r="D159" s="149"/>
      <c r="E159" s="61" t="str">
        <f aca="false">IF(OR($C159="",名簿!$F159="転出"),"",IF($C$2="学級ごと",$A159,IF($C$2="前の単元と同じ",単元18!$E159&amp;"",$D159&amp;"")))</f>
        <v/>
      </c>
      <c r="F159" s="150"/>
      <c r="G159" s="150"/>
      <c r="H159" s="150"/>
      <c r="I159" s="151"/>
      <c r="J159" s="41" t="str">
        <f aca="false">IF($E159="","",$E159&amp;"|"&amp;COUNTIF($E$5:$E159,$E159))</f>
        <v/>
      </c>
      <c r="K159" s="40" t="str">
        <f aca="false">IF($I159="","",LEN($I159))</f>
        <v/>
      </c>
      <c r="L159" s="13"/>
      <c r="M159" s="13"/>
      <c r="N159" s="13"/>
      <c r="O159" s="13"/>
      <c r="P159" s="152"/>
      <c r="Q159" s="149"/>
      <c r="R159" s="152"/>
      <c r="S159" s="152"/>
      <c r="T159" s="62" t="str">
        <f aca="false">IF(OR($C159="",R159=""),"",IF(R159/IF($R$2="",100,$R$2)&gt;=設定!$I$28,設定!$G$8,IF(R159/IF($R$2="",100,$R$2)&lt;設定!$I$29,設定!$G$10,設定!$G$9)))</f>
        <v/>
      </c>
      <c r="U159" s="62" t="str">
        <f aca="false">IF(OR($C159="",S159=""),"",IF(S159/IF($S$2="",100,$S$2)&gt;=設定!$I$28,設定!$G$8,IF(S159/IF($S$2="",100,$S$2)&lt;設定!$I$29,設定!$G$10,設定!$G$9)))</f>
        <v/>
      </c>
    </row>
    <row r="160" customFormat="false" ht="21" hidden="false" customHeight="true" outlineLevel="0" collapsed="false">
      <c r="A160" s="91" t="str">
        <f aca="false">IF(名簿!$D160="","",名簿!$B160&amp;"")</f>
        <v/>
      </c>
      <c r="B160" s="91" t="str">
        <f aca="false">IF(名簿!$D160="","",名簿!$C160)</f>
        <v/>
      </c>
      <c r="C160" s="59" t="str">
        <f aca="false">IF(名簿!$D160="","",名簿!$D160&amp;IF(名簿!$F160="転出","（転出）",""))</f>
        <v/>
      </c>
      <c r="D160" s="149"/>
      <c r="E160" s="61" t="str">
        <f aca="false">IF(OR($C160="",名簿!$F160="転出"),"",IF($C$2="学級ごと",$A160,IF($C$2="前の単元と同じ",単元18!$E160&amp;"",$D160&amp;"")))</f>
        <v/>
      </c>
      <c r="F160" s="150"/>
      <c r="G160" s="150"/>
      <c r="H160" s="150"/>
      <c r="I160" s="151"/>
      <c r="J160" s="41" t="str">
        <f aca="false">IF($E160="","",$E160&amp;"|"&amp;COUNTIF($E$5:$E160,$E160))</f>
        <v/>
      </c>
      <c r="K160" s="40" t="str">
        <f aca="false">IF($I160="","",LEN($I160))</f>
        <v/>
      </c>
      <c r="L160" s="13"/>
      <c r="M160" s="13"/>
      <c r="N160" s="13"/>
      <c r="O160" s="13"/>
      <c r="P160" s="152"/>
      <c r="Q160" s="149"/>
      <c r="R160" s="152"/>
      <c r="S160" s="152"/>
      <c r="T160" s="62" t="str">
        <f aca="false">IF(OR($C160="",R160=""),"",IF(R160/IF($R$2="",100,$R$2)&gt;=設定!$I$28,設定!$G$8,IF(R160/IF($R$2="",100,$R$2)&lt;設定!$I$29,設定!$G$10,設定!$G$9)))</f>
        <v/>
      </c>
      <c r="U160" s="62" t="str">
        <f aca="false">IF(OR($C160="",S160=""),"",IF(S160/IF($S$2="",100,$S$2)&gt;=設定!$I$28,設定!$G$8,IF(S160/IF($S$2="",100,$S$2)&lt;設定!$I$29,設定!$G$10,設定!$G$9)))</f>
        <v/>
      </c>
    </row>
    <row r="161" customFormat="false" ht="21" hidden="false" customHeight="true" outlineLevel="0" collapsed="false">
      <c r="A161" s="91" t="str">
        <f aca="false">IF(名簿!$D161="","",名簿!$B161&amp;"")</f>
        <v/>
      </c>
      <c r="B161" s="91" t="str">
        <f aca="false">IF(名簿!$D161="","",名簿!$C161)</f>
        <v/>
      </c>
      <c r="C161" s="59" t="str">
        <f aca="false">IF(名簿!$D161="","",名簿!$D161&amp;IF(名簿!$F161="転出","（転出）",""))</f>
        <v/>
      </c>
      <c r="D161" s="149"/>
      <c r="E161" s="61" t="str">
        <f aca="false">IF(OR($C161="",名簿!$F161="転出"),"",IF($C$2="学級ごと",$A161,IF($C$2="前の単元と同じ",単元18!$E161&amp;"",$D161&amp;"")))</f>
        <v/>
      </c>
      <c r="F161" s="150"/>
      <c r="G161" s="150"/>
      <c r="H161" s="150"/>
      <c r="I161" s="151"/>
      <c r="J161" s="41" t="str">
        <f aca="false">IF($E161="","",$E161&amp;"|"&amp;COUNTIF($E$5:$E161,$E161))</f>
        <v/>
      </c>
      <c r="K161" s="40" t="str">
        <f aca="false">IF($I161="","",LEN($I161))</f>
        <v/>
      </c>
      <c r="L161" s="13"/>
      <c r="M161" s="13"/>
      <c r="N161" s="13"/>
      <c r="O161" s="13"/>
      <c r="P161" s="152"/>
      <c r="Q161" s="149"/>
      <c r="R161" s="152"/>
      <c r="S161" s="152"/>
      <c r="T161" s="62" t="str">
        <f aca="false">IF(OR($C161="",R161=""),"",IF(R161/IF($R$2="",100,$R$2)&gt;=設定!$I$28,設定!$G$8,IF(R161/IF($R$2="",100,$R$2)&lt;設定!$I$29,設定!$G$10,設定!$G$9)))</f>
        <v/>
      </c>
      <c r="U161" s="62" t="str">
        <f aca="false">IF(OR($C161="",S161=""),"",IF(S161/IF($S$2="",100,$S$2)&gt;=設定!$I$28,設定!$G$8,IF(S161/IF($S$2="",100,$S$2)&lt;設定!$I$29,設定!$G$10,設定!$G$9)))</f>
        <v/>
      </c>
    </row>
    <row r="162" customFormat="false" ht="21" hidden="false" customHeight="true" outlineLevel="0" collapsed="false">
      <c r="A162" s="91" t="str">
        <f aca="false">IF(名簿!$D162="","",名簿!$B162&amp;"")</f>
        <v/>
      </c>
      <c r="B162" s="91" t="str">
        <f aca="false">IF(名簿!$D162="","",名簿!$C162)</f>
        <v/>
      </c>
      <c r="C162" s="59" t="str">
        <f aca="false">IF(名簿!$D162="","",名簿!$D162&amp;IF(名簿!$F162="転出","（転出）",""))</f>
        <v/>
      </c>
      <c r="D162" s="149"/>
      <c r="E162" s="61" t="str">
        <f aca="false">IF(OR($C162="",名簿!$F162="転出"),"",IF($C$2="学級ごと",$A162,IF($C$2="前の単元と同じ",単元18!$E162&amp;"",$D162&amp;"")))</f>
        <v/>
      </c>
      <c r="F162" s="150"/>
      <c r="G162" s="150"/>
      <c r="H162" s="150"/>
      <c r="I162" s="151"/>
      <c r="J162" s="41" t="str">
        <f aca="false">IF($E162="","",$E162&amp;"|"&amp;COUNTIF($E$5:$E162,$E162))</f>
        <v/>
      </c>
      <c r="K162" s="40" t="str">
        <f aca="false">IF($I162="","",LEN($I162))</f>
        <v/>
      </c>
      <c r="L162" s="13"/>
      <c r="M162" s="13"/>
      <c r="N162" s="13"/>
      <c r="O162" s="13"/>
      <c r="P162" s="152"/>
      <c r="Q162" s="149"/>
      <c r="R162" s="152"/>
      <c r="S162" s="152"/>
      <c r="T162" s="62" t="str">
        <f aca="false">IF(OR($C162="",R162=""),"",IF(R162/IF($R$2="",100,$R$2)&gt;=設定!$I$28,設定!$G$8,IF(R162/IF($R$2="",100,$R$2)&lt;設定!$I$29,設定!$G$10,設定!$G$9)))</f>
        <v/>
      </c>
      <c r="U162" s="62" t="str">
        <f aca="false">IF(OR($C162="",S162=""),"",IF(S162/IF($S$2="",100,$S$2)&gt;=設定!$I$28,設定!$G$8,IF(S162/IF($S$2="",100,$S$2)&lt;設定!$I$29,設定!$G$10,設定!$G$9)))</f>
        <v/>
      </c>
    </row>
    <row r="163" customFormat="false" ht="21" hidden="false" customHeight="true" outlineLevel="0" collapsed="false">
      <c r="A163" s="91" t="str">
        <f aca="false">IF(名簿!$D163="","",名簿!$B163&amp;"")</f>
        <v/>
      </c>
      <c r="B163" s="91" t="str">
        <f aca="false">IF(名簿!$D163="","",名簿!$C163)</f>
        <v/>
      </c>
      <c r="C163" s="59" t="str">
        <f aca="false">IF(名簿!$D163="","",名簿!$D163&amp;IF(名簿!$F163="転出","（転出）",""))</f>
        <v/>
      </c>
      <c r="D163" s="149"/>
      <c r="E163" s="61" t="str">
        <f aca="false">IF(OR($C163="",名簿!$F163="転出"),"",IF($C$2="学級ごと",$A163,IF($C$2="前の単元と同じ",単元18!$E163&amp;"",$D163&amp;"")))</f>
        <v/>
      </c>
      <c r="F163" s="150"/>
      <c r="G163" s="150"/>
      <c r="H163" s="150"/>
      <c r="I163" s="151"/>
      <c r="J163" s="41" t="str">
        <f aca="false">IF($E163="","",$E163&amp;"|"&amp;COUNTIF($E$5:$E163,$E163))</f>
        <v/>
      </c>
      <c r="K163" s="40" t="str">
        <f aca="false">IF($I163="","",LEN($I163))</f>
        <v/>
      </c>
      <c r="L163" s="13"/>
      <c r="M163" s="13"/>
      <c r="N163" s="13"/>
      <c r="O163" s="13"/>
      <c r="P163" s="152"/>
      <c r="Q163" s="149"/>
      <c r="R163" s="152"/>
      <c r="S163" s="152"/>
      <c r="T163" s="62" t="str">
        <f aca="false">IF(OR($C163="",R163=""),"",IF(R163/IF($R$2="",100,$R$2)&gt;=設定!$I$28,設定!$G$8,IF(R163/IF($R$2="",100,$R$2)&lt;設定!$I$29,設定!$G$10,設定!$G$9)))</f>
        <v/>
      </c>
      <c r="U163" s="62" t="str">
        <f aca="false">IF(OR($C163="",S163=""),"",IF(S163/IF($S$2="",100,$S$2)&gt;=設定!$I$28,設定!$G$8,IF(S163/IF($S$2="",100,$S$2)&lt;設定!$I$29,設定!$G$10,設定!$G$9)))</f>
        <v/>
      </c>
    </row>
    <row r="164" customFormat="false" ht="21" hidden="false" customHeight="true" outlineLevel="0" collapsed="false">
      <c r="A164" s="91" t="str">
        <f aca="false">IF(名簿!$D164="","",名簿!$B164&amp;"")</f>
        <v/>
      </c>
      <c r="B164" s="91" t="str">
        <f aca="false">IF(名簿!$D164="","",名簿!$C164)</f>
        <v/>
      </c>
      <c r="C164" s="59" t="str">
        <f aca="false">IF(名簿!$D164="","",名簿!$D164&amp;IF(名簿!$F164="転出","（転出）",""))</f>
        <v/>
      </c>
      <c r="D164" s="149"/>
      <c r="E164" s="61" t="str">
        <f aca="false">IF(OR($C164="",名簿!$F164="転出"),"",IF($C$2="学級ごと",$A164,IF($C$2="前の単元と同じ",単元18!$E164&amp;"",$D164&amp;"")))</f>
        <v/>
      </c>
      <c r="F164" s="150"/>
      <c r="G164" s="150"/>
      <c r="H164" s="150"/>
      <c r="I164" s="151"/>
      <c r="J164" s="41" t="str">
        <f aca="false">IF($E164="","",$E164&amp;"|"&amp;COUNTIF($E$5:$E164,$E164))</f>
        <v/>
      </c>
      <c r="K164" s="40" t="str">
        <f aca="false">IF($I164="","",LEN($I164))</f>
        <v/>
      </c>
      <c r="L164" s="13"/>
      <c r="M164" s="13"/>
      <c r="N164" s="13"/>
      <c r="O164" s="13"/>
      <c r="P164" s="152"/>
      <c r="Q164" s="149"/>
      <c r="R164" s="152"/>
      <c r="S164" s="152"/>
      <c r="T164" s="62" t="str">
        <f aca="false">IF(OR($C164="",R164=""),"",IF(R164/IF($R$2="",100,$R$2)&gt;=設定!$I$28,設定!$G$8,IF(R164/IF($R$2="",100,$R$2)&lt;設定!$I$29,設定!$G$10,設定!$G$9)))</f>
        <v/>
      </c>
      <c r="U164" s="62" t="str">
        <f aca="false">IF(OR($C164="",S164=""),"",IF(S164/IF($S$2="",100,$S$2)&gt;=設定!$I$28,設定!$G$8,IF(S164/IF($S$2="",100,$S$2)&lt;設定!$I$29,設定!$G$10,設定!$G$9)))</f>
        <v/>
      </c>
    </row>
  </sheetData>
  <sheetProtection sheet="true" formatColumns="false" formatRows="false" autoFilter="false"/>
  <autoFilter ref="A4:I164"/>
  <mergeCells count="5">
    <mergeCell ref="A1:I1"/>
    <mergeCell ref="R1:U1"/>
    <mergeCell ref="A2:B2"/>
    <mergeCell ref="D2:I2"/>
    <mergeCell ref="T2:U2"/>
  </mergeCells>
  <conditionalFormatting sqref="A5:C164">
    <cfRule type="expression" priority="2" aboveAverage="0" equalAverage="0" bottom="0" percent="0" rank="0" text="" dxfId="37">
      <formula>RIGHT($C5,4)="（転出）"</formula>
    </cfRule>
    <cfRule type="expression" priority="3" aboveAverage="0" equalAverage="0" bottom="0" percent="0" rank="0" text="" dxfId="8">
      <formula>$C5&lt;&gt;""</formula>
    </cfRule>
  </conditionalFormatting>
  <conditionalFormatting sqref="D5:D164">
    <cfRule type="expression" priority="4" aboveAverage="0" equalAverage="0" bottom="0" percent="0" rank="0" text="" dxfId="37">
      <formula>RIGHT($C5,4)="（転出）"</formula>
    </cfRule>
    <cfRule type="expression" priority="5" aboveAverage="0" equalAverage="0" bottom="0" percent="0" rank="0" text="" dxfId="38">
      <formula>AND($C5&lt;&gt;"",$C$2&lt;&gt;"習熟度別")</formula>
    </cfRule>
    <cfRule type="expression" priority="6" aboveAverage="0" equalAverage="0" bottom="0" percent="0" rank="0" text="" dxfId="39">
      <formula>AND($C5&lt;&gt;"",$E5="")</formula>
    </cfRule>
    <cfRule type="expression" priority="7" aboveAverage="0" equalAverage="0" bottom="0" percent="0" rank="0" text="" dxfId="39">
      <formula>AND($C5&lt;&gt;"",$D5&lt;&gt;"",COUNTIF(コース一覧,$D5)=0)</formula>
    </cfRule>
    <cfRule type="expression" priority="8" aboveAverage="0" equalAverage="0" bottom="0" percent="0" rank="0" text="" dxfId="40">
      <formula>AND($C5&lt;&gt;"",$C$2="習熟度別",$Q5&lt;&gt;"",$E5&lt;&gt;"",$Q5&lt;&gt;$E5)</formula>
    </cfRule>
    <cfRule type="expression" priority="9" aboveAverage="0" equalAverage="0" bottom="0" percent="0" rank="0" text="" dxfId="41">
      <formula>$C5&lt;&gt;""</formula>
    </cfRule>
  </conditionalFormatting>
  <conditionalFormatting sqref="E5:E164">
    <cfRule type="expression" priority="10" aboveAverage="0" equalAverage="0" bottom="0" percent="0" rank="0" text="" dxfId="37">
      <formula>RIGHT($C5,4)="（転出）"</formula>
    </cfRule>
    <cfRule type="expression" priority="11" aboveAverage="0" equalAverage="0" bottom="0" percent="0" rank="0" text="" dxfId="42">
      <formula>AND($E5&lt;&gt;"",$E5=$L$2)</formula>
    </cfRule>
    <cfRule type="expression" priority="12" aboveAverage="0" equalAverage="0" bottom="0" percent="0" rank="0" text="" dxfId="43">
      <formula>AND($E5&lt;&gt;"",$E5=$L$3)</formula>
    </cfRule>
    <cfRule type="expression" priority="13" aboveAverage="0" equalAverage="0" bottom="0" percent="0" rank="0" text="" dxfId="44">
      <formula>AND($E5&lt;&gt;"",$E5=$L$4)</formula>
    </cfRule>
    <cfRule type="expression" priority="14" aboveAverage="0" equalAverage="0" bottom="0" percent="0" rank="0" text="" dxfId="45">
      <formula>AND($E5&lt;&gt;"",$E5=$L$5)</formula>
    </cfRule>
    <cfRule type="expression" priority="15" aboveAverage="0" equalAverage="0" bottom="0" percent="0" rank="0" text="" dxfId="46">
      <formula>AND($E5&lt;&gt;"",$E5=$L$6)</formula>
    </cfRule>
    <cfRule type="expression" priority="16" aboveAverage="0" equalAverage="0" bottom="0" percent="0" rank="0" text="" dxfId="8">
      <formula>$C5&lt;&gt;""</formula>
    </cfRule>
  </conditionalFormatting>
  <conditionalFormatting sqref="F5:H164">
    <cfRule type="expression" priority="17" aboveAverage="0" equalAverage="0" bottom="0" percent="0" rank="0" text="" dxfId="37">
      <formula>RIGHT($C5,4)="（転出）"</formula>
    </cfRule>
    <cfRule type="expression" priority="18" aboveAverage="0" equalAverage="0" bottom="0" percent="0" rank="0" text="" dxfId="12">
      <formula>AND(F5&lt;&gt;"",F5=設定!$G$10)</formula>
    </cfRule>
    <cfRule type="expression" priority="19" aboveAverage="0" equalAverage="0" bottom="0" percent="0" rank="0" text="" dxfId="47">
      <formula>AND(F5&lt;&gt;"",F5=設定!$G$8)</formula>
    </cfRule>
    <cfRule type="expression" priority="20" aboveAverage="0" equalAverage="0" bottom="0" percent="0" rank="0" text="" dxfId="41">
      <formula>AND($C5&lt;&gt;"",$E5&lt;&gt;"")</formula>
    </cfRule>
    <cfRule type="expression" priority="21" aboveAverage="0" equalAverage="0" bottom="0" percent="0" rank="0" text="" dxfId="8">
      <formula>$C5&lt;&gt;""</formula>
    </cfRule>
  </conditionalFormatting>
  <conditionalFormatting sqref="I5:I164">
    <cfRule type="expression" priority="22" aboveAverage="0" equalAverage="0" bottom="0" percent="0" rank="0" text="" dxfId="37">
      <formula>RIGHT($C5,4)="（転出）"</formula>
    </cfRule>
    <cfRule type="expression" priority="23" aboveAverage="0" equalAverage="0" bottom="0" percent="0" rank="0" text="" dxfId="48">
      <formula>AND($C5&lt;&gt;"",$I5&lt;&gt;"",ISNUMBER(設定!$I$22),LEN($I5)&gt;設定!$I$22)</formula>
    </cfRule>
    <cfRule type="expression" priority="24" aboveAverage="0" equalAverage="0" bottom="0" percent="0" rank="0" text="" dxfId="41">
      <formula>AND($C5&lt;&gt;"",$E5&lt;&gt;"")</formula>
    </cfRule>
    <cfRule type="expression" priority="25" aboveAverage="0" equalAverage="0" bottom="0" percent="0" rank="0" text="" dxfId="8">
      <formula>$C5&lt;&gt;""</formula>
    </cfRule>
  </conditionalFormatting>
  <conditionalFormatting sqref="K5:K164">
    <cfRule type="expression" priority="26" aboveAverage="0" equalAverage="0" bottom="0" percent="0" rank="0" text="" dxfId="49">
      <formula>AND($K5&lt;&gt;"",ISNUMBER(設定!$I$22),$K5&gt;設定!$I$22)</formula>
    </cfRule>
    <cfRule type="expression" priority="27" aboveAverage="0" equalAverage="0" bottom="0" percent="0" rank="0" text="" dxfId="50">
      <formula>$C5&lt;&gt;""</formula>
    </cfRule>
  </conditionalFormatting>
  <conditionalFormatting sqref="P5:P164">
    <cfRule type="expression" priority="28" aboveAverage="0" equalAverage="0" bottom="0" percent="0" rank="0" text="" dxfId="41">
      <formula>$C5&lt;&gt;""</formula>
    </cfRule>
  </conditionalFormatting>
  <conditionalFormatting sqref="R5:R164">
    <cfRule type="expression" priority="29" aboveAverage="0" equalAverage="0" bottom="0" percent="0" rank="0" text="" dxfId="49">
      <formula>AND($C5&lt;&gt;"",$R5&lt;&gt;"",$R$2&lt;&gt;"",$R5&gt;$R$2)</formula>
    </cfRule>
    <cfRule type="expression" priority="30" aboveAverage="0" equalAverage="0" bottom="0" percent="0" rank="0" text="" dxfId="41">
      <formula>$C5&lt;&gt;""</formula>
    </cfRule>
  </conditionalFormatting>
  <conditionalFormatting sqref="S5:S164">
    <cfRule type="expression" priority="31" aboveAverage="0" equalAverage="0" bottom="0" percent="0" rank="0" text="" dxfId="49">
      <formula>AND($C5&lt;&gt;"",$S5&lt;&gt;"",$S$2&lt;&gt;"",$S5&gt;$S$2)</formula>
    </cfRule>
    <cfRule type="expression" priority="32" aboveAverage="0" equalAverage="0" bottom="0" percent="0" rank="0" text="" dxfId="41">
      <formula>$C5&lt;&gt;""</formula>
    </cfRule>
  </conditionalFormatting>
  <conditionalFormatting sqref="T5:U164">
    <cfRule type="expression" priority="33" aboveAverage="0" equalAverage="0" bottom="0" percent="0" rank="0" text="" dxfId="12">
      <formula>AND(T5&lt;&gt;"",T5=設定!$G$10)</formula>
    </cfRule>
    <cfRule type="expression" priority="34" aboveAverage="0" equalAverage="0" bottom="0" percent="0" rank="0" text="" dxfId="51">
      <formula>AND(T5&lt;&gt;"",T5=設定!$G$8)</formula>
    </cfRule>
    <cfRule type="expression" priority="35" aboveAverage="0" equalAverage="0" bottom="0" percent="0" rank="0" text="" dxfId="19">
      <formula>$C5&lt;&gt;""</formula>
    </cfRule>
  </conditionalFormatting>
  <conditionalFormatting sqref="Q5:Q164">
    <cfRule type="expression" priority="36" aboveAverage="0" equalAverage="0" bottom="0" percent="0" rank="0" text="" dxfId="40">
      <formula>AND($C5&lt;&gt;"",$Q5&lt;&gt;"",$E5&lt;&gt;"",$Q5&lt;&gt;$E5)</formula>
    </cfRule>
    <cfRule type="expression" priority="37" aboveAverage="0" equalAverage="0" bottom="0" percent="0" rank="0" text="" dxfId="41">
      <formula>$C5&lt;&gt;""</formula>
    </cfRule>
  </conditionalFormatting>
  <conditionalFormatting sqref="L2:N2">
    <cfRule type="expression" priority="38" aboveAverage="0" equalAverage="0" bottom="0" percent="0" rank="0" text="" dxfId="14">
      <formula>$L2=""</formula>
    </cfRule>
  </conditionalFormatting>
  <conditionalFormatting sqref="L3:N3">
    <cfRule type="expression" priority="39" aboveAverage="0" equalAverage="0" bottom="0" percent="0" rank="0" text="" dxfId="14">
      <formula>$L3=""</formula>
    </cfRule>
  </conditionalFormatting>
  <conditionalFormatting sqref="L4:N4">
    <cfRule type="expression" priority="40" aboveAverage="0" equalAverage="0" bottom="0" percent="0" rank="0" text="" dxfId="14">
      <formula>$L4=""</formula>
    </cfRule>
  </conditionalFormatting>
  <conditionalFormatting sqref="L5:N5">
    <cfRule type="expression" priority="41" aboveAverage="0" equalAverage="0" bottom="0" percent="0" rank="0" text="" dxfId="14">
      <formula>$L5=""</formula>
    </cfRule>
  </conditionalFormatting>
  <conditionalFormatting sqref="L6:N6">
    <cfRule type="expression" priority="42" aboveAverage="0" equalAverage="0" bottom="0" percent="0" rank="0" text="" dxfId="14">
      <formula>$L6=""</formula>
    </cfRule>
  </conditionalFormatting>
  <conditionalFormatting sqref="N7">
    <cfRule type="expression" priority="43" aboveAverage="0" equalAverage="0" bottom="0" percent="0" rank="0" text="" dxfId="52">
      <formula>$N$7=0</formula>
    </cfRule>
  </conditionalFormatting>
  <dataValidations count="6">
    <dataValidation allowBlank="true" error="点数（数字）を入力してください。" errorStyle="stop" operator="between" showDropDown="false" showErrorMessage="true" showInputMessage="false" sqref="R2:S2 P5:P164 R5:S164" type="decimal">
      <formula1>0</formula1>
      <formula2>1000</formula2>
    </dataValidation>
    <dataValidation allowBlank="false" error="一覧から選んでください。" errorStyle="stop" errorTitle="入力エラー" operator="between" showDropDown="false" showErrorMessage="true" showInputMessage="false" sqref="C2" type="list">
      <formula1>"習熟度別,前の単元と同じ,学級ごと"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D5:D164" type="list">
      <formula1>コース一覧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Q5:Q164" type="list">
      <formula1>コース一覧</formula1>
      <formula2>0</formula2>
    </dataValidation>
    <dataValidation allowBlank="true" error="設定シートの評価記号（A/B/C）から選んでください。" errorStyle="stop" errorTitle="入力エラー" operator="between" showDropDown="false" showErrorMessage="true" showInputMessage="false" sqref="F5:H164" type="list">
      <formula1>評価記号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M2:M6" type="list">
      <formula1>担当者一覧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U16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5"/>
    <col collapsed="false" customWidth="true" hidden="false" outlineLevel="0" max="3" min="3" style="0" width="17"/>
    <col collapsed="false" customWidth="true" hidden="false" outlineLevel="0" max="4" min="4" style="0" width="11"/>
    <col collapsed="false" customWidth="true" hidden="false" outlineLevel="0" max="5" min="5" style="0" width="12"/>
    <col collapsed="false" customWidth="true" hidden="false" outlineLevel="0" max="8" min="6" style="0" width="6"/>
    <col collapsed="false" customWidth="true" hidden="false" outlineLevel="0" max="9" min="9" style="0" width="55"/>
    <col collapsed="false" customWidth="true" hidden="true" outlineLevel="0" max="10" min="10" style="0" width="3"/>
    <col collapsed="false" customWidth="true" hidden="false" outlineLevel="0" max="11" min="11" style="0" width="5"/>
    <col collapsed="false" customWidth="true" hidden="false" outlineLevel="0" max="12" min="12" style="0" width="14"/>
    <col collapsed="false" customWidth="true" hidden="false" outlineLevel="0" max="13" min="13" style="0" width="13"/>
    <col collapsed="false" customWidth="true" hidden="false" outlineLevel="0" max="14" min="14" style="0" width="7"/>
    <col collapsed="false" customWidth="true" hidden="false" outlineLevel="0" max="15" min="15" style="0" width="2"/>
    <col collapsed="false" customWidth="true" hidden="false" outlineLevel="0" max="16" min="16" style="0" width="9"/>
    <col collapsed="false" customWidth="true" hidden="false" outlineLevel="0" max="17" min="17" style="0" width="12"/>
    <col collapsed="false" customWidth="true" hidden="false" outlineLevel="0" max="19" min="18" style="0" width="7"/>
    <col collapsed="false" customWidth="true" hidden="false" outlineLevel="0" max="21" min="20" style="0" width="6"/>
  </cols>
  <sheetData>
    <row r="1" customFormat="false" ht="33.75" hidden="false" customHeight="true" outlineLevel="0" collapsed="false">
      <c r="A1" s="14" t="str">
        <f aca="false">"単元20　"&amp;IF(設定!$D$36="","（設定シートで単元名を入力）",設定!$D$36)&amp;IF(設定!$C$36="","","　／　"&amp;設定!$C$36&amp;IF(ISNUMBER(設定!$C$36),"学期",""))</f>
        <v>単元20　（設定シートで単元名を入力）</v>
      </c>
      <c r="B1" s="14"/>
      <c r="C1" s="14"/>
      <c r="D1" s="14"/>
      <c r="E1" s="14"/>
      <c r="F1" s="14"/>
      <c r="G1" s="14"/>
      <c r="H1" s="14"/>
      <c r="I1" s="14"/>
      <c r="J1" s="13"/>
      <c r="K1" s="13"/>
      <c r="L1" s="16" t="s">
        <v>153</v>
      </c>
      <c r="M1" s="16" t="s">
        <v>68</v>
      </c>
      <c r="N1" s="16" t="s">
        <v>128</v>
      </c>
      <c r="O1" s="13"/>
      <c r="P1" s="13"/>
      <c r="Q1" s="13"/>
      <c r="R1" s="131" t="s">
        <v>154</v>
      </c>
      <c r="S1" s="131"/>
      <c r="T1" s="131"/>
      <c r="U1" s="131"/>
    </row>
    <row r="2" customFormat="false" ht="25.5" hidden="false" customHeight="true" outlineLevel="0" collapsed="false">
      <c r="A2" s="16" t="s">
        <v>131</v>
      </c>
      <c r="B2" s="16"/>
      <c r="C2" s="138" t="s">
        <v>164</v>
      </c>
      <c r="D2" s="139" t="str">
        <f aca="false">IF($C$2="習熟度別","← D列「コース」で一人ずつ選びます",IF($C$2="前の単元と同じ","← 前の単元のコースをそのまま使います","← 在籍学級のまま分かれます"))</f>
        <v>← D列「コース」で一人ずつ選びます</v>
      </c>
      <c r="E2" s="139"/>
      <c r="F2" s="139"/>
      <c r="G2" s="139"/>
      <c r="H2" s="139"/>
      <c r="I2" s="139"/>
      <c r="J2" s="13"/>
      <c r="K2" s="13"/>
      <c r="L2" s="119" t="str">
        <f aca="false">IF($C$2="前の単元と同じ",単元19!$L2&amp;"",IF($C$2="学級ごと",IF(設定!$B$8="","",設定!$B$8&amp;""),IF(設定!$D$8="","",設定!$D$8&amp;"")))</f>
        <v>深める</v>
      </c>
      <c r="M2" s="39"/>
      <c r="N2" s="140" t="n">
        <f aca="false">IF($L2="","",COUNTIF($E$5:$E$164,$L2))</f>
        <v>0</v>
      </c>
      <c r="O2" s="13"/>
      <c r="P2" s="13"/>
      <c r="Q2" s="13"/>
      <c r="R2" s="141" t="n">
        <v>100</v>
      </c>
      <c r="S2" s="141" t="n">
        <v>100</v>
      </c>
      <c r="T2" s="142" t="s">
        <v>165</v>
      </c>
      <c r="U2" s="142"/>
    </row>
    <row r="3" customFormat="false" ht="17.15" hidden="false" customHeight="false" outlineLevel="0" collapsed="false">
      <c r="A3" s="4" t="s">
        <v>166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23" t="str">
        <f aca="false">IF($C$2="前の単元と同じ",単元19!$L3&amp;"",IF($C$2="学級ごと",IF(設定!$B$9="","",設定!$B$9&amp;""),IF(設定!$D$9="","",設定!$D$9&amp;"")))</f>
        <v>広げるA</v>
      </c>
      <c r="M3" s="39"/>
      <c r="N3" s="140" t="n">
        <f aca="false">IF($L3="","",COUNTIF($E$5:$E$164,$L3))</f>
        <v>0</v>
      </c>
      <c r="O3" s="13"/>
      <c r="P3" s="143" t="s">
        <v>167</v>
      </c>
      <c r="Q3" s="13"/>
      <c r="R3" s="144" t="s">
        <v>168</v>
      </c>
      <c r="S3" s="13"/>
      <c r="T3" s="13"/>
      <c r="U3" s="13"/>
    </row>
    <row r="4" customFormat="false" ht="30" hidden="false" customHeight="true" outlineLevel="0" collapsed="false">
      <c r="A4" s="16" t="s">
        <v>121</v>
      </c>
      <c r="B4" s="16" t="s">
        <v>122</v>
      </c>
      <c r="C4" s="16" t="s">
        <v>123</v>
      </c>
      <c r="D4" s="145" t="s">
        <v>153</v>
      </c>
      <c r="E4" s="16" t="s">
        <v>169</v>
      </c>
      <c r="F4" s="146" t="str">
        <f aca="false">設定!$I$8</f>
        <v>知</v>
      </c>
      <c r="G4" s="146" t="str">
        <f aca="false">設定!$I$9</f>
        <v>思</v>
      </c>
      <c r="H4" s="146" t="str">
        <f aca="false">設定!$I$10</f>
        <v>態</v>
      </c>
      <c r="I4" s="146" t="s">
        <v>107</v>
      </c>
      <c r="J4" s="16"/>
      <c r="K4" s="110" t="s">
        <v>170</v>
      </c>
      <c r="L4" s="124" t="str">
        <f aca="false">IF($C$2="前の単元と同じ",単元19!$L4&amp;"",IF($C$2="学級ごと",IF(設定!$B$10="","",設定!$B$10&amp;""),IF(設定!$D$10="","",設定!$D$10&amp;"")))</f>
        <v>広げるB</v>
      </c>
      <c r="M4" s="39"/>
      <c r="N4" s="140" t="n">
        <f aca="false">IF($L4="","",COUNTIF($E$5:$E$164,$L4))</f>
        <v>0</v>
      </c>
      <c r="O4" s="13"/>
      <c r="P4" s="147" t="s">
        <v>171</v>
      </c>
      <c r="Q4" s="147" t="s">
        <v>172</v>
      </c>
      <c r="R4" s="131" t="str">
        <f aca="false">設定!$I$8&amp;"得点"</f>
        <v>知得点</v>
      </c>
      <c r="S4" s="131" t="str">
        <f aca="false">設定!$I$9&amp;"得点"</f>
        <v>思得点</v>
      </c>
      <c r="T4" s="148" t="str">
        <f aca="false">設定!$I$8&amp;"目安"</f>
        <v>知目安</v>
      </c>
      <c r="U4" s="148" t="str">
        <f aca="false">設定!$I$9&amp;"目安"</f>
        <v>思目安</v>
      </c>
    </row>
    <row r="5" customFormat="false" ht="21" hidden="false" customHeight="true" outlineLevel="0" collapsed="false">
      <c r="A5" s="91" t="str">
        <f aca="false">IF(名簿!$D5="","",名簿!$B5&amp;"")</f>
        <v/>
      </c>
      <c r="B5" s="91" t="str">
        <f aca="false">IF(名簿!$D5="","",名簿!$C5)</f>
        <v/>
      </c>
      <c r="C5" s="59" t="str">
        <f aca="false">IF(名簿!$D5="","",名簿!$D5&amp;IF(名簿!$F5="転出","（転出）",""))</f>
        <v/>
      </c>
      <c r="D5" s="149"/>
      <c r="E5" s="61" t="str">
        <f aca="false">IF(OR($C5="",名簿!$F5="転出"),"",IF($C$2="学級ごと",$A5,IF($C$2="前の単元と同じ",単元19!$E5&amp;"",$D5&amp;"")))</f>
        <v/>
      </c>
      <c r="F5" s="150"/>
      <c r="G5" s="150"/>
      <c r="H5" s="150"/>
      <c r="I5" s="151"/>
      <c r="J5" s="41" t="str">
        <f aca="false">IF($E5="","",$E5&amp;"|"&amp;COUNTIF($E$5:$E5,$E5))</f>
        <v/>
      </c>
      <c r="K5" s="40" t="str">
        <f aca="false">IF($I5="","",LEN($I5))</f>
        <v/>
      </c>
      <c r="L5" s="125" t="str">
        <f aca="false">IF($C$2="前の単元と同じ",単元19!$L5&amp;"",IF($C$2="学級ごと",IF(設定!$B$11="","",設定!$B$11&amp;""),IF(設定!$D$11="","",設定!$D$11&amp;"")))</f>
        <v>かためる</v>
      </c>
      <c r="M5" s="39"/>
      <c r="N5" s="140" t="n">
        <f aca="false">IF($L5="","",COUNTIF($E$5:$E$164,$L5))</f>
        <v>0</v>
      </c>
      <c r="O5" s="13"/>
      <c r="P5" s="152"/>
      <c r="Q5" s="149"/>
      <c r="R5" s="152"/>
      <c r="S5" s="152"/>
      <c r="T5" s="62" t="str">
        <f aca="false">IF(OR($C5="",R5=""),"",IF(R5/IF($R$2="",100,$R$2)&gt;=設定!$I$28,設定!$G$8,IF(R5/IF($R$2="",100,$R$2)&lt;設定!$I$29,設定!$G$10,設定!$G$9)))</f>
        <v/>
      </c>
      <c r="U5" s="62" t="str">
        <f aca="false">IF(OR($C5="",S5=""),"",IF(S5/IF($S$2="",100,$S$2)&gt;=設定!$I$28,設定!$G$8,IF(S5/IF($S$2="",100,$S$2)&lt;設定!$I$29,設定!$G$10,設定!$G$9)))</f>
        <v/>
      </c>
    </row>
    <row r="6" customFormat="false" ht="21" hidden="false" customHeight="true" outlineLevel="0" collapsed="false">
      <c r="A6" s="91" t="str">
        <f aca="false">IF(名簿!$D6="","",名簿!$B6&amp;"")</f>
        <v/>
      </c>
      <c r="B6" s="91" t="str">
        <f aca="false">IF(名簿!$D6="","",名簿!$C6)</f>
        <v/>
      </c>
      <c r="C6" s="59" t="str">
        <f aca="false">IF(名簿!$D6="","",名簿!$D6&amp;IF(名簿!$F6="転出","（転出）",""))</f>
        <v/>
      </c>
      <c r="D6" s="149"/>
      <c r="E6" s="61" t="str">
        <f aca="false">IF(OR($C6="",名簿!$F6="転出"),"",IF($C$2="学級ごと",$A6,IF($C$2="前の単元と同じ",単元19!$E6&amp;"",$D6&amp;"")))</f>
        <v/>
      </c>
      <c r="F6" s="150"/>
      <c r="G6" s="150"/>
      <c r="H6" s="150"/>
      <c r="I6" s="151"/>
      <c r="J6" s="41" t="str">
        <f aca="false">IF($E6="","",$E6&amp;"|"&amp;COUNTIF($E$5:$E6,$E6))</f>
        <v/>
      </c>
      <c r="K6" s="40" t="str">
        <f aca="false">IF($I6="","",LEN($I6))</f>
        <v/>
      </c>
      <c r="L6" s="126" t="str">
        <f aca="false">IF($C$2="前の単元と同じ",単元19!$L6&amp;"",IF($C$2="学級ごと",IF(設定!$B$12="","",設定!$B$12&amp;""),IF(設定!$D$12="","",設定!$D$12&amp;"")))</f>
        <v/>
      </c>
      <c r="M6" s="39"/>
      <c r="N6" s="153" t="str">
        <f aca="false">IF($L6="","",COUNTIF($E$5:$E$164,$L6))</f>
        <v/>
      </c>
      <c r="O6" s="13"/>
      <c r="P6" s="152"/>
      <c r="Q6" s="149"/>
      <c r="R6" s="152"/>
      <c r="S6" s="152"/>
      <c r="T6" s="62" t="str">
        <f aca="false">IF(OR($C6="",R6=""),"",IF(R6/IF($R$2="",100,$R$2)&gt;=設定!$I$28,設定!$G$8,IF(R6/IF($R$2="",100,$R$2)&lt;設定!$I$29,設定!$G$10,設定!$G$9)))</f>
        <v/>
      </c>
      <c r="U6" s="62" t="str">
        <f aca="false">IF(OR($C6="",S6=""),"",IF(S6/IF($S$2="",100,$S$2)&gt;=設定!$I$28,設定!$G$8,IF(S6/IF($S$2="",100,$S$2)&lt;設定!$I$29,設定!$G$10,設定!$G$9)))</f>
        <v/>
      </c>
    </row>
    <row r="7" customFormat="false" ht="21" hidden="false" customHeight="true" outlineLevel="0" collapsed="false">
      <c r="A7" s="91" t="str">
        <f aca="false">IF(名簿!$D7="","",名簿!$B7&amp;"")</f>
        <v/>
      </c>
      <c r="B7" s="91" t="str">
        <f aca="false">IF(名簿!$D7="","",名簿!$C7)</f>
        <v/>
      </c>
      <c r="C7" s="59" t="str">
        <f aca="false">IF(名簿!$D7="","",名簿!$D7&amp;IF(名簿!$F7="転出","（転出）",""))</f>
        <v/>
      </c>
      <c r="D7" s="149"/>
      <c r="E7" s="61" t="str">
        <f aca="false">IF(OR($C7="",名簿!$F7="転出"),"",IF($C$2="学級ごと",$A7,IF($C$2="前の単元と同じ",単元19!$E7&amp;"",$D7&amp;"")))</f>
        <v/>
      </c>
      <c r="F7" s="150"/>
      <c r="G7" s="150"/>
      <c r="H7" s="150"/>
      <c r="I7" s="151"/>
      <c r="J7" s="41" t="str">
        <f aca="false">IF($E7="","",$E7&amp;"|"&amp;COUNTIF($E$5:$E7,$E7))</f>
        <v/>
      </c>
      <c r="K7" s="40" t="str">
        <f aca="false">IF($I7="","",LEN($I7))</f>
        <v/>
      </c>
      <c r="L7" s="154" t="s">
        <v>133</v>
      </c>
      <c r="M7" s="155" t="s">
        <v>173</v>
      </c>
      <c r="N7" s="156" t="n">
        <f aca="false">SUMPRODUCT(($C$5:$C$164&lt;&gt;"")*(名簿!$F$5:$F$164&lt;&gt;"転出")*($E$5:$E$164=""))</f>
        <v>0</v>
      </c>
      <c r="O7" s="13"/>
      <c r="P7" s="152"/>
      <c r="Q7" s="149"/>
      <c r="R7" s="152"/>
      <c r="S7" s="152"/>
      <c r="T7" s="62" t="str">
        <f aca="false">IF(OR($C7="",R7=""),"",IF(R7/IF($R$2="",100,$R$2)&gt;=設定!$I$28,設定!$G$8,IF(R7/IF($R$2="",100,$R$2)&lt;設定!$I$29,設定!$G$10,設定!$G$9)))</f>
        <v/>
      </c>
      <c r="U7" s="62" t="str">
        <f aca="false">IF(OR($C7="",S7=""),"",IF(S7/IF($S$2="",100,$S$2)&gt;=設定!$I$28,設定!$G$8,IF(S7/IF($S$2="",100,$S$2)&lt;設定!$I$29,設定!$G$10,設定!$G$9)))</f>
        <v/>
      </c>
    </row>
    <row r="8" customFormat="false" ht="21" hidden="false" customHeight="true" outlineLevel="0" collapsed="false">
      <c r="A8" s="91" t="str">
        <f aca="false">IF(名簿!$D8="","",名簿!$B8&amp;"")</f>
        <v/>
      </c>
      <c r="B8" s="91" t="str">
        <f aca="false">IF(名簿!$D8="","",名簿!$C8)</f>
        <v/>
      </c>
      <c r="C8" s="59" t="str">
        <f aca="false">IF(名簿!$D8="","",名簿!$D8&amp;IF(名簿!$F8="転出","（転出）",""))</f>
        <v/>
      </c>
      <c r="D8" s="149"/>
      <c r="E8" s="61" t="str">
        <f aca="false">IF(OR($C8="",名簿!$F8="転出"),"",IF($C$2="学級ごと",$A8,IF($C$2="前の単元と同じ",単元19!$E8&amp;"",$D8&amp;"")))</f>
        <v/>
      </c>
      <c r="F8" s="150"/>
      <c r="G8" s="150"/>
      <c r="H8" s="150"/>
      <c r="I8" s="151"/>
      <c r="J8" s="41" t="str">
        <f aca="false">IF($E8="","",$E8&amp;"|"&amp;COUNTIF($E$5:$E8,$E8))</f>
        <v/>
      </c>
      <c r="K8" s="40" t="str">
        <f aca="false">IF($I8="","",LEN($I8))</f>
        <v/>
      </c>
      <c r="L8" s="157" t="s">
        <v>174</v>
      </c>
      <c r="M8" s="158" t="s">
        <v>175</v>
      </c>
      <c r="N8" s="159" t="n">
        <f aca="false">SUMPRODUCT(($E$5:$E$164&lt;&gt;"")*(($F$5:$F$164="")+($G$5:$G$164="")+($H$5:$H$164="")&gt;0))</f>
        <v>0</v>
      </c>
      <c r="O8" s="13"/>
      <c r="P8" s="152"/>
      <c r="Q8" s="149"/>
      <c r="R8" s="152"/>
      <c r="S8" s="152"/>
      <c r="T8" s="62" t="str">
        <f aca="false">IF(OR($C8="",R8=""),"",IF(R8/IF($R$2="",100,$R$2)&gt;=設定!$I$28,設定!$G$8,IF(R8/IF($R$2="",100,$R$2)&lt;設定!$I$29,設定!$G$10,設定!$G$9)))</f>
        <v/>
      </c>
      <c r="U8" s="62" t="str">
        <f aca="false">IF(OR($C8="",S8=""),"",IF(S8/IF($S$2="",100,$S$2)&gt;=設定!$I$28,設定!$G$8,IF(S8/IF($S$2="",100,$S$2)&lt;設定!$I$29,設定!$G$10,設定!$G$9)))</f>
        <v/>
      </c>
    </row>
    <row r="9" customFormat="false" ht="21" hidden="false" customHeight="true" outlineLevel="0" collapsed="false">
      <c r="A9" s="91" t="str">
        <f aca="false">IF(名簿!$D9="","",名簿!$B9&amp;"")</f>
        <v/>
      </c>
      <c r="B9" s="91" t="str">
        <f aca="false">IF(名簿!$D9="","",名簿!$C9)</f>
        <v/>
      </c>
      <c r="C9" s="59" t="str">
        <f aca="false">IF(名簿!$D9="","",名簿!$D9&amp;IF(名簿!$F9="転出","（転出）",""))</f>
        <v/>
      </c>
      <c r="D9" s="149"/>
      <c r="E9" s="61" t="str">
        <f aca="false">IF(OR($C9="",名簿!$F9="転出"),"",IF($C$2="学級ごと",$A9,IF($C$2="前の単元と同じ",単元19!$E9&amp;"",$D9&amp;"")))</f>
        <v/>
      </c>
      <c r="F9" s="150"/>
      <c r="G9" s="150"/>
      <c r="H9" s="150"/>
      <c r="I9" s="151"/>
      <c r="J9" s="41" t="str">
        <f aca="false">IF($E9="","",$E9&amp;"|"&amp;COUNTIF($E$5:$E9,$E9))</f>
        <v/>
      </c>
      <c r="K9" s="40" t="str">
        <f aca="false">IF($I9="","",LEN($I9))</f>
        <v/>
      </c>
      <c r="L9" s="13"/>
      <c r="M9" s="13"/>
      <c r="N9" s="13"/>
      <c r="O9" s="13"/>
      <c r="P9" s="152"/>
      <c r="Q9" s="149"/>
      <c r="R9" s="152"/>
      <c r="S9" s="152"/>
      <c r="T9" s="62" t="str">
        <f aca="false">IF(OR($C9="",R9=""),"",IF(R9/IF($R$2="",100,$R$2)&gt;=設定!$I$28,設定!$G$8,IF(R9/IF($R$2="",100,$R$2)&lt;設定!$I$29,設定!$G$10,設定!$G$9)))</f>
        <v/>
      </c>
      <c r="U9" s="62" t="str">
        <f aca="false">IF(OR($C9="",S9=""),"",IF(S9/IF($S$2="",100,$S$2)&gt;=設定!$I$28,設定!$G$8,IF(S9/IF($S$2="",100,$S$2)&lt;設定!$I$29,設定!$G$10,設定!$G$9)))</f>
        <v/>
      </c>
    </row>
    <row r="10" customFormat="false" ht="21" hidden="false" customHeight="true" outlineLevel="0" collapsed="false">
      <c r="A10" s="91" t="str">
        <f aca="false">IF(名簿!$D10="","",名簿!$B10&amp;"")</f>
        <v/>
      </c>
      <c r="B10" s="91" t="str">
        <f aca="false">IF(名簿!$D10="","",名簿!$C10)</f>
        <v/>
      </c>
      <c r="C10" s="59" t="str">
        <f aca="false">IF(名簿!$D10="","",名簿!$D10&amp;IF(名簿!$F10="転出","（転出）",""))</f>
        <v/>
      </c>
      <c r="D10" s="149"/>
      <c r="E10" s="61" t="str">
        <f aca="false">IF(OR($C10="",名簿!$F10="転出"),"",IF($C$2="学級ごと",$A10,IF($C$2="前の単元と同じ",単元19!$E10&amp;"",$D10&amp;"")))</f>
        <v/>
      </c>
      <c r="F10" s="150"/>
      <c r="G10" s="150"/>
      <c r="H10" s="150"/>
      <c r="I10" s="151"/>
      <c r="J10" s="41" t="str">
        <f aca="false">IF($E10="","",$E10&amp;"|"&amp;COUNTIF($E$5:$E10,$E10))</f>
        <v/>
      </c>
      <c r="K10" s="40" t="str">
        <f aca="false">IF($I10="","",LEN($I10))</f>
        <v/>
      </c>
      <c r="L10" s="13"/>
      <c r="M10" s="13"/>
      <c r="N10" s="13"/>
      <c r="O10" s="13"/>
      <c r="P10" s="152"/>
      <c r="Q10" s="149"/>
      <c r="R10" s="152"/>
      <c r="S10" s="152"/>
      <c r="T10" s="62" t="str">
        <f aca="false">IF(OR($C10="",R10=""),"",IF(R10/IF($R$2="",100,$R$2)&gt;=設定!$I$28,設定!$G$8,IF(R10/IF($R$2="",100,$R$2)&lt;設定!$I$29,設定!$G$10,設定!$G$9)))</f>
        <v/>
      </c>
      <c r="U10" s="62" t="str">
        <f aca="false">IF(OR($C10="",S10=""),"",IF(S10/IF($S$2="",100,$S$2)&gt;=設定!$I$28,設定!$G$8,IF(S10/IF($S$2="",100,$S$2)&lt;設定!$I$29,設定!$G$10,設定!$G$9)))</f>
        <v/>
      </c>
    </row>
    <row r="11" customFormat="false" ht="21" hidden="false" customHeight="true" outlineLevel="0" collapsed="false">
      <c r="A11" s="91" t="str">
        <f aca="false">IF(名簿!$D11="","",名簿!$B11&amp;"")</f>
        <v/>
      </c>
      <c r="B11" s="91" t="str">
        <f aca="false">IF(名簿!$D11="","",名簿!$C11)</f>
        <v/>
      </c>
      <c r="C11" s="59" t="str">
        <f aca="false">IF(名簿!$D11="","",名簿!$D11&amp;IF(名簿!$F11="転出","（転出）",""))</f>
        <v/>
      </c>
      <c r="D11" s="149"/>
      <c r="E11" s="61" t="str">
        <f aca="false">IF(OR($C11="",名簿!$F11="転出"),"",IF($C$2="学級ごと",$A11,IF($C$2="前の単元と同じ",単元19!$E11&amp;"",$D11&amp;"")))</f>
        <v/>
      </c>
      <c r="F11" s="150"/>
      <c r="G11" s="150"/>
      <c r="H11" s="150"/>
      <c r="I11" s="151"/>
      <c r="J11" s="41" t="str">
        <f aca="false">IF($E11="","",$E11&amp;"|"&amp;COUNTIF($E$5:$E11,$E11))</f>
        <v/>
      </c>
      <c r="K11" s="40" t="str">
        <f aca="false">IF($I11="","",LEN($I11))</f>
        <v/>
      </c>
      <c r="L11" s="13"/>
      <c r="M11" s="13"/>
      <c r="N11" s="13"/>
      <c r="O11" s="13"/>
      <c r="P11" s="152"/>
      <c r="Q11" s="149"/>
      <c r="R11" s="152"/>
      <c r="S11" s="152"/>
      <c r="T11" s="62" t="str">
        <f aca="false">IF(OR($C11="",R11=""),"",IF(R11/IF($R$2="",100,$R$2)&gt;=設定!$I$28,設定!$G$8,IF(R11/IF($R$2="",100,$R$2)&lt;設定!$I$29,設定!$G$10,設定!$G$9)))</f>
        <v/>
      </c>
      <c r="U11" s="62" t="str">
        <f aca="false">IF(OR($C11="",S11=""),"",IF(S11/IF($S$2="",100,$S$2)&gt;=設定!$I$28,設定!$G$8,IF(S11/IF($S$2="",100,$S$2)&lt;設定!$I$29,設定!$G$10,設定!$G$9)))</f>
        <v/>
      </c>
    </row>
    <row r="12" customFormat="false" ht="21" hidden="false" customHeight="true" outlineLevel="0" collapsed="false">
      <c r="A12" s="91" t="str">
        <f aca="false">IF(名簿!$D12="","",名簿!$B12&amp;"")</f>
        <v/>
      </c>
      <c r="B12" s="91" t="str">
        <f aca="false">IF(名簿!$D12="","",名簿!$C12)</f>
        <v/>
      </c>
      <c r="C12" s="59" t="str">
        <f aca="false">IF(名簿!$D12="","",名簿!$D12&amp;IF(名簿!$F12="転出","（転出）",""))</f>
        <v/>
      </c>
      <c r="D12" s="149"/>
      <c r="E12" s="61" t="str">
        <f aca="false">IF(OR($C12="",名簿!$F12="転出"),"",IF($C$2="学級ごと",$A12,IF($C$2="前の単元と同じ",単元19!$E12&amp;"",$D12&amp;"")))</f>
        <v/>
      </c>
      <c r="F12" s="150"/>
      <c r="G12" s="150"/>
      <c r="H12" s="150"/>
      <c r="I12" s="151"/>
      <c r="J12" s="41" t="str">
        <f aca="false">IF($E12="","",$E12&amp;"|"&amp;COUNTIF($E$5:$E12,$E12))</f>
        <v/>
      </c>
      <c r="K12" s="40" t="str">
        <f aca="false">IF($I12="","",LEN($I12))</f>
        <v/>
      </c>
      <c r="L12" s="13"/>
      <c r="M12" s="13"/>
      <c r="N12" s="13"/>
      <c r="O12" s="13"/>
      <c r="P12" s="152"/>
      <c r="Q12" s="149"/>
      <c r="R12" s="152"/>
      <c r="S12" s="152"/>
      <c r="T12" s="62" t="str">
        <f aca="false">IF(OR($C12="",R12=""),"",IF(R12/IF($R$2="",100,$R$2)&gt;=設定!$I$28,設定!$G$8,IF(R12/IF($R$2="",100,$R$2)&lt;設定!$I$29,設定!$G$10,設定!$G$9)))</f>
        <v/>
      </c>
      <c r="U12" s="62" t="str">
        <f aca="false">IF(OR($C12="",S12=""),"",IF(S12/IF($S$2="",100,$S$2)&gt;=設定!$I$28,設定!$G$8,IF(S12/IF($S$2="",100,$S$2)&lt;設定!$I$29,設定!$G$10,設定!$G$9)))</f>
        <v/>
      </c>
    </row>
    <row r="13" customFormat="false" ht="21" hidden="false" customHeight="true" outlineLevel="0" collapsed="false">
      <c r="A13" s="91" t="str">
        <f aca="false">IF(名簿!$D13="","",名簿!$B13&amp;"")</f>
        <v/>
      </c>
      <c r="B13" s="91" t="str">
        <f aca="false">IF(名簿!$D13="","",名簿!$C13)</f>
        <v/>
      </c>
      <c r="C13" s="59" t="str">
        <f aca="false">IF(名簿!$D13="","",名簿!$D13&amp;IF(名簿!$F13="転出","（転出）",""))</f>
        <v/>
      </c>
      <c r="D13" s="149"/>
      <c r="E13" s="61" t="str">
        <f aca="false">IF(OR($C13="",名簿!$F13="転出"),"",IF($C$2="学級ごと",$A13,IF($C$2="前の単元と同じ",単元19!$E13&amp;"",$D13&amp;"")))</f>
        <v/>
      </c>
      <c r="F13" s="150"/>
      <c r="G13" s="150"/>
      <c r="H13" s="150"/>
      <c r="I13" s="151"/>
      <c r="J13" s="41" t="str">
        <f aca="false">IF($E13="","",$E13&amp;"|"&amp;COUNTIF($E$5:$E13,$E13))</f>
        <v/>
      </c>
      <c r="K13" s="40" t="str">
        <f aca="false">IF($I13="","",LEN($I13))</f>
        <v/>
      </c>
      <c r="L13" s="13"/>
      <c r="M13" s="13"/>
      <c r="N13" s="13"/>
      <c r="O13" s="13"/>
      <c r="P13" s="152"/>
      <c r="Q13" s="149"/>
      <c r="R13" s="152"/>
      <c r="S13" s="152"/>
      <c r="T13" s="62" t="str">
        <f aca="false">IF(OR($C13="",R13=""),"",IF(R13/IF($R$2="",100,$R$2)&gt;=設定!$I$28,設定!$G$8,IF(R13/IF($R$2="",100,$R$2)&lt;設定!$I$29,設定!$G$10,設定!$G$9)))</f>
        <v/>
      </c>
      <c r="U13" s="62" t="str">
        <f aca="false">IF(OR($C13="",S13=""),"",IF(S13/IF($S$2="",100,$S$2)&gt;=設定!$I$28,設定!$G$8,IF(S13/IF($S$2="",100,$S$2)&lt;設定!$I$29,設定!$G$10,設定!$G$9)))</f>
        <v/>
      </c>
    </row>
    <row r="14" customFormat="false" ht="21" hidden="false" customHeight="true" outlineLevel="0" collapsed="false">
      <c r="A14" s="91" t="str">
        <f aca="false">IF(名簿!$D14="","",名簿!$B14&amp;"")</f>
        <v/>
      </c>
      <c r="B14" s="91" t="str">
        <f aca="false">IF(名簿!$D14="","",名簿!$C14)</f>
        <v/>
      </c>
      <c r="C14" s="59" t="str">
        <f aca="false">IF(名簿!$D14="","",名簿!$D14&amp;IF(名簿!$F14="転出","（転出）",""))</f>
        <v/>
      </c>
      <c r="D14" s="149"/>
      <c r="E14" s="61" t="str">
        <f aca="false">IF(OR($C14="",名簿!$F14="転出"),"",IF($C$2="学級ごと",$A14,IF($C$2="前の単元と同じ",単元19!$E14&amp;"",$D14&amp;"")))</f>
        <v/>
      </c>
      <c r="F14" s="150"/>
      <c r="G14" s="150"/>
      <c r="H14" s="150"/>
      <c r="I14" s="151"/>
      <c r="J14" s="41" t="str">
        <f aca="false">IF($E14="","",$E14&amp;"|"&amp;COUNTIF($E$5:$E14,$E14))</f>
        <v/>
      </c>
      <c r="K14" s="40" t="str">
        <f aca="false">IF($I14="","",LEN($I14))</f>
        <v/>
      </c>
      <c r="L14" s="13"/>
      <c r="M14" s="13"/>
      <c r="N14" s="13"/>
      <c r="O14" s="13"/>
      <c r="P14" s="152"/>
      <c r="Q14" s="149"/>
      <c r="R14" s="152"/>
      <c r="S14" s="152"/>
      <c r="T14" s="62" t="str">
        <f aca="false">IF(OR($C14="",R14=""),"",IF(R14/IF($R$2="",100,$R$2)&gt;=設定!$I$28,設定!$G$8,IF(R14/IF($R$2="",100,$R$2)&lt;設定!$I$29,設定!$G$10,設定!$G$9)))</f>
        <v/>
      </c>
      <c r="U14" s="62" t="str">
        <f aca="false">IF(OR($C14="",S14=""),"",IF(S14/IF($S$2="",100,$S$2)&gt;=設定!$I$28,設定!$G$8,IF(S14/IF($S$2="",100,$S$2)&lt;設定!$I$29,設定!$G$10,設定!$G$9)))</f>
        <v/>
      </c>
    </row>
    <row r="15" customFormat="false" ht="21" hidden="false" customHeight="true" outlineLevel="0" collapsed="false">
      <c r="A15" s="91" t="str">
        <f aca="false">IF(名簿!$D15="","",名簿!$B15&amp;"")</f>
        <v/>
      </c>
      <c r="B15" s="91" t="str">
        <f aca="false">IF(名簿!$D15="","",名簿!$C15)</f>
        <v/>
      </c>
      <c r="C15" s="59" t="str">
        <f aca="false">IF(名簿!$D15="","",名簿!$D15&amp;IF(名簿!$F15="転出","（転出）",""))</f>
        <v/>
      </c>
      <c r="D15" s="149"/>
      <c r="E15" s="61" t="str">
        <f aca="false">IF(OR($C15="",名簿!$F15="転出"),"",IF($C$2="学級ごと",$A15,IF($C$2="前の単元と同じ",単元19!$E15&amp;"",$D15&amp;"")))</f>
        <v/>
      </c>
      <c r="F15" s="150"/>
      <c r="G15" s="150"/>
      <c r="H15" s="150"/>
      <c r="I15" s="151"/>
      <c r="J15" s="41" t="str">
        <f aca="false">IF($E15="","",$E15&amp;"|"&amp;COUNTIF($E$5:$E15,$E15))</f>
        <v/>
      </c>
      <c r="K15" s="40" t="str">
        <f aca="false">IF($I15="","",LEN($I15))</f>
        <v/>
      </c>
      <c r="L15" s="13"/>
      <c r="M15" s="13"/>
      <c r="N15" s="13"/>
      <c r="O15" s="13"/>
      <c r="P15" s="152"/>
      <c r="Q15" s="149"/>
      <c r="R15" s="152"/>
      <c r="S15" s="152"/>
      <c r="T15" s="62" t="str">
        <f aca="false">IF(OR($C15="",R15=""),"",IF(R15/IF($R$2="",100,$R$2)&gt;=設定!$I$28,設定!$G$8,IF(R15/IF($R$2="",100,$R$2)&lt;設定!$I$29,設定!$G$10,設定!$G$9)))</f>
        <v/>
      </c>
      <c r="U15" s="62" t="str">
        <f aca="false">IF(OR($C15="",S15=""),"",IF(S15/IF($S$2="",100,$S$2)&gt;=設定!$I$28,設定!$G$8,IF(S15/IF($S$2="",100,$S$2)&lt;設定!$I$29,設定!$G$10,設定!$G$9)))</f>
        <v/>
      </c>
    </row>
    <row r="16" customFormat="false" ht="21" hidden="false" customHeight="true" outlineLevel="0" collapsed="false">
      <c r="A16" s="91" t="str">
        <f aca="false">IF(名簿!$D16="","",名簿!$B16&amp;"")</f>
        <v/>
      </c>
      <c r="B16" s="91" t="str">
        <f aca="false">IF(名簿!$D16="","",名簿!$C16)</f>
        <v/>
      </c>
      <c r="C16" s="59" t="str">
        <f aca="false">IF(名簿!$D16="","",名簿!$D16&amp;IF(名簿!$F16="転出","（転出）",""))</f>
        <v/>
      </c>
      <c r="D16" s="149"/>
      <c r="E16" s="61" t="str">
        <f aca="false">IF(OR($C16="",名簿!$F16="転出"),"",IF($C$2="学級ごと",$A16,IF($C$2="前の単元と同じ",単元19!$E16&amp;"",$D16&amp;"")))</f>
        <v/>
      </c>
      <c r="F16" s="150"/>
      <c r="G16" s="150"/>
      <c r="H16" s="150"/>
      <c r="I16" s="151"/>
      <c r="J16" s="41" t="str">
        <f aca="false">IF($E16="","",$E16&amp;"|"&amp;COUNTIF($E$5:$E16,$E16))</f>
        <v/>
      </c>
      <c r="K16" s="40" t="str">
        <f aca="false">IF($I16="","",LEN($I16))</f>
        <v/>
      </c>
      <c r="L16" s="13"/>
      <c r="M16" s="13"/>
      <c r="N16" s="13"/>
      <c r="O16" s="13"/>
      <c r="P16" s="152"/>
      <c r="Q16" s="149"/>
      <c r="R16" s="152"/>
      <c r="S16" s="152"/>
      <c r="T16" s="62" t="str">
        <f aca="false">IF(OR($C16="",R16=""),"",IF(R16/IF($R$2="",100,$R$2)&gt;=設定!$I$28,設定!$G$8,IF(R16/IF($R$2="",100,$R$2)&lt;設定!$I$29,設定!$G$10,設定!$G$9)))</f>
        <v/>
      </c>
      <c r="U16" s="62" t="str">
        <f aca="false">IF(OR($C16="",S16=""),"",IF(S16/IF($S$2="",100,$S$2)&gt;=設定!$I$28,設定!$G$8,IF(S16/IF($S$2="",100,$S$2)&lt;設定!$I$29,設定!$G$10,設定!$G$9)))</f>
        <v/>
      </c>
    </row>
    <row r="17" customFormat="false" ht="21" hidden="false" customHeight="true" outlineLevel="0" collapsed="false">
      <c r="A17" s="91" t="str">
        <f aca="false">IF(名簿!$D17="","",名簿!$B17&amp;"")</f>
        <v/>
      </c>
      <c r="B17" s="91" t="str">
        <f aca="false">IF(名簿!$D17="","",名簿!$C17)</f>
        <v/>
      </c>
      <c r="C17" s="59" t="str">
        <f aca="false">IF(名簿!$D17="","",名簿!$D17&amp;IF(名簿!$F17="転出","（転出）",""))</f>
        <v/>
      </c>
      <c r="D17" s="149"/>
      <c r="E17" s="61" t="str">
        <f aca="false">IF(OR($C17="",名簿!$F17="転出"),"",IF($C$2="学級ごと",$A17,IF($C$2="前の単元と同じ",単元19!$E17&amp;"",$D17&amp;"")))</f>
        <v/>
      </c>
      <c r="F17" s="150"/>
      <c r="G17" s="150"/>
      <c r="H17" s="150"/>
      <c r="I17" s="151"/>
      <c r="J17" s="41" t="str">
        <f aca="false">IF($E17="","",$E17&amp;"|"&amp;COUNTIF($E$5:$E17,$E17))</f>
        <v/>
      </c>
      <c r="K17" s="40" t="str">
        <f aca="false">IF($I17="","",LEN($I17))</f>
        <v/>
      </c>
      <c r="L17" s="13"/>
      <c r="M17" s="13"/>
      <c r="N17" s="13"/>
      <c r="O17" s="13"/>
      <c r="P17" s="152"/>
      <c r="Q17" s="149"/>
      <c r="R17" s="152"/>
      <c r="S17" s="152"/>
      <c r="T17" s="62" t="str">
        <f aca="false">IF(OR($C17="",R17=""),"",IF(R17/IF($R$2="",100,$R$2)&gt;=設定!$I$28,設定!$G$8,IF(R17/IF($R$2="",100,$R$2)&lt;設定!$I$29,設定!$G$10,設定!$G$9)))</f>
        <v/>
      </c>
      <c r="U17" s="62" t="str">
        <f aca="false">IF(OR($C17="",S17=""),"",IF(S17/IF($S$2="",100,$S$2)&gt;=設定!$I$28,設定!$G$8,IF(S17/IF($S$2="",100,$S$2)&lt;設定!$I$29,設定!$G$10,設定!$G$9)))</f>
        <v/>
      </c>
    </row>
    <row r="18" customFormat="false" ht="21" hidden="false" customHeight="true" outlineLevel="0" collapsed="false">
      <c r="A18" s="91" t="str">
        <f aca="false">IF(名簿!$D18="","",名簿!$B18&amp;"")</f>
        <v/>
      </c>
      <c r="B18" s="91" t="str">
        <f aca="false">IF(名簿!$D18="","",名簿!$C18)</f>
        <v/>
      </c>
      <c r="C18" s="59" t="str">
        <f aca="false">IF(名簿!$D18="","",名簿!$D18&amp;IF(名簿!$F18="転出","（転出）",""))</f>
        <v/>
      </c>
      <c r="D18" s="149"/>
      <c r="E18" s="61" t="str">
        <f aca="false">IF(OR($C18="",名簿!$F18="転出"),"",IF($C$2="学級ごと",$A18,IF($C$2="前の単元と同じ",単元19!$E18&amp;"",$D18&amp;"")))</f>
        <v/>
      </c>
      <c r="F18" s="150"/>
      <c r="G18" s="150"/>
      <c r="H18" s="150"/>
      <c r="I18" s="151"/>
      <c r="J18" s="41" t="str">
        <f aca="false">IF($E18="","",$E18&amp;"|"&amp;COUNTIF($E$5:$E18,$E18))</f>
        <v/>
      </c>
      <c r="K18" s="40" t="str">
        <f aca="false">IF($I18="","",LEN($I18))</f>
        <v/>
      </c>
      <c r="L18" s="13"/>
      <c r="M18" s="13"/>
      <c r="N18" s="13"/>
      <c r="O18" s="13"/>
      <c r="P18" s="152"/>
      <c r="Q18" s="149"/>
      <c r="R18" s="152"/>
      <c r="S18" s="152"/>
      <c r="T18" s="62" t="str">
        <f aca="false">IF(OR($C18="",R18=""),"",IF(R18/IF($R$2="",100,$R$2)&gt;=設定!$I$28,設定!$G$8,IF(R18/IF($R$2="",100,$R$2)&lt;設定!$I$29,設定!$G$10,設定!$G$9)))</f>
        <v/>
      </c>
      <c r="U18" s="62" t="str">
        <f aca="false">IF(OR($C18="",S18=""),"",IF(S18/IF($S$2="",100,$S$2)&gt;=設定!$I$28,設定!$G$8,IF(S18/IF($S$2="",100,$S$2)&lt;設定!$I$29,設定!$G$10,設定!$G$9)))</f>
        <v/>
      </c>
    </row>
    <row r="19" customFormat="false" ht="21" hidden="false" customHeight="true" outlineLevel="0" collapsed="false">
      <c r="A19" s="91" t="str">
        <f aca="false">IF(名簿!$D19="","",名簿!$B19&amp;"")</f>
        <v/>
      </c>
      <c r="B19" s="91" t="str">
        <f aca="false">IF(名簿!$D19="","",名簿!$C19)</f>
        <v/>
      </c>
      <c r="C19" s="59" t="str">
        <f aca="false">IF(名簿!$D19="","",名簿!$D19&amp;IF(名簿!$F19="転出","（転出）",""))</f>
        <v/>
      </c>
      <c r="D19" s="149"/>
      <c r="E19" s="61" t="str">
        <f aca="false">IF(OR($C19="",名簿!$F19="転出"),"",IF($C$2="学級ごと",$A19,IF($C$2="前の単元と同じ",単元19!$E19&amp;"",$D19&amp;"")))</f>
        <v/>
      </c>
      <c r="F19" s="150"/>
      <c r="G19" s="150"/>
      <c r="H19" s="150"/>
      <c r="I19" s="151"/>
      <c r="J19" s="41" t="str">
        <f aca="false">IF($E19="","",$E19&amp;"|"&amp;COUNTIF($E$5:$E19,$E19))</f>
        <v/>
      </c>
      <c r="K19" s="40" t="str">
        <f aca="false">IF($I19="","",LEN($I19))</f>
        <v/>
      </c>
      <c r="L19" s="13"/>
      <c r="M19" s="13"/>
      <c r="N19" s="13"/>
      <c r="O19" s="13"/>
      <c r="P19" s="152"/>
      <c r="Q19" s="149"/>
      <c r="R19" s="152"/>
      <c r="S19" s="152"/>
      <c r="T19" s="62" t="str">
        <f aca="false">IF(OR($C19="",R19=""),"",IF(R19/IF($R$2="",100,$R$2)&gt;=設定!$I$28,設定!$G$8,IF(R19/IF($R$2="",100,$R$2)&lt;設定!$I$29,設定!$G$10,設定!$G$9)))</f>
        <v/>
      </c>
      <c r="U19" s="62" t="str">
        <f aca="false">IF(OR($C19="",S19=""),"",IF(S19/IF($S$2="",100,$S$2)&gt;=設定!$I$28,設定!$G$8,IF(S19/IF($S$2="",100,$S$2)&lt;設定!$I$29,設定!$G$10,設定!$G$9)))</f>
        <v/>
      </c>
    </row>
    <row r="20" customFormat="false" ht="21" hidden="false" customHeight="true" outlineLevel="0" collapsed="false">
      <c r="A20" s="91" t="str">
        <f aca="false">IF(名簿!$D20="","",名簿!$B20&amp;"")</f>
        <v/>
      </c>
      <c r="B20" s="91" t="str">
        <f aca="false">IF(名簿!$D20="","",名簿!$C20)</f>
        <v/>
      </c>
      <c r="C20" s="59" t="str">
        <f aca="false">IF(名簿!$D20="","",名簿!$D20&amp;IF(名簿!$F20="転出","（転出）",""))</f>
        <v/>
      </c>
      <c r="D20" s="149"/>
      <c r="E20" s="61" t="str">
        <f aca="false">IF(OR($C20="",名簿!$F20="転出"),"",IF($C$2="学級ごと",$A20,IF($C$2="前の単元と同じ",単元19!$E20&amp;"",$D20&amp;"")))</f>
        <v/>
      </c>
      <c r="F20" s="150"/>
      <c r="G20" s="150"/>
      <c r="H20" s="150"/>
      <c r="I20" s="151"/>
      <c r="J20" s="41" t="str">
        <f aca="false">IF($E20="","",$E20&amp;"|"&amp;COUNTIF($E$5:$E20,$E20))</f>
        <v/>
      </c>
      <c r="K20" s="40" t="str">
        <f aca="false">IF($I20="","",LEN($I20))</f>
        <v/>
      </c>
      <c r="L20" s="13"/>
      <c r="M20" s="13"/>
      <c r="N20" s="13"/>
      <c r="O20" s="13"/>
      <c r="P20" s="152"/>
      <c r="Q20" s="149"/>
      <c r="R20" s="152"/>
      <c r="S20" s="152"/>
      <c r="T20" s="62" t="str">
        <f aca="false">IF(OR($C20="",R20=""),"",IF(R20/IF($R$2="",100,$R$2)&gt;=設定!$I$28,設定!$G$8,IF(R20/IF($R$2="",100,$R$2)&lt;設定!$I$29,設定!$G$10,設定!$G$9)))</f>
        <v/>
      </c>
      <c r="U20" s="62" t="str">
        <f aca="false">IF(OR($C20="",S20=""),"",IF(S20/IF($S$2="",100,$S$2)&gt;=設定!$I$28,設定!$G$8,IF(S20/IF($S$2="",100,$S$2)&lt;設定!$I$29,設定!$G$10,設定!$G$9)))</f>
        <v/>
      </c>
    </row>
    <row r="21" customFormat="false" ht="21" hidden="false" customHeight="true" outlineLevel="0" collapsed="false">
      <c r="A21" s="91" t="str">
        <f aca="false">IF(名簿!$D21="","",名簿!$B21&amp;"")</f>
        <v/>
      </c>
      <c r="B21" s="91" t="str">
        <f aca="false">IF(名簿!$D21="","",名簿!$C21)</f>
        <v/>
      </c>
      <c r="C21" s="59" t="str">
        <f aca="false">IF(名簿!$D21="","",名簿!$D21&amp;IF(名簿!$F21="転出","（転出）",""))</f>
        <v/>
      </c>
      <c r="D21" s="149"/>
      <c r="E21" s="61" t="str">
        <f aca="false">IF(OR($C21="",名簿!$F21="転出"),"",IF($C$2="学級ごと",$A21,IF($C$2="前の単元と同じ",単元19!$E21&amp;"",$D21&amp;"")))</f>
        <v/>
      </c>
      <c r="F21" s="150"/>
      <c r="G21" s="150"/>
      <c r="H21" s="150"/>
      <c r="I21" s="151"/>
      <c r="J21" s="41" t="str">
        <f aca="false">IF($E21="","",$E21&amp;"|"&amp;COUNTIF($E$5:$E21,$E21))</f>
        <v/>
      </c>
      <c r="K21" s="40" t="str">
        <f aca="false">IF($I21="","",LEN($I21))</f>
        <v/>
      </c>
      <c r="L21" s="13"/>
      <c r="M21" s="13"/>
      <c r="N21" s="13"/>
      <c r="O21" s="13"/>
      <c r="P21" s="152"/>
      <c r="Q21" s="149"/>
      <c r="R21" s="152"/>
      <c r="S21" s="152"/>
      <c r="T21" s="62" t="str">
        <f aca="false">IF(OR($C21="",R21=""),"",IF(R21/IF($R$2="",100,$R$2)&gt;=設定!$I$28,設定!$G$8,IF(R21/IF($R$2="",100,$R$2)&lt;設定!$I$29,設定!$G$10,設定!$G$9)))</f>
        <v/>
      </c>
      <c r="U21" s="62" t="str">
        <f aca="false">IF(OR($C21="",S21=""),"",IF(S21/IF($S$2="",100,$S$2)&gt;=設定!$I$28,設定!$G$8,IF(S21/IF($S$2="",100,$S$2)&lt;設定!$I$29,設定!$G$10,設定!$G$9)))</f>
        <v/>
      </c>
    </row>
    <row r="22" customFormat="false" ht="21" hidden="false" customHeight="true" outlineLevel="0" collapsed="false">
      <c r="A22" s="91" t="str">
        <f aca="false">IF(名簿!$D22="","",名簿!$B22&amp;"")</f>
        <v/>
      </c>
      <c r="B22" s="91" t="str">
        <f aca="false">IF(名簿!$D22="","",名簿!$C22)</f>
        <v/>
      </c>
      <c r="C22" s="59" t="str">
        <f aca="false">IF(名簿!$D22="","",名簿!$D22&amp;IF(名簿!$F22="転出","（転出）",""))</f>
        <v/>
      </c>
      <c r="D22" s="149"/>
      <c r="E22" s="61" t="str">
        <f aca="false">IF(OR($C22="",名簿!$F22="転出"),"",IF($C$2="学級ごと",$A22,IF($C$2="前の単元と同じ",単元19!$E22&amp;"",$D22&amp;"")))</f>
        <v/>
      </c>
      <c r="F22" s="150"/>
      <c r="G22" s="150"/>
      <c r="H22" s="150"/>
      <c r="I22" s="151"/>
      <c r="J22" s="41" t="str">
        <f aca="false">IF($E22="","",$E22&amp;"|"&amp;COUNTIF($E$5:$E22,$E22))</f>
        <v/>
      </c>
      <c r="K22" s="40" t="str">
        <f aca="false">IF($I22="","",LEN($I22))</f>
        <v/>
      </c>
      <c r="L22" s="13"/>
      <c r="M22" s="13"/>
      <c r="N22" s="13"/>
      <c r="O22" s="13"/>
      <c r="P22" s="152"/>
      <c r="Q22" s="149"/>
      <c r="R22" s="152"/>
      <c r="S22" s="152"/>
      <c r="T22" s="62" t="str">
        <f aca="false">IF(OR($C22="",R22=""),"",IF(R22/IF($R$2="",100,$R$2)&gt;=設定!$I$28,設定!$G$8,IF(R22/IF($R$2="",100,$R$2)&lt;設定!$I$29,設定!$G$10,設定!$G$9)))</f>
        <v/>
      </c>
      <c r="U22" s="62" t="str">
        <f aca="false">IF(OR($C22="",S22=""),"",IF(S22/IF($S$2="",100,$S$2)&gt;=設定!$I$28,設定!$G$8,IF(S22/IF($S$2="",100,$S$2)&lt;設定!$I$29,設定!$G$10,設定!$G$9)))</f>
        <v/>
      </c>
    </row>
    <row r="23" customFormat="false" ht="21" hidden="false" customHeight="true" outlineLevel="0" collapsed="false">
      <c r="A23" s="91" t="str">
        <f aca="false">IF(名簿!$D23="","",名簿!$B23&amp;"")</f>
        <v/>
      </c>
      <c r="B23" s="91" t="str">
        <f aca="false">IF(名簿!$D23="","",名簿!$C23)</f>
        <v/>
      </c>
      <c r="C23" s="59" t="str">
        <f aca="false">IF(名簿!$D23="","",名簿!$D23&amp;IF(名簿!$F23="転出","（転出）",""))</f>
        <v/>
      </c>
      <c r="D23" s="149"/>
      <c r="E23" s="61" t="str">
        <f aca="false">IF(OR($C23="",名簿!$F23="転出"),"",IF($C$2="学級ごと",$A23,IF($C$2="前の単元と同じ",単元19!$E23&amp;"",$D23&amp;"")))</f>
        <v/>
      </c>
      <c r="F23" s="150"/>
      <c r="G23" s="150"/>
      <c r="H23" s="150"/>
      <c r="I23" s="151"/>
      <c r="J23" s="41" t="str">
        <f aca="false">IF($E23="","",$E23&amp;"|"&amp;COUNTIF($E$5:$E23,$E23))</f>
        <v/>
      </c>
      <c r="K23" s="40" t="str">
        <f aca="false">IF($I23="","",LEN($I23))</f>
        <v/>
      </c>
      <c r="L23" s="13"/>
      <c r="M23" s="13"/>
      <c r="N23" s="13"/>
      <c r="O23" s="13"/>
      <c r="P23" s="152"/>
      <c r="Q23" s="149"/>
      <c r="R23" s="152"/>
      <c r="S23" s="152"/>
      <c r="T23" s="62" t="str">
        <f aca="false">IF(OR($C23="",R23=""),"",IF(R23/IF($R$2="",100,$R$2)&gt;=設定!$I$28,設定!$G$8,IF(R23/IF($R$2="",100,$R$2)&lt;設定!$I$29,設定!$G$10,設定!$G$9)))</f>
        <v/>
      </c>
      <c r="U23" s="62" t="str">
        <f aca="false">IF(OR($C23="",S23=""),"",IF(S23/IF($S$2="",100,$S$2)&gt;=設定!$I$28,設定!$G$8,IF(S23/IF($S$2="",100,$S$2)&lt;設定!$I$29,設定!$G$10,設定!$G$9)))</f>
        <v/>
      </c>
    </row>
    <row r="24" customFormat="false" ht="21" hidden="false" customHeight="true" outlineLevel="0" collapsed="false">
      <c r="A24" s="91" t="str">
        <f aca="false">IF(名簿!$D24="","",名簿!$B24&amp;"")</f>
        <v/>
      </c>
      <c r="B24" s="91" t="str">
        <f aca="false">IF(名簿!$D24="","",名簿!$C24)</f>
        <v/>
      </c>
      <c r="C24" s="59" t="str">
        <f aca="false">IF(名簿!$D24="","",名簿!$D24&amp;IF(名簿!$F24="転出","（転出）",""))</f>
        <v/>
      </c>
      <c r="D24" s="149"/>
      <c r="E24" s="61" t="str">
        <f aca="false">IF(OR($C24="",名簿!$F24="転出"),"",IF($C$2="学級ごと",$A24,IF($C$2="前の単元と同じ",単元19!$E24&amp;"",$D24&amp;"")))</f>
        <v/>
      </c>
      <c r="F24" s="150"/>
      <c r="G24" s="150"/>
      <c r="H24" s="150"/>
      <c r="I24" s="151"/>
      <c r="J24" s="41" t="str">
        <f aca="false">IF($E24="","",$E24&amp;"|"&amp;COUNTIF($E$5:$E24,$E24))</f>
        <v/>
      </c>
      <c r="K24" s="40" t="str">
        <f aca="false">IF($I24="","",LEN($I24))</f>
        <v/>
      </c>
      <c r="L24" s="13"/>
      <c r="M24" s="13"/>
      <c r="N24" s="13"/>
      <c r="O24" s="13"/>
      <c r="P24" s="152"/>
      <c r="Q24" s="149"/>
      <c r="R24" s="152"/>
      <c r="S24" s="152"/>
      <c r="T24" s="62" t="str">
        <f aca="false">IF(OR($C24="",R24=""),"",IF(R24/IF($R$2="",100,$R$2)&gt;=設定!$I$28,設定!$G$8,IF(R24/IF($R$2="",100,$R$2)&lt;設定!$I$29,設定!$G$10,設定!$G$9)))</f>
        <v/>
      </c>
      <c r="U24" s="62" t="str">
        <f aca="false">IF(OR($C24="",S24=""),"",IF(S24/IF($S$2="",100,$S$2)&gt;=設定!$I$28,設定!$G$8,IF(S24/IF($S$2="",100,$S$2)&lt;設定!$I$29,設定!$G$10,設定!$G$9)))</f>
        <v/>
      </c>
    </row>
    <row r="25" customFormat="false" ht="21" hidden="false" customHeight="true" outlineLevel="0" collapsed="false">
      <c r="A25" s="91" t="str">
        <f aca="false">IF(名簿!$D25="","",名簿!$B25&amp;"")</f>
        <v/>
      </c>
      <c r="B25" s="91" t="str">
        <f aca="false">IF(名簿!$D25="","",名簿!$C25)</f>
        <v/>
      </c>
      <c r="C25" s="59" t="str">
        <f aca="false">IF(名簿!$D25="","",名簿!$D25&amp;IF(名簿!$F25="転出","（転出）",""))</f>
        <v/>
      </c>
      <c r="D25" s="149"/>
      <c r="E25" s="61" t="str">
        <f aca="false">IF(OR($C25="",名簿!$F25="転出"),"",IF($C$2="学級ごと",$A25,IF($C$2="前の単元と同じ",単元19!$E25&amp;"",$D25&amp;"")))</f>
        <v/>
      </c>
      <c r="F25" s="150"/>
      <c r="G25" s="150"/>
      <c r="H25" s="150"/>
      <c r="I25" s="151"/>
      <c r="J25" s="41" t="str">
        <f aca="false">IF($E25="","",$E25&amp;"|"&amp;COUNTIF($E$5:$E25,$E25))</f>
        <v/>
      </c>
      <c r="K25" s="40" t="str">
        <f aca="false">IF($I25="","",LEN($I25))</f>
        <v/>
      </c>
      <c r="L25" s="13"/>
      <c r="M25" s="13"/>
      <c r="N25" s="13"/>
      <c r="O25" s="13"/>
      <c r="P25" s="152"/>
      <c r="Q25" s="149"/>
      <c r="R25" s="152"/>
      <c r="S25" s="152"/>
      <c r="T25" s="62" t="str">
        <f aca="false">IF(OR($C25="",R25=""),"",IF(R25/IF($R$2="",100,$R$2)&gt;=設定!$I$28,設定!$G$8,IF(R25/IF($R$2="",100,$R$2)&lt;設定!$I$29,設定!$G$10,設定!$G$9)))</f>
        <v/>
      </c>
      <c r="U25" s="62" t="str">
        <f aca="false">IF(OR($C25="",S25=""),"",IF(S25/IF($S$2="",100,$S$2)&gt;=設定!$I$28,設定!$G$8,IF(S25/IF($S$2="",100,$S$2)&lt;設定!$I$29,設定!$G$10,設定!$G$9)))</f>
        <v/>
      </c>
    </row>
    <row r="26" customFormat="false" ht="21" hidden="false" customHeight="true" outlineLevel="0" collapsed="false">
      <c r="A26" s="91" t="str">
        <f aca="false">IF(名簿!$D26="","",名簿!$B26&amp;"")</f>
        <v/>
      </c>
      <c r="B26" s="91" t="str">
        <f aca="false">IF(名簿!$D26="","",名簿!$C26)</f>
        <v/>
      </c>
      <c r="C26" s="59" t="str">
        <f aca="false">IF(名簿!$D26="","",名簿!$D26&amp;IF(名簿!$F26="転出","（転出）",""))</f>
        <v/>
      </c>
      <c r="D26" s="149"/>
      <c r="E26" s="61" t="str">
        <f aca="false">IF(OR($C26="",名簿!$F26="転出"),"",IF($C$2="学級ごと",$A26,IF($C$2="前の単元と同じ",単元19!$E26&amp;"",$D26&amp;"")))</f>
        <v/>
      </c>
      <c r="F26" s="150"/>
      <c r="G26" s="150"/>
      <c r="H26" s="150"/>
      <c r="I26" s="151"/>
      <c r="J26" s="41" t="str">
        <f aca="false">IF($E26="","",$E26&amp;"|"&amp;COUNTIF($E$5:$E26,$E26))</f>
        <v/>
      </c>
      <c r="K26" s="40" t="str">
        <f aca="false">IF($I26="","",LEN($I26))</f>
        <v/>
      </c>
      <c r="L26" s="13"/>
      <c r="M26" s="13"/>
      <c r="N26" s="13"/>
      <c r="O26" s="13"/>
      <c r="P26" s="152"/>
      <c r="Q26" s="149"/>
      <c r="R26" s="152"/>
      <c r="S26" s="152"/>
      <c r="T26" s="62" t="str">
        <f aca="false">IF(OR($C26="",R26=""),"",IF(R26/IF($R$2="",100,$R$2)&gt;=設定!$I$28,設定!$G$8,IF(R26/IF($R$2="",100,$R$2)&lt;設定!$I$29,設定!$G$10,設定!$G$9)))</f>
        <v/>
      </c>
      <c r="U26" s="62" t="str">
        <f aca="false">IF(OR($C26="",S26=""),"",IF(S26/IF($S$2="",100,$S$2)&gt;=設定!$I$28,設定!$G$8,IF(S26/IF($S$2="",100,$S$2)&lt;設定!$I$29,設定!$G$10,設定!$G$9)))</f>
        <v/>
      </c>
    </row>
    <row r="27" customFormat="false" ht="21" hidden="false" customHeight="true" outlineLevel="0" collapsed="false">
      <c r="A27" s="91" t="str">
        <f aca="false">IF(名簿!$D27="","",名簿!$B27&amp;"")</f>
        <v/>
      </c>
      <c r="B27" s="91" t="str">
        <f aca="false">IF(名簿!$D27="","",名簿!$C27)</f>
        <v/>
      </c>
      <c r="C27" s="59" t="str">
        <f aca="false">IF(名簿!$D27="","",名簿!$D27&amp;IF(名簿!$F27="転出","（転出）",""))</f>
        <v/>
      </c>
      <c r="D27" s="149"/>
      <c r="E27" s="61" t="str">
        <f aca="false">IF(OR($C27="",名簿!$F27="転出"),"",IF($C$2="学級ごと",$A27,IF($C$2="前の単元と同じ",単元19!$E27&amp;"",$D27&amp;"")))</f>
        <v/>
      </c>
      <c r="F27" s="150"/>
      <c r="G27" s="150"/>
      <c r="H27" s="150"/>
      <c r="I27" s="151"/>
      <c r="J27" s="41" t="str">
        <f aca="false">IF($E27="","",$E27&amp;"|"&amp;COUNTIF($E$5:$E27,$E27))</f>
        <v/>
      </c>
      <c r="K27" s="40" t="str">
        <f aca="false">IF($I27="","",LEN($I27))</f>
        <v/>
      </c>
      <c r="L27" s="13"/>
      <c r="M27" s="13"/>
      <c r="N27" s="13"/>
      <c r="O27" s="13"/>
      <c r="P27" s="152"/>
      <c r="Q27" s="149"/>
      <c r="R27" s="152"/>
      <c r="S27" s="152"/>
      <c r="T27" s="62" t="str">
        <f aca="false">IF(OR($C27="",R27=""),"",IF(R27/IF($R$2="",100,$R$2)&gt;=設定!$I$28,設定!$G$8,IF(R27/IF($R$2="",100,$R$2)&lt;設定!$I$29,設定!$G$10,設定!$G$9)))</f>
        <v/>
      </c>
      <c r="U27" s="62" t="str">
        <f aca="false">IF(OR($C27="",S27=""),"",IF(S27/IF($S$2="",100,$S$2)&gt;=設定!$I$28,設定!$G$8,IF(S27/IF($S$2="",100,$S$2)&lt;設定!$I$29,設定!$G$10,設定!$G$9)))</f>
        <v/>
      </c>
    </row>
    <row r="28" customFormat="false" ht="21" hidden="false" customHeight="true" outlineLevel="0" collapsed="false">
      <c r="A28" s="91" t="str">
        <f aca="false">IF(名簿!$D28="","",名簿!$B28&amp;"")</f>
        <v/>
      </c>
      <c r="B28" s="91" t="str">
        <f aca="false">IF(名簿!$D28="","",名簿!$C28)</f>
        <v/>
      </c>
      <c r="C28" s="59" t="str">
        <f aca="false">IF(名簿!$D28="","",名簿!$D28&amp;IF(名簿!$F28="転出","（転出）",""))</f>
        <v/>
      </c>
      <c r="D28" s="149"/>
      <c r="E28" s="61" t="str">
        <f aca="false">IF(OR($C28="",名簿!$F28="転出"),"",IF($C$2="学級ごと",$A28,IF($C$2="前の単元と同じ",単元19!$E28&amp;"",$D28&amp;"")))</f>
        <v/>
      </c>
      <c r="F28" s="150"/>
      <c r="G28" s="150"/>
      <c r="H28" s="150"/>
      <c r="I28" s="151"/>
      <c r="J28" s="41" t="str">
        <f aca="false">IF($E28="","",$E28&amp;"|"&amp;COUNTIF($E$5:$E28,$E28))</f>
        <v/>
      </c>
      <c r="K28" s="40" t="str">
        <f aca="false">IF($I28="","",LEN($I28))</f>
        <v/>
      </c>
      <c r="L28" s="13"/>
      <c r="M28" s="13"/>
      <c r="N28" s="13"/>
      <c r="O28" s="13"/>
      <c r="P28" s="152"/>
      <c r="Q28" s="149"/>
      <c r="R28" s="152"/>
      <c r="S28" s="152"/>
      <c r="T28" s="62" t="str">
        <f aca="false">IF(OR($C28="",R28=""),"",IF(R28/IF($R$2="",100,$R$2)&gt;=設定!$I$28,設定!$G$8,IF(R28/IF($R$2="",100,$R$2)&lt;設定!$I$29,設定!$G$10,設定!$G$9)))</f>
        <v/>
      </c>
      <c r="U28" s="62" t="str">
        <f aca="false">IF(OR($C28="",S28=""),"",IF(S28/IF($S$2="",100,$S$2)&gt;=設定!$I$28,設定!$G$8,IF(S28/IF($S$2="",100,$S$2)&lt;設定!$I$29,設定!$G$10,設定!$G$9)))</f>
        <v/>
      </c>
    </row>
    <row r="29" customFormat="false" ht="21" hidden="false" customHeight="true" outlineLevel="0" collapsed="false">
      <c r="A29" s="91" t="str">
        <f aca="false">IF(名簿!$D29="","",名簿!$B29&amp;"")</f>
        <v/>
      </c>
      <c r="B29" s="91" t="str">
        <f aca="false">IF(名簿!$D29="","",名簿!$C29)</f>
        <v/>
      </c>
      <c r="C29" s="59" t="str">
        <f aca="false">IF(名簿!$D29="","",名簿!$D29&amp;IF(名簿!$F29="転出","（転出）",""))</f>
        <v/>
      </c>
      <c r="D29" s="149"/>
      <c r="E29" s="61" t="str">
        <f aca="false">IF(OR($C29="",名簿!$F29="転出"),"",IF($C$2="学級ごと",$A29,IF($C$2="前の単元と同じ",単元19!$E29&amp;"",$D29&amp;"")))</f>
        <v/>
      </c>
      <c r="F29" s="150"/>
      <c r="G29" s="150"/>
      <c r="H29" s="150"/>
      <c r="I29" s="151"/>
      <c r="J29" s="41" t="str">
        <f aca="false">IF($E29="","",$E29&amp;"|"&amp;COUNTIF($E$5:$E29,$E29))</f>
        <v/>
      </c>
      <c r="K29" s="40" t="str">
        <f aca="false">IF($I29="","",LEN($I29))</f>
        <v/>
      </c>
      <c r="L29" s="13"/>
      <c r="M29" s="13"/>
      <c r="N29" s="13"/>
      <c r="O29" s="13"/>
      <c r="P29" s="152"/>
      <c r="Q29" s="149"/>
      <c r="R29" s="152"/>
      <c r="S29" s="152"/>
      <c r="T29" s="62" t="str">
        <f aca="false">IF(OR($C29="",R29=""),"",IF(R29/IF($R$2="",100,$R$2)&gt;=設定!$I$28,設定!$G$8,IF(R29/IF($R$2="",100,$R$2)&lt;設定!$I$29,設定!$G$10,設定!$G$9)))</f>
        <v/>
      </c>
      <c r="U29" s="62" t="str">
        <f aca="false">IF(OR($C29="",S29=""),"",IF(S29/IF($S$2="",100,$S$2)&gt;=設定!$I$28,設定!$G$8,IF(S29/IF($S$2="",100,$S$2)&lt;設定!$I$29,設定!$G$10,設定!$G$9)))</f>
        <v/>
      </c>
    </row>
    <row r="30" customFormat="false" ht="21" hidden="false" customHeight="true" outlineLevel="0" collapsed="false">
      <c r="A30" s="91" t="str">
        <f aca="false">IF(名簿!$D30="","",名簿!$B30&amp;"")</f>
        <v/>
      </c>
      <c r="B30" s="91" t="str">
        <f aca="false">IF(名簿!$D30="","",名簿!$C30)</f>
        <v/>
      </c>
      <c r="C30" s="59" t="str">
        <f aca="false">IF(名簿!$D30="","",名簿!$D30&amp;IF(名簿!$F30="転出","（転出）",""))</f>
        <v/>
      </c>
      <c r="D30" s="149"/>
      <c r="E30" s="61" t="str">
        <f aca="false">IF(OR($C30="",名簿!$F30="転出"),"",IF($C$2="学級ごと",$A30,IF($C$2="前の単元と同じ",単元19!$E30&amp;"",$D30&amp;"")))</f>
        <v/>
      </c>
      <c r="F30" s="150"/>
      <c r="G30" s="150"/>
      <c r="H30" s="150"/>
      <c r="I30" s="151"/>
      <c r="J30" s="41" t="str">
        <f aca="false">IF($E30="","",$E30&amp;"|"&amp;COUNTIF($E$5:$E30,$E30))</f>
        <v/>
      </c>
      <c r="K30" s="40" t="str">
        <f aca="false">IF($I30="","",LEN($I30))</f>
        <v/>
      </c>
      <c r="L30" s="13"/>
      <c r="M30" s="13"/>
      <c r="N30" s="13"/>
      <c r="O30" s="13"/>
      <c r="P30" s="152"/>
      <c r="Q30" s="149"/>
      <c r="R30" s="152"/>
      <c r="S30" s="152"/>
      <c r="T30" s="62" t="str">
        <f aca="false">IF(OR($C30="",R30=""),"",IF(R30/IF($R$2="",100,$R$2)&gt;=設定!$I$28,設定!$G$8,IF(R30/IF($R$2="",100,$R$2)&lt;設定!$I$29,設定!$G$10,設定!$G$9)))</f>
        <v/>
      </c>
      <c r="U30" s="62" t="str">
        <f aca="false">IF(OR($C30="",S30=""),"",IF(S30/IF($S$2="",100,$S$2)&gt;=設定!$I$28,設定!$G$8,IF(S30/IF($S$2="",100,$S$2)&lt;設定!$I$29,設定!$G$10,設定!$G$9)))</f>
        <v/>
      </c>
    </row>
    <row r="31" customFormat="false" ht="21" hidden="false" customHeight="true" outlineLevel="0" collapsed="false">
      <c r="A31" s="91" t="str">
        <f aca="false">IF(名簿!$D31="","",名簿!$B31&amp;"")</f>
        <v/>
      </c>
      <c r="B31" s="91" t="str">
        <f aca="false">IF(名簿!$D31="","",名簿!$C31)</f>
        <v/>
      </c>
      <c r="C31" s="59" t="str">
        <f aca="false">IF(名簿!$D31="","",名簿!$D31&amp;IF(名簿!$F31="転出","（転出）",""))</f>
        <v/>
      </c>
      <c r="D31" s="149"/>
      <c r="E31" s="61" t="str">
        <f aca="false">IF(OR($C31="",名簿!$F31="転出"),"",IF($C$2="学級ごと",$A31,IF($C$2="前の単元と同じ",単元19!$E31&amp;"",$D31&amp;"")))</f>
        <v/>
      </c>
      <c r="F31" s="150"/>
      <c r="G31" s="150"/>
      <c r="H31" s="150"/>
      <c r="I31" s="151"/>
      <c r="J31" s="41" t="str">
        <f aca="false">IF($E31="","",$E31&amp;"|"&amp;COUNTIF($E$5:$E31,$E31))</f>
        <v/>
      </c>
      <c r="K31" s="40" t="str">
        <f aca="false">IF($I31="","",LEN($I31))</f>
        <v/>
      </c>
      <c r="L31" s="13"/>
      <c r="M31" s="13"/>
      <c r="N31" s="13"/>
      <c r="O31" s="13"/>
      <c r="P31" s="152"/>
      <c r="Q31" s="149"/>
      <c r="R31" s="152"/>
      <c r="S31" s="152"/>
      <c r="T31" s="62" t="str">
        <f aca="false">IF(OR($C31="",R31=""),"",IF(R31/IF($R$2="",100,$R$2)&gt;=設定!$I$28,設定!$G$8,IF(R31/IF($R$2="",100,$R$2)&lt;設定!$I$29,設定!$G$10,設定!$G$9)))</f>
        <v/>
      </c>
      <c r="U31" s="62" t="str">
        <f aca="false">IF(OR($C31="",S31=""),"",IF(S31/IF($S$2="",100,$S$2)&gt;=設定!$I$28,設定!$G$8,IF(S31/IF($S$2="",100,$S$2)&lt;設定!$I$29,設定!$G$10,設定!$G$9)))</f>
        <v/>
      </c>
    </row>
    <row r="32" customFormat="false" ht="21" hidden="false" customHeight="true" outlineLevel="0" collapsed="false">
      <c r="A32" s="91" t="str">
        <f aca="false">IF(名簿!$D32="","",名簿!$B32&amp;"")</f>
        <v/>
      </c>
      <c r="B32" s="91" t="str">
        <f aca="false">IF(名簿!$D32="","",名簿!$C32)</f>
        <v/>
      </c>
      <c r="C32" s="59" t="str">
        <f aca="false">IF(名簿!$D32="","",名簿!$D32&amp;IF(名簿!$F32="転出","（転出）",""))</f>
        <v/>
      </c>
      <c r="D32" s="149"/>
      <c r="E32" s="61" t="str">
        <f aca="false">IF(OR($C32="",名簿!$F32="転出"),"",IF($C$2="学級ごと",$A32,IF($C$2="前の単元と同じ",単元19!$E32&amp;"",$D32&amp;"")))</f>
        <v/>
      </c>
      <c r="F32" s="150"/>
      <c r="G32" s="150"/>
      <c r="H32" s="150"/>
      <c r="I32" s="151"/>
      <c r="J32" s="41" t="str">
        <f aca="false">IF($E32="","",$E32&amp;"|"&amp;COUNTIF($E$5:$E32,$E32))</f>
        <v/>
      </c>
      <c r="K32" s="40" t="str">
        <f aca="false">IF($I32="","",LEN($I32))</f>
        <v/>
      </c>
      <c r="L32" s="13"/>
      <c r="M32" s="13"/>
      <c r="N32" s="13"/>
      <c r="O32" s="13"/>
      <c r="P32" s="152"/>
      <c r="Q32" s="149"/>
      <c r="R32" s="152"/>
      <c r="S32" s="152"/>
      <c r="T32" s="62" t="str">
        <f aca="false">IF(OR($C32="",R32=""),"",IF(R32/IF($R$2="",100,$R$2)&gt;=設定!$I$28,設定!$G$8,IF(R32/IF($R$2="",100,$R$2)&lt;設定!$I$29,設定!$G$10,設定!$G$9)))</f>
        <v/>
      </c>
      <c r="U32" s="62" t="str">
        <f aca="false">IF(OR($C32="",S32=""),"",IF(S32/IF($S$2="",100,$S$2)&gt;=設定!$I$28,設定!$G$8,IF(S32/IF($S$2="",100,$S$2)&lt;設定!$I$29,設定!$G$10,設定!$G$9)))</f>
        <v/>
      </c>
    </row>
    <row r="33" customFormat="false" ht="21" hidden="false" customHeight="true" outlineLevel="0" collapsed="false">
      <c r="A33" s="91" t="str">
        <f aca="false">IF(名簿!$D33="","",名簿!$B33&amp;"")</f>
        <v/>
      </c>
      <c r="B33" s="91" t="str">
        <f aca="false">IF(名簿!$D33="","",名簿!$C33)</f>
        <v/>
      </c>
      <c r="C33" s="59" t="str">
        <f aca="false">IF(名簿!$D33="","",名簿!$D33&amp;IF(名簿!$F33="転出","（転出）",""))</f>
        <v/>
      </c>
      <c r="D33" s="149"/>
      <c r="E33" s="61" t="str">
        <f aca="false">IF(OR($C33="",名簿!$F33="転出"),"",IF($C$2="学級ごと",$A33,IF($C$2="前の単元と同じ",単元19!$E33&amp;"",$D33&amp;"")))</f>
        <v/>
      </c>
      <c r="F33" s="150"/>
      <c r="G33" s="150"/>
      <c r="H33" s="150"/>
      <c r="I33" s="151"/>
      <c r="J33" s="41" t="str">
        <f aca="false">IF($E33="","",$E33&amp;"|"&amp;COUNTIF($E$5:$E33,$E33))</f>
        <v/>
      </c>
      <c r="K33" s="40" t="str">
        <f aca="false">IF($I33="","",LEN($I33))</f>
        <v/>
      </c>
      <c r="L33" s="13"/>
      <c r="M33" s="13"/>
      <c r="N33" s="13"/>
      <c r="O33" s="13"/>
      <c r="P33" s="152"/>
      <c r="Q33" s="149"/>
      <c r="R33" s="152"/>
      <c r="S33" s="152"/>
      <c r="T33" s="62" t="str">
        <f aca="false">IF(OR($C33="",R33=""),"",IF(R33/IF($R$2="",100,$R$2)&gt;=設定!$I$28,設定!$G$8,IF(R33/IF($R$2="",100,$R$2)&lt;設定!$I$29,設定!$G$10,設定!$G$9)))</f>
        <v/>
      </c>
      <c r="U33" s="62" t="str">
        <f aca="false">IF(OR($C33="",S33=""),"",IF(S33/IF($S$2="",100,$S$2)&gt;=設定!$I$28,設定!$G$8,IF(S33/IF($S$2="",100,$S$2)&lt;設定!$I$29,設定!$G$10,設定!$G$9)))</f>
        <v/>
      </c>
    </row>
    <row r="34" customFormat="false" ht="21" hidden="false" customHeight="true" outlineLevel="0" collapsed="false">
      <c r="A34" s="91" t="str">
        <f aca="false">IF(名簿!$D34="","",名簿!$B34&amp;"")</f>
        <v/>
      </c>
      <c r="B34" s="91" t="str">
        <f aca="false">IF(名簿!$D34="","",名簿!$C34)</f>
        <v/>
      </c>
      <c r="C34" s="59" t="str">
        <f aca="false">IF(名簿!$D34="","",名簿!$D34&amp;IF(名簿!$F34="転出","（転出）",""))</f>
        <v/>
      </c>
      <c r="D34" s="149"/>
      <c r="E34" s="61" t="str">
        <f aca="false">IF(OR($C34="",名簿!$F34="転出"),"",IF($C$2="学級ごと",$A34,IF($C$2="前の単元と同じ",単元19!$E34&amp;"",$D34&amp;"")))</f>
        <v/>
      </c>
      <c r="F34" s="150"/>
      <c r="G34" s="150"/>
      <c r="H34" s="150"/>
      <c r="I34" s="151"/>
      <c r="J34" s="41" t="str">
        <f aca="false">IF($E34="","",$E34&amp;"|"&amp;COUNTIF($E$5:$E34,$E34))</f>
        <v/>
      </c>
      <c r="K34" s="40" t="str">
        <f aca="false">IF($I34="","",LEN($I34))</f>
        <v/>
      </c>
      <c r="L34" s="13"/>
      <c r="M34" s="13"/>
      <c r="N34" s="13"/>
      <c r="O34" s="13"/>
      <c r="P34" s="152"/>
      <c r="Q34" s="149"/>
      <c r="R34" s="152"/>
      <c r="S34" s="152"/>
      <c r="T34" s="62" t="str">
        <f aca="false">IF(OR($C34="",R34=""),"",IF(R34/IF($R$2="",100,$R$2)&gt;=設定!$I$28,設定!$G$8,IF(R34/IF($R$2="",100,$R$2)&lt;設定!$I$29,設定!$G$10,設定!$G$9)))</f>
        <v/>
      </c>
      <c r="U34" s="62" t="str">
        <f aca="false">IF(OR($C34="",S34=""),"",IF(S34/IF($S$2="",100,$S$2)&gt;=設定!$I$28,設定!$G$8,IF(S34/IF($S$2="",100,$S$2)&lt;設定!$I$29,設定!$G$10,設定!$G$9)))</f>
        <v/>
      </c>
    </row>
    <row r="35" customFormat="false" ht="21" hidden="false" customHeight="true" outlineLevel="0" collapsed="false">
      <c r="A35" s="91" t="str">
        <f aca="false">IF(名簿!$D35="","",名簿!$B35&amp;"")</f>
        <v/>
      </c>
      <c r="B35" s="91" t="str">
        <f aca="false">IF(名簿!$D35="","",名簿!$C35)</f>
        <v/>
      </c>
      <c r="C35" s="59" t="str">
        <f aca="false">IF(名簿!$D35="","",名簿!$D35&amp;IF(名簿!$F35="転出","（転出）",""))</f>
        <v/>
      </c>
      <c r="D35" s="149"/>
      <c r="E35" s="61" t="str">
        <f aca="false">IF(OR($C35="",名簿!$F35="転出"),"",IF($C$2="学級ごと",$A35,IF($C$2="前の単元と同じ",単元19!$E35&amp;"",$D35&amp;"")))</f>
        <v/>
      </c>
      <c r="F35" s="150"/>
      <c r="G35" s="150"/>
      <c r="H35" s="150"/>
      <c r="I35" s="151"/>
      <c r="J35" s="41" t="str">
        <f aca="false">IF($E35="","",$E35&amp;"|"&amp;COUNTIF($E$5:$E35,$E35))</f>
        <v/>
      </c>
      <c r="K35" s="40" t="str">
        <f aca="false">IF($I35="","",LEN($I35))</f>
        <v/>
      </c>
      <c r="L35" s="13"/>
      <c r="M35" s="13"/>
      <c r="N35" s="13"/>
      <c r="O35" s="13"/>
      <c r="P35" s="152"/>
      <c r="Q35" s="149"/>
      <c r="R35" s="152"/>
      <c r="S35" s="152"/>
      <c r="T35" s="62" t="str">
        <f aca="false">IF(OR($C35="",R35=""),"",IF(R35/IF($R$2="",100,$R$2)&gt;=設定!$I$28,設定!$G$8,IF(R35/IF($R$2="",100,$R$2)&lt;設定!$I$29,設定!$G$10,設定!$G$9)))</f>
        <v/>
      </c>
      <c r="U35" s="62" t="str">
        <f aca="false">IF(OR($C35="",S35=""),"",IF(S35/IF($S$2="",100,$S$2)&gt;=設定!$I$28,設定!$G$8,IF(S35/IF($S$2="",100,$S$2)&lt;設定!$I$29,設定!$G$10,設定!$G$9)))</f>
        <v/>
      </c>
    </row>
    <row r="36" customFormat="false" ht="21" hidden="false" customHeight="true" outlineLevel="0" collapsed="false">
      <c r="A36" s="91" t="str">
        <f aca="false">IF(名簿!$D36="","",名簿!$B36&amp;"")</f>
        <v/>
      </c>
      <c r="B36" s="91" t="str">
        <f aca="false">IF(名簿!$D36="","",名簿!$C36)</f>
        <v/>
      </c>
      <c r="C36" s="59" t="str">
        <f aca="false">IF(名簿!$D36="","",名簿!$D36&amp;IF(名簿!$F36="転出","（転出）",""))</f>
        <v/>
      </c>
      <c r="D36" s="149"/>
      <c r="E36" s="61" t="str">
        <f aca="false">IF(OR($C36="",名簿!$F36="転出"),"",IF($C$2="学級ごと",$A36,IF($C$2="前の単元と同じ",単元19!$E36&amp;"",$D36&amp;"")))</f>
        <v/>
      </c>
      <c r="F36" s="150"/>
      <c r="G36" s="150"/>
      <c r="H36" s="150"/>
      <c r="I36" s="151"/>
      <c r="J36" s="41" t="str">
        <f aca="false">IF($E36="","",$E36&amp;"|"&amp;COUNTIF($E$5:$E36,$E36))</f>
        <v/>
      </c>
      <c r="K36" s="40" t="str">
        <f aca="false">IF($I36="","",LEN($I36))</f>
        <v/>
      </c>
      <c r="L36" s="13"/>
      <c r="M36" s="13"/>
      <c r="N36" s="13"/>
      <c r="O36" s="13"/>
      <c r="P36" s="152"/>
      <c r="Q36" s="149"/>
      <c r="R36" s="152"/>
      <c r="S36" s="152"/>
      <c r="T36" s="62" t="str">
        <f aca="false">IF(OR($C36="",R36=""),"",IF(R36/IF($R$2="",100,$R$2)&gt;=設定!$I$28,設定!$G$8,IF(R36/IF($R$2="",100,$R$2)&lt;設定!$I$29,設定!$G$10,設定!$G$9)))</f>
        <v/>
      </c>
      <c r="U36" s="62" t="str">
        <f aca="false">IF(OR($C36="",S36=""),"",IF(S36/IF($S$2="",100,$S$2)&gt;=設定!$I$28,設定!$G$8,IF(S36/IF($S$2="",100,$S$2)&lt;設定!$I$29,設定!$G$10,設定!$G$9)))</f>
        <v/>
      </c>
    </row>
    <row r="37" customFormat="false" ht="21" hidden="false" customHeight="true" outlineLevel="0" collapsed="false">
      <c r="A37" s="91" t="str">
        <f aca="false">IF(名簿!$D37="","",名簿!$B37&amp;"")</f>
        <v/>
      </c>
      <c r="B37" s="91" t="str">
        <f aca="false">IF(名簿!$D37="","",名簿!$C37)</f>
        <v/>
      </c>
      <c r="C37" s="59" t="str">
        <f aca="false">IF(名簿!$D37="","",名簿!$D37&amp;IF(名簿!$F37="転出","（転出）",""))</f>
        <v/>
      </c>
      <c r="D37" s="149"/>
      <c r="E37" s="61" t="str">
        <f aca="false">IF(OR($C37="",名簿!$F37="転出"),"",IF($C$2="学級ごと",$A37,IF($C$2="前の単元と同じ",単元19!$E37&amp;"",$D37&amp;"")))</f>
        <v/>
      </c>
      <c r="F37" s="150"/>
      <c r="G37" s="150"/>
      <c r="H37" s="150"/>
      <c r="I37" s="151"/>
      <c r="J37" s="41" t="str">
        <f aca="false">IF($E37="","",$E37&amp;"|"&amp;COUNTIF($E$5:$E37,$E37))</f>
        <v/>
      </c>
      <c r="K37" s="40" t="str">
        <f aca="false">IF($I37="","",LEN($I37))</f>
        <v/>
      </c>
      <c r="L37" s="13"/>
      <c r="M37" s="13"/>
      <c r="N37" s="13"/>
      <c r="O37" s="13"/>
      <c r="P37" s="152"/>
      <c r="Q37" s="149"/>
      <c r="R37" s="152"/>
      <c r="S37" s="152"/>
      <c r="T37" s="62" t="str">
        <f aca="false">IF(OR($C37="",R37=""),"",IF(R37/IF($R$2="",100,$R$2)&gt;=設定!$I$28,設定!$G$8,IF(R37/IF($R$2="",100,$R$2)&lt;設定!$I$29,設定!$G$10,設定!$G$9)))</f>
        <v/>
      </c>
      <c r="U37" s="62" t="str">
        <f aca="false">IF(OR($C37="",S37=""),"",IF(S37/IF($S$2="",100,$S$2)&gt;=設定!$I$28,設定!$G$8,IF(S37/IF($S$2="",100,$S$2)&lt;設定!$I$29,設定!$G$10,設定!$G$9)))</f>
        <v/>
      </c>
    </row>
    <row r="38" customFormat="false" ht="21" hidden="false" customHeight="true" outlineLevel="0" collapsed="false">
      <c r="A38" s="91" t="str">
        <f aca="false">IF(名簿!$D38="","",名簿!$B38&amp;"")</f>
        <v/>
      </c>
      <c r="B38" s="91" t="str">
        <f aca="false">IF(名簿!$D38="","",名簿!$C38)</f>
        <v/>
      </c>
      <c r="C38" s="59" t="str">
        <f aca="false">IF(名簿!$D38="","",名簿!$D38&amp;IF(名簿!$F38="転出","（転出）",""))</f>
        <v/>
      </c>
      <c r="D38" s="149"/>
      <c r="E38" s="61" t="str">
        <f aca="false">IF(OR($C38="",名簿!$F38="転出"),"",IF($C$2="学級ごと",$A38,IF($C$2="前の単元と同じ",単元19!$E38&amp;"",$D38&amp;"")))</f>
        <v/>
      </c>
      <c r="F38" s="150"/>
      <c r="G38" s="150"/>
      <c r="H38" s="150"/>
      <c r="I38" s="151"/>
      <c r="J38" s="41" t="str">
        <f aca="false">IF($E38="","",$E38&amp;"|"&amp;COUNTIF($E$5:$E38,$E38))</f>
        <v/>
      </c>
      <c r="K38" s="40" t="str">
        <f aca="false">IF($I38="","",LEN($I38))</f>
        <v/>
      </c>
      <c r="L38" s="13"/>
      <c r="M38" s="13"/>
      <c r="N38" s="13"/>
      <c r="O38" s="13"/>
      <c r="P38" s="152"/>
      <c r="Q38" s="149"/>
      <c r="R38" s="152"/>
      <c r="S38" s="152"/>
      <c r="T38" s="62" t="str">
        <f aca="false">IF(OR($C38="",R38=""),"",IF(R38/IF($R$2="",100,$R$2)&gt;=設定!$I$28,設定!$G$8,IF(R38/IF($R$2="",100,$R$2)&lt;設定!$I$29,設定!$G$10,設定!$G$9)))</f>
        <v/>
      </c>
      <c r="U38" s="62" t="str">
        <f aca="false">IF(OR($C38="",S38=""),"",IF(S38/IF($S$2="",100,$S$2)&gt;=設定!$I$28,設定!$G$8,IF(S38/IF($S$2="",100,$S$2)&lt;設定!$I$29,設定!$G$10,設定!$G$9)))</f>
        <v/>
      </c>
    </row>
    <row r="39" customFormat="false" ht="21" hidden="false" customHeight="true" outlineLevel="0" collapsed="false">
      <c r="A39" s="91" t="str">
        <f aca="false">IF(名簿!$D39="","",名簿!$B39&amp;"")</f>
        <v/>
      </c>
      <c r="B39" s="91" t="str">
        <f aca="false">IF(名簿!$D39="","",名簿!$C39)</f>
        <v/>
      </c>
      <c r="C39" s="59" t="str">
        <f aca="false">IF(名簿!$D39="","",名簿!$D39&amp;IF(名簿!$F39="転出","（転出）",""))</f>
        <v/>
      </c>
      <c r="D39" s="149"/>
      <c r="E39" s="61" t="str">
        <f aca="false">IF(OR($C39="",名簿!$F39="転出"),"",IF($C$2="学級ごと",$A39,IF($C$2="前の単元と同じ",単元19!$E39&amp;"",$D39&amp;"")))</f>
        <v/>
      </c>
      <c r="F39" s="150"/>
      <c r="G39" s="150"/>
      <c r="H39" s="150"/>
      <c r="I39" s="151"/>
      <c r="J39" s="41" t="str">
        <f aca="false">IF($E39="","",$E39&amp;"|"&amp;COUNTIF($E$5:$E39,$E39))</f>
        <v/>
      </c>
      <c r="K39" s="40" t="str">
        <f aca="false">IF($I39="","",LEN($I39))</f>
        <v/>
      </c>
      <c r="L39" s="13"/>
      <c r="M39" s="13"/>
      <c r="N39" s="13"/>
      <c r="O39" s="13"/>
      <c r="P39" s="152"/>
      <c r="Q39" s="149"/>
      <c r="R39" s="152"/>
      <c r="S39" s="152"/>
      <c r="T39" s="62" t="str">
        <f aca="false">IF(OR($C39="",R39=""),"",IF(R39/IF($R$2="",100,$R$2)&gt;=設定!$I$28,設定!$G$8,IF(R39/IF($R$2="",100,$R$2)&lt;設定!$I$29,設定!$G$10,設定!$G$9)))</f>
        <v/>
      </c>
      <c r="U39" s="62" t="str">
        <f aca="false">IF(OR($C39="",S39=""),"",IF(S39/IF($S$2="",100,$S$2)&gt;=設定!$I$28,設定!$G$8,IF(S39/IF($S$2="",100,$S$2)&lt;設定!$I$29,設定!$G$10,設定!$G$9)))</f>
        <v/>
      </c>
    </row>
    <row r="40" customFormat="false" ht="21" hidden="false" customHeight="true" outlineLevel="0" collapsed="false">
      <c r="A40" s="91" t="str">
        <f aca="false">IF(名簿!$D40="","",名簿!$B40&amp;"")</f>
        <v/>
      </c>
      <c r="B40" s="91" t="str">
        <f aca="false">IF(名簿!$D40="","",名簿!$C40)</f>
        <v/>
      </c>
      <c r="C40" s="59" t="str">
        <f aca="false">IF(名簿!$D40="","",名簿!$D40&amp;IF(名簿!$F40="転出","（転出）",""))</f>
        <v/>
      </c>
      <c r="D40" s="149"/>
      <c r="E40" s="61" t="str">
        <f aca="false">IF(OR($C40="",名簿!$F40="転出"),"",IF($C$2="学級ごと",$A40,IF($C$2="前の単元と同じ",単元19!$E40&amp;"",$D40&amp;"")))</f>
        <v/>
      </c>
      <c r="F40" s="150"/>
      <c r="G40" s="150"/>
      <c r="H40" s="150"/>
      <c r="I40" s="151"/>
      <c r="J40" s="41" t="str">
        <f aca="false">IF($E40="","",$E40&amp;"|"&amp;COUNTIF($E$5:$E40,$E40))</f>
        <v/>
      </c>
      <c r="K40" s="40" t="str">
        <f aca="false">IF($I40="","",LEN($I40))</f>
        <v/>
      </c>
      <c r="L40" s="13"/>
      <c r="M40" s="13"/>
      <c r="N40" s="13"/>
      <c r="O40" s="13"/>
      <c r="P40" s="152"/>
      <c r="Q40" s="149"/>
      <c r="R40" s="152"/>
      <c r="S40" s="152"/>
      <c r="T40" s="62" t="str">
        <f aca="false">IF(OR($C40="",R40=""),"",IF(R40/IF($R$2="",100,$R$2)&gt;=設定!$I$28,設定!$G$8,IF(R40/IF($R$2="",100,$R$2)&lt;設定!$I$29,設定!$G$10,設定!$G$9)))</f>
        <v/>
      </c>
      <c r="U40" s="62" t="str">
        <f aca="false">IF(OR($C40="",S40=""),"",IF(S40/IF($S$2="",100,$S$2)&gt;=設定!$I$28,設定!$G$8,IF(S40/IF($S$2="",100,$S$2)&lt;設定!$I$29,設定!$G$10,設定!$G$9)))</f>
        <v/>
      </c>
    </row>
    <row r="41" customFormat="false" ht="21" hidden="false" customHeight="true" outlineLevel="0" collapsed="false">
      <c r="A41" s="91" t="str">
        <f aca="false">IF(名簿!$D41="","",名簿!$B41&amp;"")</f>
        <v/>
      </c>
      <c r="B41" s="91" t="str">
        <f aca="false">IF(名簿!$D41="","",名簿!$C41)</f>
        <v/>
      </c>
      <c r="C41" s="59" t="str">
        <f aca="false">IF(名簿!$D41="","",名簿!$D41&amp;IF(名簿!$F41="転出","（転出）",""))</f>
        <v/>
      </c>
      <c r="D41" s="149"/>
      <c r="E41" s="61" t="str">
        <f aca="false">IF(OR($C41="",名簿!$F41="転出"),"",IF($C$2="学級ごと",$A41,IF($C$2="前の単元と同じ",単元19!$E41&amp;"",$D41&amp;"")))</f>
        <v/>
      </c>
      <c r="F41" s="150"/>
      <c r="G41" s="150"/>
      <c r="H41" s="150"/>
      <c r="I41" s="151"/>
      <c r="J41" s="41" t="str">
        <f aca="false">IF($E41="","",$E41&amp;"|"&amp;COUNTIF($E$5:$E41,$E41))</f>
        <v/>
      </c>
      <c r="K41" s="40" t="str">
        <f aca="false">IF($I41="","",LEN($I41))</f>
        <v/>
      </c>
      <c r="L41" s="13"/>
      <c r="M41" s="13"/>
      <c r="N41" s="13"/>
      <c r="O41" s="13"/>
      <c r="P41" s="152"/>
      <c r="Q41" s="149"/>
      <c r="R41" s="152"/>
      <c r="S41" s="152"/>
      <c r="T41" s="62" t="str">
        <f aca="false">IF(OR($C41="",R41=""),"",IF(R41/IF($R$2="",100,$R$2)&gt;=設定!$I$28,設定!$G$8,IF(R41/IF($R$2="",100,$R$2)&lt;設定!$I$29,設定!$G$10,設定!$G$9)))</f>
        <v/>
      </c>
      <c r="U41" s="62" t="str">
        <f aca="false">IF(OR($C41="",S41=""),"",IF(S41/IF($S$2="",100,$S$2)&gt;=設定!$I$28,設定!$G$8,IF(S41/IF($S$2="",100,$S$2)&lt;設定!$I$29,設定!$G$10,設定!$G$9)))</f>
        <v/>
      </c>
    </row>
    <row r="42" customFormat="false" ht="21" hidden="false" customHeight="true" outlineLevel="0" collapsed="false">
      <c r="A42" s="91" t="str">
        <f aca="false">IF(名簿!$D42="","",名簿!$B42&amp;"")</f>
        <v/>
      </c>
      <c r="B42" s="91" t="str">
        <f aca="false">IF(名簿!$D42="","",名簿!$C42)</f>
        <v/>
      </c>
      <c r="C42" s="59" t="str">
        <f aca="false">IF(名簿!$D42="","",名簿!$D42&amp;IF(名簿!$F42="転出","（転出）",""))</f>
        <v/>
      </c>
      <c r="D42" s="149"/>
      <c r="E42" s="61" t="str">
        <f aca="false">IF(OR($C42="",名簿!$F42="転出"),"",IF($C$2="学級ごと",$A42,IF($C$2="前の単元と同じ",単元19!$E42&amp;"",$D42&amp;"")))</f>
        <v/>
      </c>
      <c r="F42" s="150"/>
      <c r="G42" s="150"/>
      <c r="H42" s="150"/>
      <c r="I42" s="151"/>
      <c r="J42" s="41" t="str">
        <f aca="false">IF($E42="","",$E42&amp;"|"&amp;COUNTIF($E$5:$E42,$E42))</f>
        <v/>
      </c>
      <c r="K42" s="40" t="str">
        <f aca="false">IF($I42="","",LEN($I42))</f>
        <v/>
      </c>
      <c r="L42" s="13"/>
      <c r="M42" s="13"/>
      <c r="N42" s="13"/>
      <c r="O42" s="13"/>
      <c r="P42" s="152"/>
      <c r="Q42" s="149"/>
      <c r="R42" s="152"/>
      <c r="S42" s="152"/>
      <c r="T42" s="62" t="str">
        <f aca="false">IF(OR($C42="",R42=""),"",IF(R42/IF($R$2="",100,$R$2)&gt;=設定!$I$28,設定!$G$8,IF(R42/IF($R$2="",100,$R$2)&lt;設定!$I$29,設定!$G$10,設定!$G$9)))</f>
        <v/>
      </c>
      <c r="U42" s="62" t="str">
        <f aca="false">IF(OR($C42="",S42=""),"",IF(S42/IF($S$2="",100,$S$2)&gt;=設定!$I$28,設定!$G$8,IF(S42/IF($S$2="",100,$S$2)&lt;設定!$I$29,設定!$G$10,設定!$G$9)))</f>
        <v/>
      </c>
    </row>
    <row r="43" customFormat="false" ht="21" hidden="false" customHeight="true" outlineLevel="0" collapsed="false">
      <c r="A43" s="91" t="str">
        <f aca="false">IF(名簿!$D43="","",名簿!$B43&amp;"")</f>
        <v/>
      </c>
      <c r="B43" s="91" t="str">
        <f aca="false">IF(名簿!$D43="","",名簿!$C43)</f>
        <v/>
      </c>
      <c r="C43" s="59" t="str">
        <f aca="false">IF(名簿!$D43="","",名簿!$D43&amp;IF(名簿!$F43="転出","（転出）",""))</f>
        <v/>
      </c>
      <c r="D43" s="149"/>
      <c r="E43" s="61" t="str">
        <f aca="false">IF(OR($C43="",名簿!$F43="転出"),"",IF($C$2="学級ごと",$A43,IF($C$2="前の単元と同じ",単元19!$E43&amp;"",$D43&amp;"")))</f>
        <v/>
      </c>
      <c r="F43" s="150"/>
      <c r="G43" s="150"/>
      <c r="H43" s="150"/>
      <c r="I43" s="151"/>
      <c r="J43" s="41" t="str">
        <f aca="false">IF($E43="","",$E43&amp;"|"&amp;COUNTIF($E$5:$E43,$E43))</f>
        <v/>
      </c>
      <c r="K43" s="40" t="str">
        <f aca="false">IF($I43="","",LEN($I43))</f>
        <v/>
      </c>
      <c r="L43" s="13"/>
      <c r="M43" s="13"/>
      <c r="N43" s="13"/>
      <c r="O43" s="13"/>
      <c r="P43" s="152"/>
      <c r="Q43" s="149"/>
      <c r="R43" s="152"/>
      <c r="S43" s="152"/>
      <c r="T43" s="62" t="str">
        <f aca="false">IF(OR($C43="",R43=""),"",IF(R43/IF($R$2="",100,$R$2)&gt;=設定!$I$28,設定!$G$8,IF(R43/IF($R$2="",100,$R$2)&lt;設定!$I$29,設定!$G$10,設定!$G$9)))</f>
        <v/>
      </c>
      <c r="U43" s="62" t="str">
        <f aca="false">IF(OR($C43="",S43=""),"",IF(S43/IF($S$2="",100,$S$2)&gt;=設定!$I$28,設定!$G$8,IF(S43/IF($S$2="",100,$S$2)&lt;設定!$I$29,設定!$G$10,設定!$G$9)))</f>
        <v/>
      </c>
    </row>
    <row r="44" customFormat="false" ht="21" hidden="false" customHeight="true" outlineLevel="0" collapsed="false">
      <c r="A44" s="91" t="str">
        <f aca="false">IF(名簿!$D44="","",名簿!$B44&amp;"")</f>
        <v/>
      </c>
      <c r="B44" s="91" t="str">
        <f aca="false">IF(名簿!$D44="","",名簿!$C44)</f>
        <v/>
      </c>
      <c r="C44" s="59" t="str">
        <f aca="false">IF(名簿!$D44="","",名簿!$D44&amp;IF(名簿!$F44="転出","（転出）",""))</f>
        <v/>
      </c>
      <c r="D44" s="149"/>
      <c r="E44" s="61" t="str">
        <f aca="false">IF(OR($C44="",名簿!$F44="転出"),"",IF($C$2="学級ごと",$A44,IF($C$2="前の単元と同じ",単元19!$E44&amp;"",$D44&amp;"")))</f>
        <v/>
      </c>
      <c r="F44" s="150"/>
      <c r="G44" s="150"/>
      <c r="H44" s="150"/>
      <c r="I44" s="151"/>
      <c r="J44" s="41" t="str">
        <f aca="false">IF($E44="","",$E44&amp;"|"&amp;COUNTIF($E$5:$E44,$E44))</f>
        <v/>
      </c>
      <c r="K44" s="40" t="str">
        <f aca="false">IF($I44="","",LEN($I44))</f>
        <v/>
      </c>
      <c r="L44" s="13"/>
      <c r="M44" s="13"/>
      <c r="N44" s="13"/>
      <c r="O44" s="13"/>
      <c r="P44" s="152"/>
      <c r="Q44" s="149"/>
      <c r="R44" s="152"/>
      <c r="S44" s="152"/>
      <c r="T44" s="62" t="str">
        <f aca="false">IF(OR($C44="",R44=""),"",IF(R44/IF($R$2="",100,$R$2)&gt;=設定!$I$28,設定!$G$8,IF(R44/IF($R$2="",100,$R$2)&lt;設定!$I$29,設定!$G$10,設定!$G$9)))</f>
        <v/>
      </c>
      <c r="U44" s="62" t="str">
        <f aca="false">IF(OR($C44="",S44=""),"",IF(S44/IF($S$2="",100,$S$2)&gt;=設定!$I$28,設定!$G$8,IF(S44/IF($S$2="",100,$S$2)&lt;設定!$I$29,設定!$G$10,設定!$G$9)))</f>
        <v/>
      </c>
    </row>
    <row r="45" customFormat="false" ht="21" hidden="false" customHeight="true" outlineLevel="0" collapsed="false">
      <c r="A45" s="91" t="str">
        <f aca="false">IF(名簿!$D45="","",名簿!$B45&amp;"")</f>
        <v/>
      </c>
      <c r="B45" s="91" t="str">
        <f aca="false">IF(名簿!$D45="","",名簿!$C45)</f>
        <v/>
      </c>
      <c r="C45" s="59" t="str">
        <f aca="false">IF(名簿!$D45="","",名簿!$D45&amp;IF(名簿!$F45="転出","（転出）",""))</f>
        <v/>
      </c>
      <c r="D45" s="149"/>
      <c r="E45" s="61" t="str">
        <f aca="false">IF(OR($C45="",名簿!$F45="転出"),"",IF($C$2="学級ごと",$A45,IF($C$2="前の単元と同じ",単元19!$E45&amp;"",$D45&amp;"")))</f>
        <v/>
      </c>
      <c r="F45" s="150"/>
      <c r="G45" s="150"/>
      <c r="H45" s="150"/>
      <c r="I45" s="151"/>
      <c r="J45" s="41" t="str">
        <f aca="false">IF($E45="","",$E45&amp;"|"&amp;COUNTIF($E$5:$E45,$E45))</f>
        <v/>
      </c>
      <c r="K45" s="40" t="str">
        <f aca="false">IF($I45="","",LEN($I45))</f>
        <v/>
      </c>
      <c r="L45" s="13"/>
      <c r="M45" s="13"/>
      <c r="N45" s="13"/>
      <c r="O45" s="13"/>
      <c r="P45" s="152"/>
      <c r="Q45" s="149"/>
      <c r="R45" s="152"/>
      <c r="S45" s="152"/>
      <c r="T45" s="62" t="str">
        <f aca="false">IF(OR($C45="",R45=""),"",IF(R45/IF($R$2="",100,$R$2)&gt;=設定!$I$28,設定!$G$8,IF(R45/IF($R$2="",100,$R$2)&lt;設定!$I$29,設定!$G$10,設定!$G$9)))</f>
        <v/>
      </c>
      <c r="U45" s="62" t="str">
        <f aca="false">IF(OR($C45="",S45=""),"",IF(S45/IF($S$2="",100,$S$2)&gt;=設定!$I$28,設定!$G$8,IF(S45/IF($S$2="",100,$S$2)&lt;設定!$I$29,設定!$G$10,設定!$G$9)))</f>
        <v/>
      </c>
    </row>
    <row r="46" customFormat="false" ht="21" hidden="false" customHeight="true" outlineLevel="0" collapsed="false">
      <c r="A46" s="91" t="str">
        <f aca="false">IF(名簿!$D46="","",名簿!$B46&amp;"")</f>
        <v/>
      </c>
      <c r="B46" s="91" t="str">
        <f aca="false">IF(名簿!$D46="","",名簿!$C46)</f>
        <v/>
      </c>
      <c r="C46" s="59" t="str">
        <f aca="false">IF(名簿!$D46="","",名簿!$D46&amp;IF(名簿!$F46="転出","（転出）",""))</f>
        <v/>
      </c>
      <c r="D46" s="149"/>
      <c r="E46" s="61" t="str">
        <f aca="false">IF(OR($C46="",名簿!$F46="転出"),"",IF($C$2="学級ごと",$A46,IF($C$2="前の単元と同じ",単元19!$E46&amp;"",$D46&amp;"")))</f>
        <v/>
      </c>
      <c r="F46" s="150"/>
      <c r="G46" s="150"/>
      <c r="H46" s="150"/>
      <c r="I46" s="151"/>
      <c r="J46" s="41" t="str">
        <f aca="false">IF($E46="","",$E46&amp;"|"&amp;COUNTIF($E$5:$E46,$E46))</f>
        <v/>
      </c>
      <c r="K46" s="40" t="str">
        <f aca="false">IF($I46="","",LEN($I46))</f>
        <v/>
      </c>
      <c r="L46" s="13"/>
      <c r="M46" s="13"/>
      <c r="N46" s="13"/>
      <c r="O46" s="13"/>
      <c r="P46" s="152"/>
      <c r="Q46" s="149"/>
      <c r="R46" s="152"/>
      <c r="S46" s="152"/>
      <c r="T46" s="62" t="str">
        <f aca="false">IF(OR($C46="",R46=""),"",IF(R46/IF($R$2="",100,$R$2)&gt;=設定!$I$28,設定!$G$8,IF(R46/IF($R$2="",100,$R$2)&lt;設定!$I$29,設定!$G$10,設定!$G$9)))</f>
        <v/>
      </c>
      <c r="U46" s="62" t="str">
        <f aca="false">IF(OR($C46="",S46=""),"",IF(S46/IF($S$2="",100,$S$2)&gt;=設定!$I$28,設定!$G$8,IF(S46/IF($S$2="",100,$S$2)&lt;設定!$I$29,設定!$G$10,設定!$G$9)))</f>
        <v/>
      </c>
    </row>
    <row r="47" customFormat="false" ht="21" hidden="false" customHeight="true" outlineLevel="0" collapsed="false">
      <c r="A47" s="91" t="str">
        <f aca="false">IF(名簿!$D47="","",名簿!$B47&amp;"")</f>
        <v/>
      </c>
      <c r="B47" s="91" t="str">
        <f aca="false">IF(名簿!$D47="","",名簿!$C47)</f>
        <v/>
      </c>
      <c r="C47" s="59" t="str">
        <f aca="false">IF(名簿!$D47="","",名簿!$D47&amp;IF(名簿!$F47="転出","（転出）",""))</f>
        <v/>
      </c>
      <c r="D47" s="149"/>
      <c r="E47" s="61" t="str">
        <f aca="false">IF(OR($C47="",名簿!$F47="転出"),"",IF($C$2="学級ごと",$A47,IF($C$2="前の単元と同じ",単元19!$E47&amp;"",$D47&amp;"")))</f>
        <v/>
      </c>
      <c r="F47" s="150"/>
      <c r="G47" s="150"/>
      <c r="H47" s="150"/>
      <c r="I47" s="151"/>
      <c r="J47" s="41" t="str">
        <f aca="false">IF($E47="","",$E47&amp;"|"&amp;COUNTIF($E$5:$E47,$E47))</f>
        <v/>
      </c>
      <c r="K47" s="40" t="str">
        <f aca="false">IF($I47="","",LEN($I47))</f>
        <v/>
      </c>
      <c r="L47" s="13"/>
      <c r="M47" s="13"/>
      <c r="N47" s="13"/>
      <c r="O47" s="13"/>
      <c r="P47" s="152"/>
      <c r="Q47" s="149"/>
      <c r="R47" s="152"/>
      <c r="S47" s="152"/>
      <c r="T47" s="62" t="str">
        <f aca="false">IF(OR($C47="",R47=""),"",IF(R47/IF($R$2="",100,$R$2)&gt;=設定!$I$28,設定!$G$8,IF(R47/IF($R$2="",100,$R$2)&lt;設定!$I$29,設定!$G$10,設定!$G$9)))</f>
        <v/>
      </c>
      <c r="U47" s="62" t="str">
        <f aca="false">IF(OR($C47="",S47=""),"",IF(S47/IF($S$2="",100,$S$2)&gt;=設定!$I$28,設定!$G$8,IF(S47/IF($S$2="",100,$S$2)&lt;設定!$I$29,設定!$G$10,設定!$G$9)))</f>
        <v/>
      </c>
    </row>
    <row r="48" customFormat="false" ht="21" hidden="false" customHeight="true" outlineLevel="0" collapsed="false">
      <c r="A48" s="91" t="str">
        <f aca="false">IF(名簿!$D48="","",名簿!$B48&amp;"")</f>
        <v/>
      </c>
      <c r="B48" s="91" t="str">
        <f aca="false">IF(名簿!$D48="","",名簿!$C48)</f>
        <v/>
      </c>
      <c r="C48" s="59" t="str">
        <f aca="false">IF(名簿!$D48="","",名簿!$D48&amp;IF(名簿!$F48="転出","（転出）",""))</f>
        <v/>
      </c>
      <c r="D48" s="149"/>
      <c r="E48" s="61" t="str">
        <f aca="false">IF(OR($C48="",名簿!$F48="転出"),"",IF($C$2="学級ごと",$A48,IF($C$2="前の単元と同じ",単元19!$E48&amp;"",$D48&amp;"")))</f>
        <v/>
      </c>
      <c r="F48" s="150"/>
      <c r="G48" s="150"/>
      <c r="H48" s="150"/>
      <c r="I48" s="151"/>
      <c r="J48" s="41" t="str">
        <f aca="false">IF($E48="","",$E48&amp;"|"&amp;COUNTIF($E$5:$E48,$E48))</f>
        <v/>
      </c>
      <c r="K48" s="40" t="str">
        <f aca="false">IF($I48="","",LEN($I48))</f>
        <v/>
      </c>
      <c r="L48" s="13"/>
      <c r="M48" s="13"/>
      <c r="N48" s="13"/>
      <c r="O48" s="13"/>
      <c r="P48" s="152"/>
      <c r="Q48" s="149"/>
      <c r="R48" s="152"/>
      <c r="S48" s="152"/>
      <c r="T48" s="62" t="str">
        <f aca="false">IF(OR($C48="",R48=""),"",IF(R48/IF($R$2="",100,$R$2)&gt;=設定!$I$28,設定!$G$8,IF(R48/IF($R$2="",100,$R$2)&lt;設定!$I$29,設定!$G$10,設定!$G$9)))</f>
        <v/>
      </c>
      <c r="U48" s="62" t="str">
        <f aca="false">IF(OR($C48="",S48=""),"",IF(S48/IF($S$2="",100,$S$2)&gt;=設定!$I$28,設定!$G$8,IF(S48/IF($S$2="",100,$S$2)&lt;設定!$I$29,設定!$G$10,設定!$G$9)))</f>
        <v/>
      </c>
    </row>
    <row r="49" customFormat="false" ht="21" hidden="false" customHeight="true" outlineLevel="0" collapsed="false">
      <c r="A49" s="91" t="str">
        <f aca="false">IF(名簿!$D49="","",名簿!$B49&amp;"")</f>
        <v/>
      </c>
      <c r="B49" s="91" t="str">
        <f aca="false">IF(名簿!$D49="","",名簿!$C49)</f>
        <v/>
      </c>
      <c r="C49" s="59" t="str">
        <f aca="false">IF(名簿!$D49="","",名簿!$D49&amp;IF(名簿!$F49="転出","（転出）",""))</f>
        <v/>
      </c>
      <c r="D49" s="149"/>
      <c r="E49" s="61" t="str">
        <f aca="false">IF(OR($C49="",名簿!$F49="転出"),"",IF($C$2="学級ごと",$A49,IF($C$2="前の単元と同じ",単元19!$E49&amp;"",$D49&amp;"")))</f>
        <v/>
      </c>
      <c r="F49" s="150"/>
      <c r="G49" s="150"/>
      <c r="H49" s="150"/>
      <c r="I49" s="151"/>
      <c r="J49" s="41" t="str">
        <f aca="false">IF($E49="","",$E49&amp;"|"&amp;COUNTIF($E$5:$E49,$E49))</f>
        <v/>
      </c>
      <c r="K49" s="40" t="str">
        <f aca="false">IF($I49="","",LEN($I49))</f>
        <v/>
      </c>
      <c r="L49" s="13"/>
      <c r="M49" s="13"/>
      <c r="N49" s="13"/>
      <c r="O49" s="13"/>
      <c r="P49" s="152"/>
      <c r="Q49" s="149"/>
      <c r="R49" s="152"/>
      <c r="S49" s="152"/>
      <c r="T49" s="62" t="str">
        <f aca="false">IF(OR($C49="",R49=""),"",IF(R49/IF($R$2="",100,$R$2)&gt;=設定!$I$28,設定!$G$8,IF(R49/IF($R$2="",100,$R$2)&lt;設定!$I$29,設定!$G$10,設定!$G$9)))</f>
        <v/>
      </c>
      <c r="U49" s="62" t="str">
        <f aca="false">IF(OR($C49="",S49=""),"",IF(S49/IF($S$2="",100,$S$2)&gt;=設定!$I$28,設定!$G$8,IF(S49/IF($S$2="",100,$S$2)&lt;設定!$I$29,設定!$G$10,設定!$G$9)))</f>
        <v/>
      </c>
    </row>
    <row r="50" customFormat="false" ht="21" hidden="false" customHeight="true" outlineLevel="0" collapsed="false">
      <c r="A50" s="91" t="str">
        <f aca="false">IF(名簿!$D50="","",名簿!$B50&amp;"")</f>
        <v/>
      </c>
      <c r="B50" s="91" t="str">
        <f aca="false">IF(名簿!$D50="","",名簿!$C50)</f>
        <v/>
      </c>
      <c r="C50" s="59" t="str">
        <f aca="false">IF(名簿!$D50="","",名簿!$D50&amp;IF(名簿!$F50="転出","（転出）",""))</f>
        <v/>
      </c>
      <c r="D50" s="149"/>
      <c r="E50" s="61" t="str">
        <f aca="false">IF(OR($C50="",名簿!$F50="転出"),"",IF($C$2="学級ごと",$A50,IF($C$2="前の単元と同じ",単元19!$E50&amp;"",$D50&amp;"")))</f>
        <v/>
      </c>
      <c r="F50" s="150"/>
      <c r="G50" s="150"/>
      <c r="H50" s="150"/>
      <c r="I50" s="151"/>
      <c r="J50" s="41" t="str">
        <f aca="false">IF($E50="","",$E50&amp;"|"&amp;COUNTIF($E$5:$E50,$E50))</f>
        <v/>
      </c>
      <c r="K50" s="40" t="str">
        <f aca="false">IF($I50="","",LEN($I50))</f>
        <v/>
      </c>
      <c r="L50" s="13"/>
      <c r="M50" s="13"/>
      <c r="N50" s="13"/>
      <c r="O50" s="13"/>
      <c r="P50" s="152"/>
      <c r="Q50" s="149"/>
      <c r="R50" s="152"/>
      <c r="S50" s="152"/>
      <c r="T50" s="62" t="str">
        <f aca="false">IF(OR($C50="",R50=""),"",IF(R50/IF($R$2="",100,$R$2)&gt;=設定!$I$28,設定!$G$8,IF(R50/IF($R$2="",100,$R$2)&lt;設定!$I$29,設定!$G$10,設定!$G$9)))</f>
        <v/>
      </c>
      <c r="U50" s="62" t="str">
        <f aca="false">IF(OR($C50="",S50=""),"",IF(S50/IF($S$2="",100,$S$2)&gt;=設定!$I$28,設定!$G$8,IF(S50/IF($S$2="",100,$S$2)&lt;設定!$I$29,設定!$G$10,設定!$G$9)))</f>
        <v/>
      </c>
    </row>
    <row r="51" customFormat="false" ht="21" hidden="false" customHeight="true" outlineLevel="0" collapsed="false">
      <c r="A51" s="91" t="str">
        <f aca="false">IF(名簿!$D51="","",名簿!$B51&amp;"")</f>
        <v/>
      </c>
      <c r="B51" s="91" t="str">
        <f aca="false">IF(名簿!$D51="","",名簿!$C51)</f>
        <v/>
      </c>
      <c r="C51" s="59" t="str">
        <f aca="false">IF(名簿!$D51="","",名簿!$D51&amp;IF(名簿!$F51="転出","（転出）",""))</f>
        <v/>
      </c>
      <c r="D51" s="149"/>
      <c r="E51" s="61" t="str">
        <f aca="false">IF(OR($C51="",名簿!$F51="転出"),"",IF($C$2="学級ごと",$A51,IF($C$2="前の単元と同じ",単元19!$E51&amp;"",$D51&amp;"")))</f>
        <v/>
      </c>
      <c r="F51" s="150"/>
      <c r="G51" s="150"/>
      <c r="H51" s="150"/>
      <c r="I51" s="151"/>
      <c r="J51" s="41" t="str">
        <f aca="false">IF($E51="","",$E51&amp;"|"&amp;COUNTIF($E$5:$E51,$E51))</f>
        <v/>
      </c>
      <c r="K51" s="40" t="str">
        <f aca="false">IF($I51="","",LEN($I51))</f>
        <v/>
      </c>
      <c r="L51" s="13"/>
      <c r="M51" s="13"/>
      <c r="N51" s="13"/>
      <c r="O51" s="13"/>
      <c r="P51" s="152"/>
      <c r="Q51" s="149"/>
      <c r="R51" s="152"/>
      <c r="S51" s="152"/>
      <c r="T51" s="62" t="str">
        <f aca="false">IF(OR($C51="",R51=""),"",IF(R51/IF($R$2="",100,$R$2)&gt;=設定!$I$28,設定!$G$8,IF(R51/IF($R$2="",100,$R$2)&lt;設定!$I$29,設定!$G$10,設定!$G$9)))</f>
        <v/>
      </c>
      <c r="U51" s="62" t="str">
        <f aca="false">IF(OR($C51="",S51=""),"",IF(S51/IF($S$2="",100,$S$2)&gt;=設定!$I$28,設定!$G$8,IF(S51/IF($S$2="",100,$S$2)&lt;設定!$I$29,設定!$G$10,設定!$G$9)))</f>
        <v/>
      </c>
    </row>
    <row r="52" customFormat="false" ht="21" hidden="false" customHeight="true" outlineLevel="0" collapsed="false">
      <c r="A52" s="91" t="str">
        <f aca="false">IF(名簿!$D52="","",名簿!$B52&amp;"")</f>
        <v/>
      </c>
      <c r="B52" s="91" t="str">
        <f aca="false">IF(名簿!$D52="","",名簿!$C52)</f>
        <v/>
      </c>
      <c r="C52" s="59" t="str">
        <f aca="false">IF(名簿!$D52="","",名簿!$D52&amp;IF(名簿!$F52="転出","（転出）",""))</f>
        <v/>
      </c>
      <c r="D52" s="149"/>
      <c r="E52" s="61" t="str">
        <f aca="false">IF(OR($C52="",名簿!$F52="転出"),"",IF($C$2="学級ごと",$A52,IF($C$2="前の単元と同じ",単元19!$E52&amp;"",$D52&amp;"")))</f>
        <v/>
      </c>
      <c r="F52" s="150"/>
      <c r="G52" s="150"/>
      <c r="H52" s="150"/>
      <c r="I52" s="151"/>
      <c r="J52" s="41" t="str">
        <f aca="false">IF($E52="","",$E52&amp;"|"&amp;COUNTIF($E$5:$E52,$E52))</f>
        <v/>
      </c>
      <c r="K52" s="40" t="str">
        <f aca="false">IF($I52="","",LEN($I52))</f>
        <v/>
      </c>
      <c r="L52" s="13"/>
      <c r="M52" s="13"/>
      <c r="N52" s="13"/>
      <c r="O52" s="13"/>
      <c r="P52" s="152"/>
      <c r="Q52" s="149"/>
      <c r="R52" s="152"/>
      <c r="S52" s="152"/>
      <c r="T52" s="62" t="str">
        <f aca="false">IF(OR($C52="",R52=""),"",IF(R52/IF($R$2="",100,$R$2)&gt;=設定!$I$28,設定!$G$8,IF(R52/IF($R$2="",100,$R$2)&lt;設定!$I$29,設定!$G$10,設定!$G$9)))</f>
        <v/>
      </c>
      <c r="U52" s="62" t="str">
        <f aca="false">IF(OR($C52="",S52=""),"",IF(S52/IF($S$2="",100,$S$2)&gt;=設定!$I$28,設定!$G$8,IF(S52/IF($S$2="",100,$S$2)&lt;設定!$I$29,設定!$G$10,設定!$G$9)))</f>
        <v/>
      </c>
    </row>
    <row r="53" customFormat="false" ht="21" hidden="false" customHeight="true" outlineLevel="0" collapsed="false">
      <c r="A53" s="91" t="str">
        <f aca="false">IF(名簿!$D53="","",名簿!$B53&amp;"")</f>
        <v/>
      </c>
      <c r="B53" s="91" t="str">
        <f aca="false">IF(名簿!$D53="","",名簿!$C53)</f>
        <v/>
      </c>
      <c r="C53" s="59" t="str">
        <f aca="false">IF(名簿!$D53="","",名簿!$D53&amp;IF(名簿!$F53="転出","（転出）",""))</f>
        <v/>
      </c>
      <c r="D53" s="149"/>
      <c r="E53" s="61" t="str">
        <f aca="false">IF(OR($C53="",名簿!$F53="転出"),"",IF($C$2="学級ごと",$A53,IF($C$2="前の単元と同じ",単元19!$E53&amp;"",$D53&amp;"")))</f>
        <v/>
      </c>
      <c r="F53" s="150"/>
      <c r="G53" s="150"/>
      <c r="H53" s="150"/>
      <c r="I53" s="151"/>
      <c r="J53" s="41" t="str">
        <f aca="false">IF($E53="","",$E53&amp;"|"&amp;COUNTIF($E$5:$E53,$E53))</f>
        <v/>
      </c>
      <c r="K53" s="40" t="str">
        <f aca="false">IF($I53="","",LEN($I53))</f>
        <v/>
      </c>
      <c r="L53" s="13"/>
      <c r="M53" s="13"/>
      <c r="N53" s="13"/>
      <c r="O53" s="13"/>
      <c r="P53" s="152"/>
      <c r="Q53" s="149"/>
      <c r="R53" s="152"/>
      <c r="S53" s="152"/>
      <c r="T53" s="62" t="str">
        <f aca="false">IF(OR($C53="",R53=""),"",IF(R53/IF($R$2="",100,$R$2)&gt;=設定!$I$28,設定!$G$8,IF(R53/IF($R$2="",100,$R$2)&lt;設定!$I$29,設定!$G$10,設定!$G$9)))</f>
        <v/>
      </c>
      <c r="U53" s="62" t="str">
        <f aca="false">IF(OR($C53="",S53=""),"",IF(S53/IF($S$2="",100,$S$2)&gt;=設定!$I$28,設定!$G$8,IF(S53/IF($S$2="",100,$S$2)&lt;設定!$I$29,設定!$G$10,設定!$G$9)))</f>
        <v/>
      </c>
    </row>
    <row r="54" customFormat="false" ht="21" hidden="false" customHeight="true" outlineLevel="0" collapsed="false">
      <c r="A54" s="91" t="str">
        <f aca="false">IF(名簿!$D54="","",名簿!$B54&amp;"")</f>
        <v/>
      </c>
      <c r="B54" s="91" t="str">
        <f aca="false">IF(名簿!$D54="","",名簿!$C54)</f>
        <v/>
      </c>
      <c r="C54" s="59" t="str">
        <f aca="false">IF(名簿!$D54="","",名簿!$D54&amp;IF(名簿!$F54="転出","（転出）",""))</f>
        <v/>
      </c>
      <c r="D54" s="149"/>
      <c r="E54" s="61" t="str">
        <f aca="false">IF(OR($C54="",名簿!$F54="転出"),"",IF($C$2="学級ごと",$A54,IF($C$2="前の単元と同じ",単元19!$E54&amp;"",$D54&amp;"")))</f>
        <v/>
      </c>
      <c r="F54" s="150"/>
      <c r="G54" s="150"/>
      <c r="H54" s="150"/>
      <c r="I54" s="151"/>
      <c r="J54" s="41" t="str">
        <f aca="false">IF($E54="","",$E54&amp;"|"&amp;COUNTIF($E$5:$E54,$E54))</f>
        <v/>
      </c>
      <c r="K54" s="40" t="str">
        <f aca="false">IF($I54="","",LEN($I54))</f>
        <v/>
      </c>
      <c r="L54" s="13"/>
      <c r="M54" s="13"/>
      <c r="N54" s="13"/>
      <c r="O54" s="13"/>
      <c r="P54" s="152"/>
      <c r="Q54" s="149"/>
      <c r="R54" s="152"/>
      <c r="S54" s="152"/>
      <c r="T54" s="62" t="str">
        <f aca="false">IF(OR($C54="",R54=""),"",IF(R54/IF($R$2="",100,$R$2)&gt;=設定!$I$28,設定!$G$8,IF(R54/IF($R$2="",100,$R$2)&lt;設定!$I$29,設定!$G$10,設定!$G$9)))</f>
        <v/>
      </c>
      <c r="U54" s="62" t="str">
        <f aca="false">IF(OR($C54="",S54=""),"",IF(S54/IF($S$2="",100,$S$2)&gt;=設定!$I$28,設定!$G$8,IF(S54/IF($S$2="",100,$S$2)&lt;設定!$I$29,設定!$G$10,設定!$G$9)))</f>
        <v/>
      </c>
    </row>
    <row r="55" customFormat="false" ht="21" hidden="false" customHeight="true" outlineLevel="0" collapsed="false">
      <c r="A55" s="91" t="str">
        <f aca="false">IF(名簿!$D55="","",名簿!$B55&amp;"")</f>
        <v/>
      </c>
      <c r="B55" s="91" t="str">
        <f aca="false">IF(名簿!$D55="","",名簿!$C55)</f>
        <v/>
      </c>
      <c r="C55" s="59" t="str">
        <f aca="false">IF(名簿!$D55="","",名簿!$D55&amp;IF(名簿!$F55="転出","（転出）",""))</f>
        <v/>
      </c>
      <c r="D55" s="149"/>
      <c r="E55" s="61" t="str">
        <f aca="false">IF(OR($C55="",名簿!$F55="転出"),"",IF($C$2="学級ごと",$A55,IF($C$2="前の単元と同じ",単元19!$E55&amp;"",$D55&amp;"")))</f>
        <v/>
      </c>
      <c r="F55" s="150"/>
      <c r="G55" s="150"/>
      <c r="H55" s="150"/>
      <c r="I55" s="151"/>
      <c r="J55" s="41" t="str">
        <f aca="false">IF($E55="","",$E55&amp;"|"&amp;COUNTIF($E$5:$E55,$E55))</f>
        <v/>
      </c>
      <c r="K55" s="40" t="str">
        <f aca="false">IF($I55="","",LEN($I55))</f>
        <v/>
      </c>
      <c r="L55" s="13"/>
      <c r="M55" s="13"/>
      <c r="N55" s="13"/>
      <c r="O55" s="13"/>
      <c r="P55" s="152"/>
      <c r="Q55" s="149"/>
      <c r="R55" s="152"/>
      <c r="S55" s="152"/>
      <c r="T55" s="62" t="str">
        <f aca="false">IF(OR($C55="",R55=""),"",IF(R55/IF($R$2="",100,$R$2)&gt;=設定!$I$28,設定!$G$8,IF(R55/IF($R$2="",100,$R$2)&lt;設定!$I$29,設定!$G$10,設定!$G$9)))</f>
        <v/>
      </c>
      <c r="U55" s="62" t="str">
        <f aca="false">IF(OR($C55="",S55=""),"",IF(S55/IF($S$2="",100,$S$2)&gt;=設定!$I$28,設定!$G$8,IF(S55/IF($S$2="",100,$S$2)&lt;設定!$I$29,設定!$G$10,設定!$G$9)))</f>
        <v/>
      </c>
    </row>
    <row r="56" customFormat="false" ht="21" hidden="false" customHeight="true" outlineLevel="0" collapsed="false">
      <c r="A56" s="91" t="str">
        <f aca="false">IF(名簿!$D56="","",名簿!$B56&amp;"")</f>
        <v/>
      </c>
      <c r="B56" s="91" t="str">
        <f aca="false">IF(名簿!$D56="","",名簿!$C56)</f>
        <v/>
      </c>
      <c r="C56" s="59" t="str">
        <f aca="false">IF(名簿!$D56="","",名簿!$D56&amp;IF(名簿!$F56="転出","（転出）",""))</f>
        <v/>
      </c>
      <c r="D56" s="149"/>
      <c r="E56" s="61" t="str">
        <f aca="false">IF(OR($C56="",名簿!$F56="転出"),"",IF($C$2="学級ごと",$A56,IF($C$2="前の単元と同じ",単元19!$E56&amp;"",$D56&amp;"")))</f>
        <v/>
      </c>
      <c r="F56" s="150"/>
      <c r="G56" s="150"/>
      <c r="H56" s="150"/>
      <c r="I56" s="151"/>
      <c r="J56" s="41" t="str">
        <f aca="false">IF($E56="","",$E56&amp;"|"&amp;COUNTIF($E$5:$E56,$E56))</f>
        <v/>
      </c>
      <c r="K56" s="40" t="str">
        <f aca="false">IF($I56="","",LEN($I56))</f>
        <v/>
      </c>
      <c r="L56" s="13"/>
      <c r="M56" s="13"/>
      <c r="N56" s="13"/>
      <c r="O56" s="13"/>
      <c r="P56" s="152"/>
      <c r="Q56" s="149"/>
      <c r="R56" s="152"/>
      <c r="S56" s="152"/>
      <c r="T56" s="62" t="str">
        <f aca="false">IF(OR($C56="",R56=""),"",IF(R56/IF($R$2="",100,$R$2)&gt;=設定!$I$28,設定!$G$8,IF(R56/IF($R$2="",100,$R$2)&lt;設定!$I$29,設定!$G$10,設定!$G$9)))</f>
        <v/>
      </c>
      <c r="U56" s="62" t="str">
        <f aca="false">IF(OR($C56="",S56=""),"",IF(S56/IF($S$2="",100,$S$2)&gt;=設定!$I$28,設定!$G$8,IF(S56/IF($S$2="",100,$S$2)&lt;設定!$I$29,設定!$G$10,設定!$G$9)))</f>
        <v/>
      </c>
    </row>
    <row r="57" customFormat="false" ht="21" hidden="false" customHeight="true" outlineLevel="0" collapsed="false">
      <c r="A57" s="91" t="str">
        <f aca="false">IF(名簿!$D57="","",名簿!$B57&amp;"")</f>
        <v/>
      </c>
      <c r="B57" s="91" t="str">
        <f aca="false">IF(名簿!$D57="","",名簿!$C57)</f>
        <v/>
      </c>
      <c r="C57" s="59" t="str">
        <f aca="false">IF(名簿!$D57="","",名簿!$D57&amp;IF(名簿!$F57="転出","（転出）",""))</f>
        <v/>
      </c>
      <c r="D57" s="149"/>
      <c r="E57" s="61" t="str">
        <f aca="false">IF(OR($C57="",名簿!$F57="転出"),"",IF($C$2="学級ごと",$A57,IF($C$2="前の単元と同じ",単元19!$E57&amp;"",$D57&amp;"")))</f>
        <v/>
      </c>
      <c r="F57" s="150"/>
      <c r="G57" s="150"/>
      <c r="H57" s="150"/>
      <c r="I57" s="151"/>
      <c r="J57" s="41" t="str">
        <f aca="false">IF($E57="","",$E57&amp;"|"&amp;COUNTIF($E$5:$E57,$E57))</f>
        <v/>
      </c>
      <c r="K57" s="40" t="str">
        <f aca="false">IF($I57="","",LEN($I57))</f>
        <v/>
      </c>
      <c r="L57" s="13"/>
      <c r="M57" s="13"/>
      <c r="N57" s="13"/>
      <c r="O57" s="13"/>
      <c r="P57" s="152"/>
      <c r="Q57" s="149"/>
      <c r="R57" s="152"/>
      <c r="S57" s="152"/>
      <c r="T57" s="62" t="str">
        <f aca="false">IF(OR($C57="",R57=""),"",IF(R57/IF($R$2="",100,$R$2)&gt;=設定!$I$28,設定!$G$8,IF(R57/IF($R$2="",100,$R$2)&lt;設定!$I$29,設定!$G$10,設定!$G$9)))</f>
        <v/>
      </c>
      <c r="U57" s="62" t="str">
        <f aca="false">IF(OR($C57="",S57=""),"",IF(S57/IF($S$2="",100,$S$2)&gt;=設定!$I$28,設定!$G$8,IF(S57/IF($S$2="",100,$S$2)&lt;設定!$I$29,設定!$G$10,設定!$G$9)))</f>
        <v/>
      </c>
    </row>
    <row r="58" customFormat="false" ht="21" hidden="false" customHeight="true" outlineLevel="0" collapsed="false">
      <c r="A58" s="91" t="str">
        <f aca="false">IF(名簿!$D58="","",名簿!$B58&amp;"")</f>
        <v/>
      </c>
      <c r="B58" s="91" t="str">
        <f aca="false">IF(名簿!$D58="","",名簿!$C58)</f>
        <v/>
      </c>
      <c r="C58" s="59" t="str">
        <f aca="false">IF(名簿!$D58="","",名簿!$D58&amp;IF(名簿!$F58="転出","（転出）",""))</f>
        <v/>
      </c>
      <c r="D58" s="149"/>
      <c r="E58" s="61" t="str">
        <f aca="false">IF(OR($C58="",名簿!$F58="転出"),"",IF($C$2="学級ごと",$A58,IF($C$2="前の単元と同じ",単元19!$E58&amp;"",$D58&amp;"")))</f>
        <v/>
      </c>
      <c r="F58" s="150"/>
      <c r="G58" s="150"/>
      <c r="H58" s="150"/>
      <c r="I58" s="151"/>
      <c r="J58" s="41" t="str">
        <f aca="false">IF($E58="","",$E58&amp;"|"&amp;COUNTIF($E$5:$E58,$E58))</f>
        <v/>
      </c>
      <c r="K58" s="40" t="str">
        <f aca="false">IF($I58="","",LEN($I58))</f>
        <v/>
      </c>
      <c r="L58" s="13"/>
      <c r="M58" s="13"/>
      <c r="N58" s="13"/>
      <c r="O58" s="13"/>
      <c r="P58" s="152"/>
      <c r="Q58" s="149"/>
      <c r="R58" s="152"/>
      <c r="S58" s="152"/>
      <c r="T58" s="62" t="str">
        <f aca="false">IF(OR($C58="",R58=""),"",IF(R58/IF($R$2="",100,$R$2)&gt;=設定!$I$28,設定!$G$8,IF(R58/IF($R$2="",100,$R$2)&lt;設定!$I$29,設定!$G$10,設定!$G$9)))</f>
        <v/>
      </c>
      <c r="U58" s="62" t="str">
        <f aca="false">IF(OR($C58="",S58=""),"",IF(S58/IF($S$2="",100,$S$2)&gt;=設定!$I$28,設定!$G$8,IF(S58/IF($S$2="",100,$S$2)&lt;設定!$I$29,設定!$G$10,設定!$G$9)))</f>
        <v/>
      </c>
    </row>
    <row r="59" customFormat="false" ht="21" hidden="false" customHeight="true" outlineLevel="0" collapsed="false">
      <c r="A59" s="91" t="str">
        <f aca="false">IF(名簿!$D59="","",名簿!$B59&amp;"")</f>
        <v/>
      </c>
      <c r="B59" s="91" t="str">
        <f aca="false">IF(名簿!$D59="","",名簿!$C59)</f>
        <v/>
      </c>
      <c r="C59" s="59" t="str">
        <f aca="false">IF(名簿!$D59="","",名簿!$D59&amp;IF(名簿!$F59="転出","（転出）",""))</f>
        <v/>
      </c>
      <c r="D59" s="149"/>
      <c r="E59" s="61" t="str">
        <f aca="false">IF(OR($C59="",名簿!$F59="転出"),"",IF($C$2="学級ごと",$A59,IF($C$2="前の単元と同じ",単元19!$E59&amp;"",$D59&amp;"")))</f>
        <v/>
      </c>
      <c r="F59" s="150"/>
      <c r="G59" s="150"/>
      <c r="H59" s="150"/>
      <c r="I59" s="151"/>
      <c r="J59" s="41" t="str">
        <f aca="false">IF($E59="","",$E59&amp;"|"&amp;COUNTIF($E$5:$E59,$E59))</f>
        <v/>
      </c>
      <c r="K59" s="40" t="str">
        <f aca="false">IF($I59="","",LEN($I59))</f>
        <v/>
      </c>
      <c r="L59" s="13"/>
      <c r="M59" s="13"/>
      <c r="N59" s="13"/>
      <c r="O59" s="13"/>
      <c r="P59" s="152"/>
      <c r="Q59" s="149"/>
      <c r="R59" s="152"/>
      <c r="S59" s="152"/>
      <c r="T59" s="62" t="str">
        <f aca="false">IF(OR($C59="",R59=""),"",IF(R59/IF($R$2="",100,$R$2)&gt;=設定!$I$28,設定!$G$8,IF(R59/IF($R$2="",100,$R$2)&lt;設定!$I$29,設定!$G$10,設定!$G$9)))</f>
        <v/>
      </c>
      <c r="U59" s="62" t="str">
        <f aca="false">IF(OR($C59="",S59=""),"",IF(S59/IF($S$2="",100,$S$2)&gt;=設定!$I$28,設定!$G$8,IF(S59/IF($S$2="",100,$S$2)&lt;設定!$I$29,設定!$G$10,設定!$G$9)))</f>
        <v/>
      </c>
    </row>
    <row r="60" customFormat="false" ht="21" hidden="false" customHeight="true" outlineLevel="0" collapsed="false">
      <c r="A60" s="91" t="str">
        <f aca="false">IF(名簿!$D60="","",名簿!$B60&amp;"")</f>
        <v/>
      </c>
      <c r="B60" s="91" t="str">
        <f aca="false">IF(名簿!$D60="","",名簿!$C60)</f>
        <v/>
      </c>
      <c r="C60" s="59" t="str">
        <f aca="false">IF(名簿!$D60="","",名簿!$D60&amp;IF(名簿!$F60="転出","（転出）",""))</f>
        <v/>
      </c>
      <c r="D60" s="149"/>
      <c r="E60" s="61" t="str">
        <f aca="false">IF(OR($C60="",名簿!$F60="転出"),"",IF($C$2="学級ごと",$A60,IF($C$2="前の単元と同じ",単元19!$E60&amp;"",$D60&amp;"")))</f>
        <v/>
      </c>
      <c r="F60" s="150"/>
      <c r="G60" s="150"/>
      <c r="H60" s="150"/>
      <c r="I60" s="151"/>
      <c r="J60" s="41" t="str">
        <f aca="false">IF($E60="","",$E60&amp;"|"&amp;COUNTIF($E$5:$E60,$E60))</f>
        <v/>
      </c>
      <c r="K60" s="40" t="str">
        <f aca="false">IF($I60="","",LEN($I60))</f>
        <v/>
      </c>
      <c r="L60" s="13"/>
      <c r="M60" s="13"/>
      <c r="N60" s="13"/>
      <c r="O60" s="13"/>
      <c r="P60" s="152"/>
      <c r="Q60" s="149"/>
      <c r="R60" s="152"/>
      <c r="S60" s="152"/>
      <c r="T60" s="62" t="str">
        <f aca="false">IF(OR($C60="",R60=""),"",IF(R60/IF($R$2="",100,$R$2)&gt;=設定!$I$28,設定!$G$8,IF(R60/IF($R$2="",100,$R$2)&lt;設定!$I$29,設定!$G$10,設定!$G$9)))</f>
        <v/>
      </c>
      <c r="U60" s="62" t="str">
        <f aca="false">IF(OR($C60="",S60=""),"",IF(S60/IF($S$2="",100,$S$2)&gt;=設定!$I$28,設定!$G$8,IF(S60/IF($S$2="",100,$S$2)&lt;設定!$I$29,設定!$G$10,設定!$G$9)))</f>
        <v/>
      </c>
    </row>
    <row r="61" customFormat="false" ht="21" hidden="false" customHeight="true" outlineLevel="0" collapsed="false">
      <c r="A61" s="91" t="str">
        <f aca="false">IF(名簿!$D61="","",名簿!$B61&amp;"")</f>
        <v/>
      </c>
      <c r="B61" s="91" t="str">
        <f aca="false">IF(名簿!$D61="","",名簿!$C61)</f>
        <v/>
      </c>
      <c r="C61" s="59" t="str">
        <f aca="false">IF(名簿!$D61="","",名簿!$D61&amp;IF(名簿!$F61="転出","（転出）",""))</f>
        <v/>
      </c>
      <c r="D61" s="149"/>
      <c r="E61" s="61" t="str">
        <f aca="false">IF(OR($C61="",名簿!$F61="転出"),"",IF($C$2="学級ごと",$A61,IF($C$2="前の単元と同じ",単元19!$E61&amp;"",$D61&amp;"")))</f>
        <v/>
      </c>
      <c r="F61" s="150"/>
      <c r="G61" s="150"/>
      <c r="H61" s="150"/>
      <c r="I61" s="151"/>
      <c r="J61" s="41" t="str">
        <f aca="false">IF($E61="","",$E61&amp;"|"&amp;COUNTIF($E$5:$E61,$E61))</f>
        <v/>
      </c>
      <c r="K61" s="40" t="str">
        <f aca="false">IF($I61="","",LEN($I61))</f>
        <v/>
      </c>
      <c r="L61" s="13"/>
      <c r="M61" s="13"/>
      <c r="N61" s="13"/>
      <c r="O61" s="13"/>
      <c r="P61" s="152"/>
      <c r="Q61" s="149"/>
      <c r="R61" s="152"/>
      <c r="S61" s="152"/>
      <c r="T61" s="62" t="str">
        <f aca="false">IF(OR($C61="",R61=""),"",IF(R61/IF($R$2="",100,$R$2)&gt;=設定!$I$28,設定!$G$8,IF(R61/IF($R$2="",100,$R$2)&lt;設定!$I$29,設定!$G$10,設定!$G$9)))</f>
        <v/>
      </c>
      <c r="U61" s="62" t="str">
        <f aca="false">IF(OR($C61="",S61=""),"",IF(S61/IF($S$2="",100,$S$2)&gt;=設定!$I$28,設定!$G$8,IF(S61/IF($S$2="",100,$S$2)&lt;設定!$I$29,設定!$G$10,設定!$G$9)))</f>
        <v/>
      </c>
    </row>
    <row r="62" customFormat="false" ht="21" hidden="false" customHeight="true" outlineLevel="0" collapsed="false">
      <c r="A62" s="91" t="str">
        <f aca="false">IF(名簿!$D62="","",名簿!$B62&amp;"")</f>
        <v/>
      </c>
      <c r="B62" s="91" t="str">
        <f aca="false">IF(名簿!$D62="","",名簿!$C62)</f>
        <v/>
      </c>
      <c r="C62" s="59" t="str">
        <f aca="false">IF(名簿!$D62="","",名簿!$D62&amp;IF(名簿!$F62="転出","（転出）",""))</f>
        <v/>
      </c>
      <c r="D62" s="149"/>
      <c r="E62" s="61" t="str">
        <f aca="false">IF(OR($C62="",名簿!$F62="転出"),"",IF($C$2="学級ごと",$A62,IF($C$2="前の単元と同じ",単元19!$E62&amp;"",$D62&amp;"")))</f>
        <v/>
      </c>
      <c r="F62" s="150"/>
      <c r="G62" s="150"/>
      <c r="H62" s="150"/>
      <c r="I62" s="151"/>
      <c r="J62" s="41" t="str">
        <f aca="false">IF($E62="","",$E62&amp;"|"&amp;COUNTIF($E$5:$E62,$E62))</f>
        <v/>
      </c>
      <c r="K62" s="40" t="str">
        <f aca="false">IF($I62="","",LEN($I62))</f>
        <v/>
      </c>
      <c r="L62" s="13"/>
      <c r="M62" s="13"/>
      <c r="N62" s="13"/>
      <c r="O62" s="13"/>
      <c r="P62" s="152"/>
      <c r="Q62" s="149"/>
      <c r="R62" s="152"/>
      <c r="S62" s="152"/>
      <c r="T62" s="62" t="str">
        <f aca="false">IF(OR($C62="",R62=""),"",IF(R62/IF($R$2="",100,$R$2)&gt;=設定!$I$28,設定!$G$8,IF(R62/IF($R$2="",100,$R$2)&lt;設定!$I$29,設定!$G$10,設定!$G$9)))</f>
        <v/>
      </c>
      <c r="U62" s="62" t="str">
        <f aca="false">IF(OR($C62="",S62=""),"",IF(S62/IF($S$2="",100,$S$2)&gt;=設定!$I$28,設定!$G$8,IF(S62/IF($S$2="",100,$S$2)&lt;設定!$I$29,設定!$G$10,設定!$G$9)))</f>
        <v/>
      </c>
    </row>
    <row r="63" customFormat="false" ht="21" hidden="false" customHeight="true" outlineLevel="0" collapsed="false">
      <c r="A63" s="91" t="str">
        <f aca="false">IF(名簿!$D63="","",名簿!$B63&amp;"")</f>
        <v/>
      </c>
      <c r="B63" s="91" t="str">
        <f aca="false">IF(名簿!$D63="","",名簿!$C63)</f>
        <v/>
      </c>
      <c r="C63" s="59" t="str">
        <f aca="false">IF(名簿!$D63="","",名簿!$D63&amp;IF(名簿!$F63="転出","（転出）",""))</f>
        <v/>
      </c>
      <c r="D63" s="149"/>
      <c r="E63" s="61" t="str">
        <f aca="false">IF(OR($C63="",名簿!$F63="転出"),"",IF($C$2="学級ごと",$A63,IF($C$2="前の単元と同じ",単元19!$E63&amp;"",$D63&amp;"")))</f>
        <v/>
      </c>
      <c r="F63" s="150"/>
      <c r="G63" s="150"/>
      <c r="H63" s="150"/>
      <c r="I63" s="151"/>
      <c r="J63" s="41" t="str">
        <f aca="false">IF($E63="","",$E63&amp;"|"&amp;COUNTIF($E$5:$E63,$E63))</f>
        <v/>
      </c>
      <c r="K63" s="40" t="str">
        <f aca="false">IF($I63="","",LEN($I63))</f>
        <v/>
      </c>
      <c r="L63" s="13"/>
      <c r="M63" s="13"/>
      <c r="N63" s="13"/>
      <c r="O63" s="13"/>
      <c r="P63" s="152"/>
      <c r="Q63" s="149"/>
      <c r="R63" s="152"/>
      <c r="S63" s="152"/>
      <c r="T63" s="62" t="str">
        <f aca="false">IF(OR($C63="",R63=""),"",IF(R63/IF($R$2="",100,$R$2)&gt;=設定!$I$28,設定!$G$8,IF(R63/IF($R$2="",100,$R$2)&lt;設定!$I$29,設定!$G$10,設定!$G$9)))</f>
        <v/>
      </c>
      <c r="U63" s="62" t="str">
        <f aca="false">IF(OR($C63="",S63=""),"",IF(S63/IF($S$2="",100,$S$2)&gt;=設定!$I$28,設定!$G$8,IF(S63/IF($S$2="",100,$S$2)&lt;設定!$I$29,設定!$G$10,設定!$G$9)))</f>
        <v/>
      </c>
    </row>
    <row r="64" customFormat="false" ht="21" hidden="false" customHeight="true" outlineLevel="0" collapsed="false">
      <c r="A64" s="91" t="str">
        <f aca="false">IF(名簿!$D64="","",名簿!$B64&amp;"")</f>
        <v/>
      </c>
      <c r="B64" s="91" t="str">
        <f aca="false">IF(名簿!$D64="","",名簿!$C64)</f>
        <v/>
      </c>
      <c r="C64" s="59" t="str">
        <f aca="false">IF(名簿!$D64="","",名簿!$D64&amp;IF(名簿!$F64="転出","（転出）",""))</f>
        <v/>
      </c>
      <c r="D64" s="149"/>
      <c r="E64" s="61" t="str">
        <f aca="false">IF(OR($C64="",名簿!$F64="転出"),"",IF($C$2="学級ごと",$A64,IF($C$2="前の単元と同じ",単元19!$E64&amp;"",$D64&amp;"")))</f>
        <v/>
      </c>
      <c r="F64" s="150"/>
      <c r="G64" s="150"/>
      <c r="H64" s="150"/>
      <c r="I64" s="151"/>
      <c r="J64" s="41" t="str">
        <f aca="false">IF($E64="","",$E64&amp;"|"&amp;COUNTIF($E$5:$E64,$E64))</f>
        <v/>
      </c>
      <c r="K64" s="40" t="str">
        <f aca="false">IF($I64="","",LEN($I64))</f>
        <v/>
      </c>
      <c r="L64" s="13"/>
      <c r="M64" s="13"/>
      <c r="N64" s="13"/>
      <c r="O64" s="13"/>
      <c r="P64" s="152"/>
      <c r="Q64" s="149"/>
      <c r="R64" s="152"/>
      <c r="S64" s="152"/>
      <c r="T64" s="62" t="str">
        <f aca="false">IF(OR($C64="",R64=""),"",IF(R64/IF($R$2="",100,$R$2)&gt;=設定!$I$28,設定!$G$8,IF(R64/IF($R$2="",100,$R$2)&lt;設定!$I$29,設定!$G$10,設定!$G$9)))</f>
        <v/>
      </c>
      <c r="U64" s="62" t="str">
        <f aca="false">IF(OR($C64="",S64=""),"",IF(S64/IF($S$2="",100,$S$2)&gt;=設定!$I$28,設定!$G$8,IF(S64/IF($S$2="",100,$S$2)&lt;設定!$I$29,設定!$G$10,設定!$G$9)))</f>
        <v/>
      </c>
    </row>
    <row r="65" customFormat="false" ht="21" hidden="false" customHeight="true" outlineLevel="0" collapsed="false">
      <c r="A65" s="91" t="str">
        <f aca="false">IF(名簿!$D65="","",名簿!$B65&amp;"")</f>
        <v/>
      </c>
      <c r="B65" s="91" t="str">
        <f aca="false">IF(名簿!$D65="","",名簿!$C65)</f>
        <v/>
      </c>
      <c r="C65" s="59" t="str">
        <f aca="false">IF(名簿!$D65="","",名簿!$D65&amp;IF(名簿!$F65="転出","（転出）",""))</f>
        <v/>
      </c>
      <c r="D65" s="149"/>
      <c r="E65" s="61" t="str">
        <f aca="false">IF(OR($C65="",名簿!$F65="転出"),"",IF($C$2="学級ごと",$A65,IF($C$2="前の単元と同じ",単元19!$E65&amp;"",$D65&amp;"")))</f>
        <v/>
      </c>
      <c r="F65" s="150"/>
      <c r="G65" s="150"/>
      <c r="H65" s="150"/>
      <c r="I65" s="151"/>
      <c r="J65" s="41" t="str">
        <f aca="false">IF($E65="","",$E65&amp;"|"&amp;COUNTIF($E$5:$E65,$E65))</f>
        <v/>
      </c>
      <c r="K65" s="40" t="str">
        <f aca="false">IF($I65="","",LEN($I65))</f>
        <v/>
      </c>
      <c r="L65" s="13"/>
      <c r="M65" s="13"/>
      <c r="N65" s="13"/>
      <c r="O65" s="13"/>
      <c r="P65" s="152"/>
      <c r="Q65" s="149"/>
      <c r="R65" s="152"/>
      <c r="S65" s="152"/>
      <c r="T65" s="62" t="str">
        <f aca="false">IF(OR($C65="",R65=""),"",IF(R65/IF($R$2="",100,$R$2)&gt;=設定!$I$28,設定!$G$8,IF(R65/IF($R$2="",100,$R$2)&lt;設定!$I$29,設定!$G$10,設定!$G$9)))</f>
        <v/>
      </c>
      <c r="U65" s="62" t="str">
        <f aca="false">IF(OR($C65="",S65=""),"",IF(S65/IF($S$2="",100,$S$2)&gt;=設定!$I$28,設定!$G$8,IF(S65/IF($S$2="",100,$S$2)&lt;設定!$I$29,設定!$G$10,設定!$G$9)))</f>
        <v/>
      </c>
    </row>
    <row r="66" customFormat="false" ht="21" hidden="false" customHeight="true" outlineLevel="0" collapsed="false">
      <c r="A66" s="91" t="str">
        <f aca="false">IF(名簿!$D66="","",名簿!$B66&amp;"")</f>
        <v/>
      </c>
      <c r="B66" s="91" t="str">
        <f aca="false">IF(名簿!$D66="","",名簿!$C66)</f>
        <v/>
      </c>
      <c r="C66" s="59" t="str">
        <f aca="false">IF(名簿!$D66="","",名簿!$D66&amp;IF(名簿!$F66="転出","（転出）",""))</f>
        <v/>
      </c>
      <c r="D66" s="149"/>
      <c r="E66" s="61" t="str">
        <f aca="false">IF(OR($C66="",名簿!$F66="転出"),"",IF($C$2="学級ごと",$A66,IF($C$2="前の単元と同じ",単元19!$E66&amp;"",$D66&amp;"")))</f>
        <v/>
      </c>
      <c r="F66" s="150"/>
      <c r="G66" s="150"/>
      <c r="H66" s="150"/>
      <c r="I66" s="151"/>
      <c r="J66" s="41" t="str">
        <f aca="false">IF($E66="","",$E66&amp;"|"&amp;COUNTIF($E$5:$E66,$E66))</f>
        <v/>
      </c>
      <c r="K66" s="40" t="str">
        <f aca="false">IF($I66="","",LEN($I66))</f>
        <v/>
      </c>
      <c r="L66" s="13"/>
      <c r="M66" s="13"/>
      <c r="N66" s="13"/>
      <c r="O66" s="13"/>
      <c r="P66" s="152"/>
      <c r="Q66" s="149"/>
      <c r="R66" s="152"/>
      <c r="S66" s="152"/>
      <c r="T66" s="62" t="str">
        <f aca="false">IF(OR($C66="",R66=""),"",IF(R66/IF($R$2="",100,$R$2)&gt;=設定!$I$28,設定!$G$8,IF(R66/IF($R$2="",100,$R$2)&lt;設定!$I$29,設定!$G$10,設定!$G$9)))</f>
        <v/>
      </c>
      <c r="U66" s="62" t="str">
        <f aca="false">IF(OR($C66="",S66=""),"",IF(S66/IF($S$2="",100,$S$2)&gt;=設定!$I$28,設定!$G$8,IF(S66/IF($S$2="",100,$S$2)&lt;設定!$I$29,設定!$G$10,設定!$G$9)))</f>
        <v/>
      </c>
    </row>
    <row r="67" customFormat="false" ht="21" hidden="false" customHeight="true" outlineLevel="0" collapsed="false">
      <c r="A67" s="91" t="str">
        <f aca="false">IF(名簿!$D67="","",名簿!$B67&amp;"")</f>
        <v/>
      </c>
      <c r="B67" s="91" t="str">
        <f aca="false">IF(名簿!$D67="","",名簿!$C67)</f>
        <v/>
      </c>
      <c r="C67" s="59" t="str">
        <f aca="false">IF(名簿!$D67="","",名簿!$D67&amp;IF(名簿!$F67="転出","（転出）",""))</f>
        <v/>
      </c>
      <c r="D67" s="149"/>
      <c r="E67" s="61" t="str">
        <f aca="false">IF(OR($C67="",名簿!$F67="転出"),"",IF($C$2="学級ごと",$A67,IF($C$2="前の単元と同じ",単元19!$E67&amp;"",$D67&amp;"")))</f>
        <v/>
      </c>
      <c r="F67" s="150"/>
      <c r="G67" s="150"/>
      <c r="H67" s="150"/>
      <c r="I67" s="151"/>
      <c r="J67" s="41" t="str">
        <f aca="false">IF($E67="","",$E67&amp;"|"&amp;COUNTIF($E$5:$E67,$E67))</f>
        <v/>
      </c>
      <c r="K67" s="40" t="str">
        <f aca="false">IF($I67="","",LEN($I67))</f>
        <v/>
      </c>
      <c r="L67" s="13"/>
      <c r="M67" s="13"/>
      <c r="N67" s="13"/>
      <c r="O67" s="13"/>
      <c r="P67" s="152"/>
      <c r="Q67" s="149"/>
      <c r="R67" s="152"/>
      <c r="S67" s="152"/>
      <c r="T67" s="62" t="str">
        <f aca="false">IF(OR($C67="",R67=""),"",IF(R67/IF($R$2="",100,$R$2)&gt;=設定!$I$28,設定!$G$8,IF(R67/IF($R$2="",100,$R$2)&lt;設定!$I$29,設定!$G$10,設定!$G$9)))</f>
        <v/>
      </c>
      <c r="U67" s="62" t="str">
        <f aca="false">IF(OR($C67="",S67=""),"",IF(S67/IF($S$2="",100,$S$2)&gt;=設定!$I$28,設定!$G$8,IF(S67/IF($S$2="",100,$S$2)&lt;設定!$I$29,設定!$G$10,設定!$G$9)))</f>
        <v/>
      </c>
    </row>
    <row r="68" customFormat="false" ht="21" hidden="false" customHeight="true" outlineLevel="0" collapsed="false">
      <c r="A68" s="91" t="str">
        <f aca="false">IF(名簿!$D68="","",名簿!$B68&amp;"")</f>
        <v/>
      </c>
      <c r="B68" s="91" t="str">
        <f aca="false">IF(名簿!$D68="","",名簿!$C68)</f>
        <v/>
      </c>
      <c r="C68" s="59" t="str">
        <f aca="false">IF(名簿!$D68="","",名簿!$D68&amp;IF(名簿!$F68="転出","（転出）",""))</f>
        <v/>
      </c>
      <c r="D68" s="149"/>
      <c r="E68" s="61" t="str">
        <f aca="false">IF(OR($C68="",名簿!$F68="転出"),"",IF($C$2="学級ごと",$A68,IF($C$2="前の単元と同じ",単元19!$E68&amp;"",$D68&amp;"")))</f>
        <v/>
      </c>
      <c r="F68" s="150"/>
      <c r="G68" s="150"/>
      <c r="H68" s="150"/>
      <c r="I68" s="151"/>
      <c r="J68" s="41" t="str">
        <f aca="false">IF($E68="","",$E68&amp;"|"&amp;COUNTIF($E$5:$E68,$E68))</f>
        <v/>
      </c>
      <c r="K68" s="40" t="str">
        <f aca="false">IF($I68="","",LEN($I68))</f>
        <v/>
      </c>
      <c r="L68" s="13"/>
      <c r="M68" s="13"/>
      <c r="N68" s="13"/>
      <c r="O68" s="13"/>
      <c r="P68" s="152"/>
      <c r="Q68" s="149"/>
      <c r="R68" s="152"/>
      <c r="S68" s="152"/>
      <c r="T68" s="62" t="str">
        <f aca="false">IF(OR($C68="",R68=""),"",IF(R68/IF($R$2="",100,$R$2)&gt;=設定!$I$28,設定!$G$8,IF(R68/IF($R$2="",100,$R$2)&lt;設定!$I$29,設定!$G$10,設定!$G$9)))</f>
        <v/>
      </c>
      <c r="U68" s="62" t="str">
        <f aca="false">IF(OR($C68="",S68=""),"",IF(S68/IF($S$2="",100,$S$2)&gt;=設定!$I$28,設定!$G$8,IF(S68/IF($S$2="",100,$S$2)&lt;設定!$I$29,設定!$G$10,設定!$G$9)))</f>
        <v/>
      </c>
    </row>
    <row r="69" customFormat="false" ht="21" hidden="false" customHeight="true" outlineLevel="0" collapsed="false">
      <c r="A69" s="91" t="str">
        <f aca="false">IF(名簿!$D69="","",名簿!$B69&amp;"")</f>
        <v/>
      </c>
      <c r="B69" s="91" t="str">
        <f aca="false">IF(名簿!$D69="","",名簿!$C69)</f>
        <v/>
      </c>
      <c r="C69" s="59" t="str">
        <f aca="false">IF(名簿!$D69="","",名簿!$D69&amp;IF(名簿!$F69="転出","（転出）",""))</f>
        <v/>
      </c>
      <c r="D69" s="149"/>
      <c r="E69" s="61" t="str">
        <f aca="false">IF(OR($C69="",名簿!$F69="転出"),"",IF($C$2="学級ごと",$A69,IF($C$2="前の単元と同じ",単元19!$E69&amp;"",$D69&amp;"")))</f>
        <v/>
      </c>
      <c r="F69" s="150"/>
      <c r="G69" s="150"/>
      <c r="H69" s="150"/>
      <c r="I69" s="151"/>
      <c r="J69" s="41" t="str">
        <f aca="false">IF($E69="","",$E69&amp;"|"&amp;COUNTIF($E$5:$E69,$E69))</f>
        <v/>
      </c>
      <c r="K69" s="40" t="str">
        <f aca="false">IF($I69="","",LEN($I69))</f>
        <v/>
      </c>
      <c r="L69" s="13"/>
      <c r="M69" s="13"/>
      <c r="N69" s="13"/>
      <c r="O69" s="13"/>
      <c r="P69" s="152"/>
      <c r="Q69" s="149"/>
      <c r="R69" s="152"/>
      <c r="S69" s="152"/>
      <c r="T69" s="62" t="str">
        <f aca="false">IF(OR($C69="",R69=""),"",IF(R69/IF($R$2="",100,$R$2)&gt;=設定!$I$28,設定!$G$8,IF(R69/IF($R$2="",100,$R$2)&lt;設定!$I$29,設定!$G$10,設定!$G$9)))</f>
        <v/>
      </c>
      <c r="U69" s="62" t="str">
        <f aca="false">IF(OR($C69="",S69=""),"",IF(S69/IF($S$2="",100,$S$2)&gt;=設定!$I$28,設定!$G$8,IF(S69/IF($S$2="",100,$S$2)&lt;設定!$I$29,設定!$G$10,設定!$G$9)))</f>
        <v/>
      </c>
    </row>
    <row r="70" customFormat="false" ht="21" hidden="false" customHeight="true" outlineLevel="0" collapsed="false">
      <c r="A70" s="91" t="str">
        <f aca="false">IF(名簿!$D70="","",名簿!$B70&amp;"")</f>
        <v/>
      </c>
      <c r="B70" s="91" t="str">
        <f aca="false">IF(名簿!$D70="","",名簿!$C70)</f>
        <v/>
      </c>
      <c r="C70" s="59" t="str">
        <f aca="false">IF(名簿!$D70="","",名簿!$D70&amp;IF(名簿!$F70="転出","（転出）",""))</f>
        <v/>
      </c>
      <c r="D70" s="149"/>
      <c r="E70" s="61" t="str">
        <f aca="false">IF(OR($C70="",名簿!$F70="転出"),"",IF($C$2="学級ごと",$A70,IF($C$2="前の単元と同じ",単元19!$E70&amp;"",$D70&amp;"")))</f>
        <v/>
      </c>
      <c r="F70" s="150"/>
      <c r="G70" s="150"/>
      <c r="H70" s="150"/>
      <c r="I70" s="151"/>
      <c r="J70" s="41" t="str">
        <f aca="false">IF($E70="","",$E70&amp;"|"&amp;COUNTIF($E$5:$E70,$E70))</f>
        <v/>
      </c>
      <c r="K70" s="40" t="str">
        <f aca="false">IF($I70="","",LEN($I70))</f>
        <v/>
      </c>
      <c r="L70" s="13"/>
      <c r="M70" s="13"/>
      <c r="N70" s="13"/>
      <c r="O70" s="13"/>
      <c r="P70" s="152"/>
      <c r="Q70" s="149"/>
      <c r="R70" s="152"/>
      <c r="S70" s="152"/>
      <c r="T70" s="62" t="str">
        <f aca="false">IF(OR($C70="",R70=""),"",IF(R70/IF($R$2="",100,$R$2)&gt;=設定!$I$28,設定!$G$8,IF(R70/IF($R$2="",100,$R$2)&lt;設定!$I$29,設定!$G$10,設定!$G$9)))</f>
        <v/>
      </c>
      <c r="U70" s="62" t="str">
        <f aca="false">IF(OR($C70="",S70=""),"",IF(S70/IF($S$2="",100,$S$2)&gt;=設定!$I$28,設定!$G$8,IF(S70/IF($S$2="",100,$S$2)&lt;設定!$I$29,設定!$G$10,設定!$G$9)))</f>
        <v/>
      </c>
    </row>
    <row r="71" customFormat="false" ht="21" hidden="false" customHeight="true" outlineLevel="0" collapsed="false">
      <c r="A71" s="91" t="str">
        <f aca="false">IF(名簿!$D71="","",名簿!$B71&amp;"")</f>
        <v/>
      </c>
      <c r="B71" s="91" t="str">
        <f aca="false">IF(名簿!$D71="","",名簿!$C71)</f>
        <v/>
      </c>
      <c r="C71" s="59" t="str">
        <f aca="false">IF(名簿!$D71="","",名簿!$D71&amp;IF(名簿!$F71="転出","（転出）",""))</f>
        <v/>
      </c>
      <c r="D71" s="149"/>
      <c r="E71" s="61" t="str">
        <f aca="false">IF(OR($C71="",名簿!$F71="転出"),"",IF($C$2="学級ごと",$A71,IF($C$2="前の単元と同じ",単元19!$E71&amp;"",$D71&amp;"")))</f>
        <v/>
      </c>
      <c r="F71" s="150"/>
      <c r="G71" s="150"/>
      <c r="H71" s="150"/>
      <c r="I71" s="151"/>
      <c r="J71" s="41" t="str">
        <f aca="false">IF($E71="","",$E71&amp;"|"&amp;COUNTIF($E$5:$E71,$E71))</f>
        <v/>
      </c>
      <c r="K71" s="40" t="str">
        <f aca="false">IF($I71="","",LEN($I71))</f>
        <v/>
      </c>
      <c r="L71" s="13"/>
      <c r="M71" s="13"/>
      <c r="N71" s="13"/>
      <c r="O71" s="13"/>
      <c r="P71" s="152"/>
      <c r="Q71" s="149"/>
      <c r="R71" s="152"/>
      <c r="S71" s="152"/>
      <c r="T71" s="62" t="str">
        <f aca="false">IF(OR($C71="",R71=""),"",IF(R71/IF($R$2="",100,$R$2)&gt;=設定!$I$28,設定!$G$8,IF(R71/IF($R$2="",100,$R$2)&lt;設定!$I$29,設定!$G$10,設定!$G$9)))</f>
        <v/>
      </c>
      <c r="U71" s="62" t="str">
        <f aca="false">IF(OR($C71="",S71=""),"",IF(S71/IF($S$2="",100,$S$2)&gt;=設定!$I$28,設定!$G$8,IF(S71/IF($S$2="",100,$S$2)&lt;設定!$I$29,設定!$G$10,設定!$G$9)))</f>
        <v/>
      </c>
    </row>
    <row r="72" customFormat="false" ht="21" hidden="false" customHeight="true" outlineLevel="0" collapsed="false">
      <c r="A72" s="91" t="str">
        <f aca="false">IF(名簿!$D72="","",名簿!$B72&amp;"")</f>
        <v/>
      </c>
      <c r="B72" s="91" t="str">
        <f aca="false">IF(名簿!$D72="","",名簿!$C72)</f>
        <v/>
      </c>
      <c r="C72" s="59" t="str">
        <f aca="false">IF(名簿!$D72="","",名簿!$D72&amp;IF(名簿!$F72="転出","（転出）",""))</f>
        <v/>
      </c>
      <c r="D72" s="149"/>
      <c r="E72" s="61" t="str">
        <f aca="false">IF(OR($C72="",名簿!$F72="転出"),"",IF($C$2="学級ごと",$A72,IF($C$2="前の単元と同じ",単元19!$E72&amp;"",$D72&amp;"")))</f>
        <v/>
      </c>
      <c r="F72" s="150"/>
      <c r="G72" s="150"/>
      <c r="H72" s="150"/>
      <c r="I72" s="151"/>
      <c r="J72" s="41" t="str">
        <f aca="false">IF($E72="","",$E72&amp;"|"&amp;COUNTIF($E$5:$E72,$E72))</f>
        <v/>
      </c>
      <c r="K72" s="40" t="str">
        <f aca="false">IF($I72="","",LEN($I72))</f>
        <v/>
      </c>
      <c r="L72" s="13"/>
      <c r="M72" s="13"/>
      <c r="N72" s="13"/>
      <c r="O72" s="13"/>
      <c r="P72" s="152"/>
      <c r="Q72" s="149"/>
      <c r="R72" s="152"/>
      <c r="S72" s="152"/>
      <c r="T72" s="62" t="str">
        <f aca="false">IF(OR($C72="",R72=""),"",IF(R72/IF($R$2="",100,$R$2)&gt;=設定!$I$28,設定!$G$8,IF(R72/IF($R$2="",100,$R$2)&lt;設定!$I$29,設定!$G$10,設定!$G$9)))</f>
        <v/>
      </c>
      <c r="U72" s="62" t="str">
        <f aca="false">IF(OR($C72="",S72=""),"",IF(S72/IF($S$2="",100,$S$2)&gt;=設定!$I$28,設定!$G$8,IF(S72/IF($S$2="",100,$S$2)&lt;設定!$I$29,設定!$G$10,設定!$G$9)))</f>
        <v/>
      </c>
    </row>
    <row r="73" customFormat="false" ht="21" hidden="false" customHeight="true" outlineLevel="0" collapsed="false">
      <c r="A73" s="91" t="str">
        <f aca="false">IF(名簿!$D73="","",名簿!$B73&amp;"")</f>
        <v/>
      </c>
      <c r="B73" s="91" t="str">
        <f aca="false">IF(名簿!$D73="","",名簿!$C73)</f>
        <v/>
      </c>
      <c r="C73" s="59" t="str">
        <f aca="false">IF(名簿!$D73="","",名簿!$D73&amp;IF(名簿!$F73="転出","（転出）",""))</f>
        <v/>
      </c>
      <c r="D73" s="149"/>
      <c r="E73" s="61" t="str">
        <f aca="false">IF(OR($C73="",名簿!$F73="転出"),"",IF($C$2="学級ごと",$A73,IF($C$2="前の単元と同じ",単元19!$E73&amp;"",$D73&amp;"")))</f>
        <v/>
      </c>
      <c r="F73" s="150"/>
      <c r="G73" s="150"/>
      <c r="H73" s="150"/>
      <c r="I73" s="151"/>
      <c r="J73" s="41" t="str">
        <f aca="false">IF($E73="","",$E73&amp;"|"&amp;COUNTIF($E$5:$E73,$E73))</f>
        <v/>
      </c>
      <c r="K73" s="40" t="str">
        <f aca="false">IF($I73="","",LEN($I73))</f>
        <v/>
      </c>
      <c r="L73" s="13"/>
      <c r="M73" s="13"/>
      <c r="N73" s="13"/>
      <c r="O73" s="13"/>
      <c r="P73" s="152"/>
      <c r="Q73" s="149"/>
      <c r="R73" s="152"/>
      <c r="S73" s="152"/>
      <c r="T73" s="62" t="str">
        <f aca="false">IF(OR($C73="",R73=""),"",IF(R73/IF($R$2="",100,$R$2)&gt;=設定!$I$28,設定!$G$8,IF(R73/IF($R$2="",100,$R$2)&lt;設定!$I$29,設定!$G$10,設定!$G$9)))</f>
        <v/>
      </c>
      <c r="U73" s="62" t="str">
        <f aca="false">IF(OR($C73="",S73=""),"",IF(S73/IF($S$2="",100,$S$2)&gt;=設定!$I$28,設定!$G$8,IF(S73/IF($S$2="",100,$S$2)&lt;設定!$I$29,設定!$G$10,設定!$G$9)))</f>
        <v/>
      </c>
    </row>
    <row r="74" customFormat="false" ht="21" hidden="false" customHeight="true" outlineLevel="0" collapsed="false">
      <c r="A74" s="91" t="str">
        <f aca="false">IF(名簿!$D74="","",名簿!$B74&amp;"")</f>
        <v/>
      </c>
      <c r="B74" s="91" t="str">
        <f aca="false">IF(名簿!$D74="","",名簿!$C74)</f>
        <v/>
      </c>
      <c r="C74" s="59" t="str">
        <f aca="false">IF(名簿!$D74="","",名簿!$D74&amp;IF(名簿!$F74="転出","（転出）",""))</f>
        <v/>
      </c>
      <c r="D74" s="149"/>
      <c r="E74" s="61" t="str">
        <f aca="false">IF(OR($C74="",名簿!$F74="転出"),"",IF($C$2="学級ごと",$A74,IF($C$2="前の単元と同じ",単元19!$E74&amp;"",$D74&amp;"")))</f>
        <v/>
      </c>
      <c r="F74" s="150"/>
      <c r="G74" s="150"/>
      <c r="H74" s="150"/>
      <c r="I74" s="151"/>
      <c r="J74" s="41" t="str">
        <f aca="false">IF($E74="","",$E74&amp;"|"&amp;COUNTIF($E$5:$E74,$E74))</f>
        <v/>
      </c>
      <c r="K74" s="40" t="str">
        <f aca="false">IF($I74="","",LEN($I74))</f>
        <v/>
      </c>
      <c r="L74" s="13"/>
      <c r="M74" s="13"/>
      <c r="N74" s="13"/>
      <c r="O74" s="13"/>
      <c r="P74" s="152"/>
      <c r="Q74" s="149"/>
      <c r="R74" s="152"/>
      <c r="S74" s="152"/>
      <c r="T74" s="62" t="str">
        <f aca="false">IF(OR($C74="",R74=""),"",IF(R74/IF($R$2="",100,$R$2)&gt;=設定!$I$28,設定!$G$8,IF(R74/IF($R$2="",100,$R$2)&lt;設定!$I$29,設定!$G$10,設定!$G$9)))</f>
        <v/>
      </c>
      <c r="U74" s="62" t="str">
        <f aca="false">IF(OR($C74="",S74=""),"",IF(S74/IF($S$2="",100,$S$2)&gt;=設定!$I$28,設定!$G$8,IF(S74/IF($S$2="",100,$S$2)&lt;設定!$I$29,設定!$G$10,設定!$G$9)))</f>
        <v/>
      </c>
    </row>
    <row r="75" customFormat="false" ht="21" hidden="false" customHeight="true" outlineLevel="0" collapsed="false">
      <c r="A75" s="91" t="str">
        <f aca="false">IF(名簿!$D75="","",名簿!$B75&amp;"")</f>
        <v/>
      </c>
      <c r="B75" s="91" t="str">
        <f aca="false">IF(名簿!$D75="","",名簿!$C75)</f>
        <v/>
      </c>
      <c r="C75" s="59" t="str">
        <f aca="false">IF(名簿!$D75="","",名簿!$D75&amp;IF(名簿!$F75="転出","（転出）",""))</f>
        <v/>
      </c>
      <c r="D75" s="149"/>
      <c r="E75" s="61" t="str">
        <f aca="false">IF(OR($C75="",名簿!$F75="転出"),"",IF($C$2="学級ごと",$A75,IF($C$2="前の単元と同じ",単元19!$E75&amp;"",$D75&amp;"")))</f>
        <v/>
      </c>
      <c r="F75" s="150"/>
      <c r="G75" s="150"/>
      <c r="H75" s="150"/>
      <c r="I75" s="151"/>
      <c r="J75" s="41" t="str">
        <f aca="false">IF($E75="","",$E75&amp;"|"&amp;COUNTIF($E$5:$E75,$E75))</f>
        <v/>
      </c>
      <c r="K75" s="40" t="str">
        <f aca="false">IF($I75="","",LEN($I75))</f>
        <v/>
      </c>
      <c r="L75" s="13"/>
      <c r="M75" s="13"/>
      <c r="N75" s="13"/>
      <c r="O75" s="13"/>
      <c r="P75" s="152"/>
      <c r="Q75" s="149"/>
      <c r="R75" s="152"/>
      <c r="S75" s="152"/>
      <c r="T75" s="62" t="str">
        <f aca="false">IF(OR($C75="",R75=""),"",IF(R75/IF($R$2="",100,$R$2)&gt;=設定!$I$28,設定!$G$8,IF(R75/IF($R$2="",100,$R$2)&lt;設定!$I$29,設定!$G$10,設定!$G$9)))</f>
        <v/>
      </c>
      <c r="U75" s="62" t="str">
        <f aca="false">IF(OR($C75="",S75=""),"",IF(S75/IF($S$2="",100,$S$2)&gt;=設定!$I$28,設定!$G$8,IF(S75/IF($S$2="",100,$S$2)&lt;設定!$I$29,設定!$G$10,設定!$G$9)))</f>
        <v/>
      </c>
    </row>
    <row r="76" customFormat="false" ht="21" hidden="false" customHeight="true" outlineLevel="0" collapsed="false">
      <c r="A76" s="91" t="str">
        <f aca="false">IF(名簿!$D76="","",名簿!$B76&amp;"")</f>
        <v/>
      </c>
      <c r="B76" s="91" t="str">
        <f aca="false">IF(名簿!$D76="","",名簿!$C76)</f>
        <v/>
      </c>
      <c r="C76" s="59" t="str">
        <f aca="false">IF(名簿!$D76="","",名簿!$D76&amp;IF(名簿!$F76="転出","（転出）",""))</f>
        <v/>
      </c>
      <c r="D76" s="149"/>
      <c r="E76" s="61" t="str">
        <f aca="false">IF(OR($C76="",名簿!$F76="転出"),"",IF($C$2="学級ごと",$A76,IF($C$2="前の単元と同じ",単元19!$E76&amp;"",$D76&amp;"")))</f>
        <v/>
      </c>
      <c r="F76" s="150"/>
      <c r="G76" s="150"/>
      <c r="H76" s="150"/>
      <c r="I76" s="151"/>
      <c r="J76" s="41" t="str">
        <f aca="false">IF($E76="","",$E76&amp;"|"&amp;COUNTIF($E$5:$E76,$E76))</f>
        <v/>
      </c>
      <c r="K76" s="40" t="str">
        <f aca="false">IF($I76="","",LEN($I76))</f>
        <v/>
      </c>
      <c r="L76" s="13"/>
      <c r="M76" s="13"/>
      <c r="N76" s="13"/>
      <c r="O76" s="13"/>
      <c r="P76" s="152"/>
      <c r="Q76" s="149"/>
      <c r="R76" s="152"/>
      <c r="S76" s="152"/>
      <c r="T76" s="62" t="str">
        <f aca="false">IF(OR($C76="",R76=""),"",IF(R76/IF($R$2="",100,$R$2)&gt;=設定!$I$28,設定!$G$8,IF(R76/IF($R$2="",100,$R$2)&lt;設定!$I$29,設定!$G$10,設定!$G$9)))</f>
        <v/>
      </c>
      <c r="U76" s="62" t="str">
        <f aca="false">IF(OR($C76="",S76=""),"",IF(S76/IF($S$2="",100,$S$2)&gt;=設定!$I$28,設定!$G$8,IF(S76/IF($S$2="",100,$S$2)&lt;設定!$I$29,設定!$G$10,設定!$G$9)))</f>
        <v/>
      </c>
    </row>
    <row r="77" customFormat="false" ht="21" hidden="false" customHeight="true" outlineLevel="0" collapsed="false">
      <c r="A77" s="91" t="str">
        <f aca="false">IF(名簿!$D77="","",名簿!$B77&amp;"")</f>
        <v/>
      </c>
      <c r="B77" s="91" t="str">
        <f aca="false">IF(名簿!$D77="","",名簿!$C77)</f>
        <v/>
      </c>
      <c r="C77" s="59" t="str">
        <f aca="false">IF(名簿!$D77="","",名簿!$D77&amp;IF(名簿!$F77="転出","（転出）",""))</f>
        <v/>
      </c>
      <c r="D77" s="149"/>
      <c r="E77" s="61" t="str">
        <f aca="false">IF(OR($C77="",名簿!$F77="転出"),"",IF($C$2="学級ごと",$A77,IF($C$2="前の単元と同じ",単元19!$E77&amp;"",$D77&amp;"")))</f>
        <v/>
      </c>
      <c r="F77" s="150"/>
      <c r="G77" s="150"/>
      <c r="H77" s="150"/>
      <c r="I77" s="151"/>
      <c r="J77" s="41" t="str">
        <f aca="false">IF($E77="","",$E77&amp;"|"&amp;COUNTIF($E$5:$E77,$E77))</f>
        <v/>
      </c>
      <c r="K77" s="40" t="str">
        <f aca="false">IF($I77="","",LEN($I77))</f>
        <v/>
      </c>
      <c r="L77" s="13"/>
      <c r="M77" s="13"/>
      <c r="N77" s="13"/>
      <c r="O77" s="13"/>
      <c r="P77" s="152"/>
      <c r="Q77" s="149"/>
      <c r="R77" s="152"/>
      <c r="S77" s="152"/>
      <c r="T77" s="62" t="str">
        <f aca="false">IF(OR($C77="",R77=""),"",IF(R77/IF($R$2="",100,$R$2)&gt;=設定!$I$28,設定!$G$8,IF(R77/IF($R$2="",100,$R$2)&lt;設定!$I$29,設定!$G$10,設定!$G$9)))</f>
        <v/>
      </c>
      <c r="U77" s="62" t="str">
        <f aca="false">IF(OR($C77="",S77=""),"",IF(S77/IF($S$2="",100,$S$2)&gt;=設定!$I$28,設定!$G$8,IF(S77/IF($S$2="",100,$S$2)&lt;設定!$I$29,設定!$G$10,設定!$G$9)))</f>
        <v/>
      </c>
    </row>
    <row r="78" customFormat="false" ht="21" hidden="false" customHeight="true" outlineLevel="0" collapsed="false">
      <c r="A78" s="91" t="str">
        <f aca="false">IF(名簿!$D78="","",名簿!$B78&amp;"")</f>
        <v/>
      </c>
      <c r="B78" s="91" t="str">
        <f aca="false">IF(名簿!$D78="","",名簿!$C78)</f>
        <v/>
      </c>
      <c r="C78" s="59" t="str">
        <f aca="false">IF(名簿!$D78="","",名簿!$D78&amp;IF(名簿!$F78="転出","（転出）",""))</f>
        <v/>
      </c>
      <c r="D78" s="149"/>
      <c r="E78" s="61" t="str">
        <f aca="false">IF(OR($C78="",名簿!$F78="転出"),"",IF($C$2="学級ごと",$A78,IF($C$2="前の単元と同じ",単元19!$E78&amp;"",$D78&amp;"")))</f>
        <v/>
      </c>
      <c r="F78" s="150"/>
      <c r="G78" s="150"/>
      <c r="H78" s="150"/>
      <c r="I78" s="151"/>
      <c r="J78" s="41" t="str">
        <f aca="false">IF($E78="","",$E78&amp;"|"&amp;COUNTIF($E$5:$E78,$E78))</f>
        <v/>
      </c>
      <c r="K78" s="40" t="str">
        <f aca="false">IF($I78="","",LEN($I78))</f>
        <v/>
      </c>
      <c r="L78" s="13"/>
      <c r="M78" s="13"/>
      <c r="N78" s="13"/>
      <c r="O78" s="13"/>
      <c r="P78" s="152"/>
      <c r="Q78" s="149"/>
      <c r="R78" s="152"/>
      <c r="S78" s="152"/>
      <c r="T78" s="62" t="str">
        <f aca="false">IF(OR($C78="",R78=""),"",IF(R78/IF($R$2="",100,$R$2)&gt;=設定!$I$28,設定!$G$8,IF(R78/IF($R$2="",100,$R$2)&lt;設定!$I$29,設定!$G$10,設定!$G$9)))</f>
        <v/>
      </c>
      <c r="U78" s="62" t="str">
        <f aca="false">IF(OR($C78="",S78=""),"",IF(S78/IF($S$2="",100,$S$2)&gt;=設定!$I$28,設定!$G$8,IF(S78/IF($S$2="",100,$S$2)&lt;設定!$I$29,設定!$G$10,設定!$G$9)))</f>
        <v/>
      </c>
    </row>
    <row r="79" customFormat="false" ht="21" hidden="false" customHeight="true" outlineLevel="0" collapsed="false">
      <c r="A79" s="91" t="str">
        <f aca="false">IF(名簿!$D79="","",名簿!$B79&amp;"")</f>
        <v/>
      </c>
      <c r="B79" s="91" t="str">
        <f aca="false">IF(名簿!$D79="","",名簿!$C79)</f>
        <v/>
      </c>
      <c r="C79" s="59" t="str">
        <f aca="false">IF(名簿!$D79="","",名簿!$D79&amp;IF(名簿!$F79="転出","（転出）",""))</f>
        <v/>
      </c>
      <c r="D79" s="149"/>
      <c r="E79" s="61" t="str">
        <f aca="false">IF(OR($C79="",名簿!$F79="転出"),"",IF($C$2="学級ごと",$A79,IF($C$2="前の単元と同じ",単元19!$E79&amp;"",$D79&amp;"")))</f>
        <v/>
      </c>
      <c r="F79" s="150"/>
      <c r="G79" s="150"/>
      <c r="H79" s="150"/>
      <c r="I79" s="151"/>
      <c r="J79" s="41" t="str">
        <f aca="false">IF($E79="","",$E79&amp;"|"&amp;COUNTIF($E$5:$E79,$E79))</f>
        <v/>
      </c>
      <c r="K79" s="40" t="str">
        <f aca="false">IF($I79="","",LEN($I79))</f>
        <v/>
      </c>
      <c r="L79" s="13"/>
      <c r="M79" s="13"/>
      <c r="N79" s="13"/>
      <c r="O79" s="13"/>
      <c r="P79" s="152"/>
      <c r="Q79" s="149"/>
      <c r="R79" s="152"/>
      <c r="S79" s="152"/>
      <c r="T79" s="62" t="str">
        <f aca="false">IF(OR($C79="",R79=""),"",IF(R79/IF($R$2="",100,$R$2)&gt;=設定!$I$28,設定!$G$8,IF(R79/IF($R$2="",100,$R$2)&lt;設定!$I$29,設定!$G$10,設定!$G$9)))</f>
        <v/>
      </c>
      <c r="U79" s="62" t="str">
        <f aca="false">IF(OR($C79="",S79=""),"",IF(S79/IF($S$2="",100,$S$2)&gt;=設定!$I$28,設定!$G$8,IF(S79/IF($S$2="",100,$S$2)&lt;設定!$I$29,設定!$G$10,設定!$G$9)))</f>
        <v/>
      </c>
    </row>
    <row r="80" customFormat="false" ht="21" hidden="false" customHeight="true" outlineLevel="0" collapsed="false">
      <c r="A80" s="91" t="str">
        <f aca="false">IF(名簿!$D80="","",名簿!$B80&amp;"")</f>
        <v/>
      </c>
      <c r="B80" s="91" t="str">
        <f aca="false">IF(名簿!$D80="","",名簿!$C80)</f>
        <v/>
      </c>
      <c r="C80" s="59" t="str">
        <f aca="false">IF(名簿!$D80="","",名簿!$D80&amp;IF(名簿!$F80="転出","（転出）",""))</f>
        <v/>
      </c>
      <c r="D80" s="149"/>
      <c r="E80" s="61" t="str">
        <f aca="false">IF(OR($C80="",名簿!$F80="転出"),"",IF($C$2="学級ごと",$A80,IF($C$2="前の単元と同じ",単元19!$E80&amp;"",$D80&amp;"")))</f>
        <v/>
      </c>
      <c r="F80" s="150"/>
      <c r="G80" s="150"/>
      <c r="H80" s="150"/>
      <c r="I80" s="151"/>
      <c r="J80" s="41" t="str">
        <f aca="false">IF($E80="","",$E80&amp;"|"&amp;COUNTIF($E$5:$E80,$E80))</f>
        <v/>
      </c>
      <c r="K80" s="40" t="str">
        <f aca="false">IF($I80="","",LEN($I80))</f>
        <v/>
      </c>
      <c r="L80" s="13"/>
      <c r="M80" s="13"/>
      <c r="N80" s="13"/>
      <c r="O80" s="13"/>
      <c r="P80" s="152"/>
      <c r="Q80" s="149"/>
      <c r="R80" s="152"/>
      <c r="S80" s="152"/>
      <c r="T80" s="62" t="str">
        <f aca="false">IF(OR($C80="",R80=""),"",IF(R80/IF($R$2="",100,$R$2)&gt;=設定!$I$28,設定!$G$8,IF(R80/IF($R$2="",100,$R$2)&lt;設定!$I$29,設定!$G$10,設定!$G$9)))</f>
        <v/>
      </c>
      <c r="U80" s="62" t="str">
        <f aca="false">IF(OR($C80="",S80=""),"",IF(S80/IF($S$2="",100,$S$2)&gt;=設定!$I$28,設定!$G$8,IF(S80/IF($S$2="",100,$S$2)&lt;設定!$I$29,設定!$G$10,設定!$G$9)))</f>
        <v/>
      </c>
    </row>
    <row r="81" customFormat="false" ht="21" hidden="false" customHeight="true" outlineLevel="0" collapsed="false">
      <c r="A81" s="91" t="str">
        <f aca="false">IF(名簿!$D81="","",名簿!$B81&amp;"")</f>
        <v/>
      </c>
      <c r="B81" s="91" t="str">
        <f aca="false">IF(名簿!$D81="","",名簿!$C81)</f>
        <v/>
      </c>
      <c r="C81" s="59" t="str">
        <f aca="false">IF(名簿!$D81="","",名簿!$D81&amp;IF(名簿!$F81="転出","（転出）",""))</f>
        <v/>
      </c>
      <c r="D81" s="149"/>
      <c r="E81" s="61" t="str">
        <f aca="false">IF(OR($C81="",名簿!$F81="転出"),"",IF($C$2="学級ごと",$A81,IF($C$2="前の単元と同じ",単元19!$E81&amp;"",$D81&amp;"")))</f>
        <v/>
      </c>
      <c r="F81" s="150"/>
      <c r="G81" s="150"/>
      <c r="H81" s="150"/>
      <c r="I81" s="151"/>
      <c r="J81" s="41" t="str">
        <f aca="false">IF($E81="","",$E81&amp;"|"&amp;COUNTIF($E$5:$E81,$E81))</f>
        <v/>
      </c>
      <c r="K81" s="40" t="str">
        <f aca="false">IF($I81="","",LEN($I81))</f>
        <v/>
      </c>
      <c r="L81" s="13"/>
      <c r="M81" s="13"/>
      <c r="N81" s="13"/>
      <c r="O81" s="13"/>
      <c r="P81" s="152"/>
      <c r="Q81" s="149"/>
      <c r="R81" s="152"/>
      <c r="S81" s="152"/>
      <c r="T81" s="62" t="str">
        <f aca="false">IF(OR($C81="",R81=""),"",IF(R81/IF($R$2="",100,$R$2)&gt;=設定!$I$28,設定!$G$8,IF(R81/IF($R$2="",100,$R$2)&lt;設定!$I$29,設定!$G$10,設定!$G$9)))</f>
        <v/>
      </c>
      <c r="U81" s="62" t="str">
        <f aca="false">IF(OR($C81="",S81=""),"",IF(S81/IF($S$2="",100,$S$2)&gt;=設定!$I$28,設定!$G$8,IF(S81/IF($S$2="",100,$S$2)&lt;設定!$I$29,設定!$G$10,設定!$G$9)))</f>
        <v/>
      </c>
    </row>
    <row r="82" customFormat="false" ht="21" hidden="false" customHeight="true" outlineLevel="0" collapsed="false">
      <c r="A82" s="91" t="str">
        <f aca="false">IF(名簿!$D82="","",名簿!$B82&amp;"")</f>
        <v/>
      </c>
      <c r="B82" s="91" t="str">
        <f aca="false">IF(名簿!$D82="","",名簿!$C82)</f>
        <v/>
      </c>
      <c r="C82" s="59" t="str">
        <f aca="false">IF(名簿!$D82="","",名簿!$D82&amp;IF(名簿!$F82="転出","（転出）",""))</f>
        <v/>
      </c>
      <c r="D82" s="149"/>
      <c r="E82" s="61" t="str">
        <f aca="false">IF(OR($C82="",名簿!$F82="転出"),"",IF($C$2="学級ごと",$A82,IF($C$2="前の単元と同じ",単元19!$E82&amp;"",$D82&amp;"")))</f>
        <v/>
      </c>
      <c r="F82" s="150"/>
      <c r="G82" s="150"/>
      <c r="H82" s="150"/>
      <c r="I82" s="151"/>
      <c r="J82" s="41" t="str">
        <f aca="false">IF($E82="","",$E82&amp;"|"&amp;COUNTIF($E$5:$E82,$E82))</f>
        <v/>
      </c>
      <c r="K82" s="40" t="str">
        <f aca="false">IF($I82="","",LEN($I82))</f>
        <v/>
      </c>
      <c r="L82" s="13"/>
      <c r="M82" s="13"/>
      <c r="N82" s="13"/>
      <c r="O82" s="13"/>
      <c r="P82" s="152"/>
      <c r="Q82" s="149"/>
      <c r="R82" s="152"/>
      <c r="S82" s="152"/>
      <c r="T82" s="62" t="str">
        <f aca="false">IF(OR($C82="",R82=""),"",IF(R82/IF($R$2="",100,$R$2)&gt;=設定!$I$28,設定!$G$8,IF(R82/IF($R$2="",100,$R$2)&lt;設定!$I$29,設定!$G$10,設定!$G$9)))</f>
        <v/>
      </c>
      <c r="U82" s="62" t="str">
        <f aca="false">IF(OR($C82="",S82=""),"",IF(S82/IF($S$2="",100,$S$2)&gt;=設定!$I$28,設定!$G$8,IF(S82/IF($S$2="",100,$S$2)&lt;設定!$I$29,設定!$G$10,設定!$G$9)))</f>
        <v/>
      </c>
    </row>
    <row r="83" customFormat="false" ht="21" hidden="false" customHeight="true" outlineLevel="0" collapsed="false">
      <c r="A83" s="91" t="str">
        <f aca="false">IF(名簿!$D83="","",名簿!$B83&amp;"")</f>
        <v/>
      </c>
      <c r="B83" s="91" t="str">
        <f aca="false">IF(名簿!$D83="","",名簿!$C83)</f>
        <v/>
      </c>
      <c r="C83" s="59" t="str">
        <f aca="false">IF(名簿!$D83="","",名簿!$D83&amp;IF(名簿!$F83="転出","（転出）",""))</f>
        <v/>
      </c>
      <c r="D83" s="149"/>
      <c r="E83" s="61" t="str">
        <f aca="false">IF(OR($C83="",名簿!$F83="転出"),"",IF($C$2="学級ごと",$A83,IF($C$2="前の単元と同じ",単元19!$E83&amp;"",$D83&amp;"")))</f>
        <v/>
      </c>
      <c r="F83" s="150"/>
      <c r="G83" s="150"/>
      <c r="H83" s="150"/>
      <c r="I83" s="151"/>
      <c r="J83" s="41" t="str">
        <f aca="false">IF($E83="","",$E83&amp;"|"&amp;COUNTIF($E$5:$E83,$E83))</f>
        <v/>
      </c>
      <c r="K83" s="40" t="str">
        <f aca="false">IF($I83="","",LEN($I83))</f>
        <v/>
      </c>
      <c r="L83" s="13"/>
      <c r="M83" s="13"/>
      <c r="N83" s="13"/>
      <c r="O83" s="13"/>
      <c r="P83" s="152"/>
      <c r="Q83" s="149"/>
      <c r="R83" s="152"/>
      <c r="S83" s="152"/>
      <c r="T83" s="62" t="str">
        <f aca="false">IF(OR($C83="",R83=""),"",IF(R83/IF($R$2="",100,$R$2)&gt;=設定!$I$28,設定!$G$8,IF(R83/IF($R$2="",100,$R$2)&lt;設定!$I$29,設定!$G$10,設定!$G$9)))</f>
        <v/>
      </c>
      <c r="U83" s="62" t="str">
        <f aca="false">IF(OR($C83="",S83=""),"",IF(S83/IF($S$2="",100,$S$2)&gt;=設定!$I$28,設定!$G$8,IF(S83/IF($S$2="",100,$S$2)&lt;設定!$I$29,設定!$G$10,設定!$G$9)))</f>
        <v/>
      </c>
    </row>
    <row r="84" customFormat="false" ht="21" hidden="false" customHeight="true" outlineLevel="0" collapsed="false">
      <c r="A84" s="91" t="str">
        <f aca="false">IF(名簿!$D84="","",名簿!$B84&amp;"")</f>
        <v/>
      </c>
      <c r="B84" s="91" t="str">
        <f aca="false">IF(名簿!$D84="","",名簿!$C84)</f>
        <v/>
      </c>
      <c r="C84" s="59" t="str">
        <f aca="false">IF(名簿!$D84="","",名簿!$D84&amp;IF(名簿!$F84="転出","（転出）",""))</f>
        <v/>
      </c>
      <c r="D84" s="149"/>
      <c r="E84" s="61" t="str">
        <f aca="false">IF(OR($C84="",名簿!$F84="転出"),"",IF($C$2="学級ごと",$A84,IF($C$2="前の単元と同じ",単元19!$E84&amp;"",$D84&amp;"")))</f>
        <v/>
      </c>
      <c r="F84" s="150"/>
      <c r="G84" s="150"/>
      <c r="H84" s="150"/>
      <c r="I84" s="151"/>
      <c r="J84" s="41" t="str">
        <f aca="false">IF($E84="","",$E84&amp;"|"&amp;COUNTIF($E$5:$E84,$E84))</f>
        <v/>
      </c>
      <c r="K84" s="40" t="str">
        <f aca="false">IF($I84="","",LEN($I84))</f>
        <v/>
      </c>
      <c r="L84" s="13"/>
      <c r="M84" s="13"/>
      <c r="N84" s="13"/>
      <c r="O84" s="13"/>
      <c r="P84" s="152"/>
      <c r="Q84" s="149"/>
      <c r="R84" s="152"/>
      <c r="S84" s="152"/>
      <c r="T84" s="62" t="str">
        <f aca="false">IF(OR($C84="",R84=""),"",IF(R84/IF($R$2="",100,$R$2)&gt;=設定!$I$28,設定!$G$8,IF(R84/IF($R$2="",100,$R$2)&lt;設定!$I$29,設定!$G$10,設定!$G$9)))</f>
        <v/>
      </c>
      <c r="U84" s="62" t="str">
        <f aca="false">IF(OR($C84="",S84=""),"",IF(S84/IF($S$2="",100,$S$2)&gt;=設定!$I$28,設定!$G$8,IF(S84/IF($S$2="",100,$S$2)&lt;設定!$I$29,設定!$G$10,設定!$G$9)))</f>
        <v/>
      </c>
    </row>
    <row r="85" customFormat="false" ht="21" hidden="false" customHeight="true" outlineLevel="0" collapsed="false">
      <c r="A85" s="91" t="str">
        <f aca="false">IF(名簿!$D85="","",名簿!$B85&amp;"")</f>
        <v/>
      </c>
      <c r="B85" s="91" t="str">
        <f aca="false">IF(名簿!$D85="","",名簿!$C85)</f>
        <v/>
      </c>
      <c r="C85" s="59" t="str">
        <f aca="false">IF(名簿!$D85="","",名簿!$D85&amp;IF(名簿!$F85="転出","（転出）",""))</f>
        <v/>
      </c>
      <c r="D85" s="149"/>
      <c r="E85" s="61" t="str">
        <f aca="false">IF(OR($C85="",名簿!$F85="転出"),"",IF($C$2="学級ごと",$A85,IF($C$2="前の単元と同じ",単元19!$E85&amp;"",$D85&amp;"")))</f>
        <v/>
      </c>
      <c r="F85" s="150"/>
      <c r="G85" s="150"/>
      <c r="H85" s="150"/>
      <c r="I85" s="151"/>
      <c r="J85" s="41" t="str">
        <f aca="false">IF($E85="","",$E85&amp;"|"&amp;COUNTIF($E$5:$E85,$E85))</f>
        <v/>
      </c>
      <c r="K85" s="40" t="str">
        <f aca="false">IF($I85="","",LEN($I85))</f>
        <v/>
      </c>
      <c r="L85" s="13"/>
      <c r="M85" s="13"/>
      <c r="N85" s="13"/>
      <c r="O85" s="13"/>
      <c r="P85" s="152"/>
      <c r="Q85" s="149"/>
      <c r="R85" s="152"/>
      <c r="S85" s="152"/>
      <c r="T85" s="62" t="str">
        <f aca="false">IF(OR($C85="",R85=""),"",IF(R85/IF($R$2="",100,$R$2)&gt;=設定!$I$28,設定!$G$8,IF(R85/IF($R$2="",100,$R$2)&lt;設定!$I$29,設定!$G$10,設定!$G$9)))</f>
        <v/>
      </c>
      <c r="U85" s="62" t="str">
        <f aca="false">IF(OR($C85="",S85=""),"",IF(S85/IF($S$2="",100,$S$2)&gt;=設定!$I$28,設定!$G$8,IF(S85/IF($S$2="",100,$S$2)&lt;設定!$I$29,設定!$G$10,設定!$G$9)))</f>
        <v/>
      </c>
    </row>
    <row r="86" customFormat="false" ht="21" hidden="false" customHeight="true" outlineLevel="0" collapsed="false">
      <c r="A86" s="91" t="str">
        <f aca="false">IF(名簿!$D86="","",名簿!$B86&amp;"")</f>
        <v/>
      </c>
      <c r="B86" s="91" t="str">
        <f aca="false">IF(名簿!$D86="","",名簿!$C86)</f>
        <v/>
      </c>
      <c r="C86" s="59" t="str">
        <f aca="false">IF(名簿!$D86="","",名簿!$D86&amp;IF(名簿!$F86="転出","（転出）",""))</f>
        <v/>
      </c>
      <c r="D86" s="149"/>
      <c r="E86" s="61" t="str">
        <f aca="false">IF(OR($C86="",名簿!$F86="転出"),"",IF($C$2="学級ごと",$A86,IF($C$2="前の単元と同じ",単元19!$E86&amp;"",$D86&amp;"")))</f>
        <v/>
      </c>
      <c r="F86" s="150"/>
      <c r="G86" s="150"/>
      <c r="H86" s="150"/>
      <c r="I86" s="151"/>
      <c r="J86" s="41" t="str">
        <f aca="false">IF($E86="","",$E86&amp;"|"&amp;COUNTIF($E$5:$E86,$E86))</f>
        <v/>
      </c>
      <c r="K86" s="40" t="str">
        <f aca="false">IF($I86="","",LEN($I86))</f>
        <v/>
      </c>
      <c r="L86" s="13"/>
      <c r="M86" s="13"/>
      <c r="N86" s="13"/>
      <c r="O86" s="13"/>
      <c r="P86" s="152"/>
      <c r="Q86" s="149"/>
      <c r="R86" s="152"/>
      <c r="S86" s="152"/>
      <c r="T86" s="62" t="str">
        <f aca="false">IF(OR($C86="",R86=""),"",IF(R86/IF($R$2="",100,$R$2)&gt;=設定!$I$28,設定!$G$8,IF(R86/IF($R$2="",100,$R$2)&lt;設定!$I$29,設定!$G$10,設定!$G$9)))</f>
        <v/>
      </c>
      <c r="U86" s="62" t="str">
        <f aca="false">IF(OR($C86="",S86=""),"",IF(S86/IF($S$2="",100,$S$2)&gt;=設定!$I$28,設定!$G$8,IF(S86/IF($S$2="",100,$S$2)&lt;設定!$I$29,設定!$G$10,設定!$G$9)))</f>
        <v/>
      </c>
    </row>
    <row r="87" customFormat="false" ht="21" hidden="false" customHeight="true" outlineLevel="0" collapsed="false">
      <c r="A87" s="91" t="str">
        <f aca="false">IF(名簿!$D87="","",名簿!$B87&amp;"")</f>
        <v/>
      </c>
      <c r="B87" s="91" t="str">
        <f aca="false">IF(名簿!$D87="","",名簿!$C87)</f>
        <v/>
      </c>
      <c r="C87" s="59" t="str">
        <f aca="false">IF(名簿!$D87="","",名簿!$D87&amp;IF(名簿!$F87="転出","（転出）",""))</f>
        <v/>
      </c>
      <c r="D87" s="149"/>
      <c r="E87" s="61" t="str">
        <f aca="false">IF(OR($C87="",名簿!$F87="転出"),"",IF($C$2="学級ごと",$A87,IF($C$2="前の単元と同じ",単元19!$E87&amp;"",$D87&amp;"")))</f>
        <v/>
      </c>
      <c r="F87" s="150"/>
      <c r="G87" s="150"/>
      <c r="H87" s="150"/>
      <c r="I87" s="151"/>
      <c r="J87" s="41" t="str">
        <f aca="false">IF($E87="","",$E87&amp;"|"&amp;COUNTIF($E$5:$E87,$E87))</f>
        <v/>
      </c>
      <c r="K87" s="40" t="str">
        <f aca="false">IF($I87="","",LEN($I87))</f>
        <v/>
      </c>
      <c r="L87" s="13"/>
      <c r="M87" s="13"/>
      <c r="N87" s="13"/>
      <c r="O87" s="13"/>
      <c r="P87" s="152"/>
      <c r="Q87" s="149"/>
      <c r="R87" s="152"/>
      <c r="S87" s="152"/>
      <c r="T87" s="62" t="str">
        <f aca="false">IF(OR($C87="",R87=""),"",IF(R87/IF($R$2="",100,$R$2)&gt;=設定!$I$28,設定!$G$8,IF(R87/IF($R$2="",100,$R$2)&lt;設定!$I$29,設定!$G$10,設定!$G$9)))</f>
        <v/>
      </c>
      <c r="U87" s="62" t="str">
        <f aca="false">IF(OR($C87="",S87=""),"",IF(S87/IF($S$2="",100,$S$2)&gt;=設定!$I$28,設定!$G$8,IF(S87/IF($S$2="",100,$S$2)&lt;設定!$I$29,設定!$G$10,設定!$G$9)))</f>
        <v/>
      </c>
    </row>
    <row r="88" customFormat="false" ht="21" hidden="false" customHeight="true" outlineLevel="0" collapsed="false">
      <c r="A88" s="91" t="str">
        <f aca="false">IF(名簿!$D88="","",名簿!$B88&amp;"")</f>
        <v/>
      </c>
      <c r="B88" s="91" t="str">
        <f aca="false">IF(名簿!$D88="","",名簿!$C88)</f>
        <v/>
      </c>
      <c r="C88" s="59" t="str">
        <f aca="false">IF(名簿!$D88="","",名簿!$D88&amp;IF(名簿!$F88="転出","（転出）",""))</f>
        <v/>
      </c>
      <c r="D88" s="149"/>
      <c r="E88" s="61" t="str">
        <f aca="false">IF(OR($C88="",名簿!$F88="転出"),"",IF($C$2="学級ごと",$A88,IF($C$2="前の単元と同じ",単元19!$E88&amp;"",$D88&amp;"")))</f>
        <v/>
      </c>
      <c r="F88" s="150"/>
      <c r="G88" s="150"/>
      <c r="H88" s="150"/>
      <c r="I88" s="151"/>
      <c r="J88" s="41" t="str">
        <f aca="false">IF($E88="","",$E88&amp;"|"&amp;COUNTIF($E$5:$E88,$E88))</f>
        <v/>
      </c>
      <c r="K88" s="40" t="str">
        <f aca="false">IF($I88="","",LEN($I88))</f>
        <v/>
      </c>
      <c r="L88" s="13"/>
      <c r="M88" s="13"/>
      <c r="N88" s="13"/>
      <c r="O88" s="13"/>
      <c r="P88" s="152"/>
      <c r="Q88" s="149"/>
      <c r="R88" s="152"/>
      <c r="S88" s="152"/>
      <c r="T88" s="62" t="str">
        <f aca="false">IF(OR($C88="",R88=""),"",IF(R88/IF($R$2="",100,$R$2)&gt;=設定!$I$28,設定!$G$8,IF(R88/IF($R$2="",100,$R$2)&lt;設定!$I$29,設定!$G$10,設定!$G$9)))</f>
        <v/>
      </c>
      <c r="U88" s="62" t="str">
        <f aca="false">IF(OR($C88="",S88=""),"",IF(S88/IF($S$2="",100,$S$2)&gt;=設定!$I$28,設定!$G$8,IF(S88/IF($S$2="",100,$S$2)&lt;設定!$I$29,設定!$G$10,設定!$G$9)))</f>
        <v/>
      </c>
    </row>
    <row r="89" customFormat="false" ht="21" hidden="false" customHeight="true" outlineLevel="0" collapsed="false">
      <c r="A89" s="91" t="str">
        <f aca="false">IF(名簿!$D89="","",名簿!$B89&amp;"")</f>
        <v/>
      </c>
      <c r="B89" s="91" t="str">
        <f aca="false">IF(名簿!$D89="","",名簿!$C89)</f>
        <v/>
      </c>
      <c r="C89" s="59" t="str">
        <f aca="false">IF(名簿!$D89="","",名簿!$D89&amp;IF(名簿!$F89="転出","（転出）",""))</f>
        <v/>
      </c>
      <c r="D89" s="149"/>
      <c r="E89" s="61" t="str">
        <f aca="false">IF(OR($C89="",名簿!$F89="転出"),"",IF($C$2="学級ごと",$A89,IF($C$2="前の単元と同じ",単元19!$E89&amp;"",$D89&amp;"")))</f>
        <v/>
      </c>
      <c r="F89" s="150"/>
      <c r="G89" s="150"/>
      <c r="H89" s="150"/>
      <c r="I89" s="151"/>
      <c r="J89" s="41" t="str">
        <f aca="false">IF($E89="","",$E89&amp;"|"&amp;COUNTIF($E$5:$E89,$E89))</f>
        <v/>
      </c>
      <c r="K89" s="40" t="str">
        <f aca="false">IF($I89="","",LEN($I89))</f>
        <v/>
      </c>
      <c r="L89" s="13"/>
      <c r="M89" s="13"/>
      <c r="N89" s="13"/>
      <c r="O89" s="13"/>
      <c r="P89" s="152"/>
      <c r="Q89" s="149"/>
      <c r="R89" s="152"/>
      <c r="S89" s="152"/>
      <c r="T89" s="62" t="str">
        <f aca="false">IF(OR($C89="",R89=""),"",IF(R89/IF($R$2="",100,$R$2)&gt;=設定!$I$28,設定!$G$8,IF(R89/IF($R$2="",100,$R$2)&lt;設定!$I$29,設定!$G$10,設定!$G$9)))</f>
        <v/>
      </c>
      <c r="U89" s="62" t="str">
        <f aca="false">IF(OR($C89="",S89=""),"",IF(S89/IF($S$2="",100,$S$2)&gt;=設定!$I$28,設定!$G$8,IF(S89/IF($S$2="",100,$S$2)&lt;設定!$I$29,設定!$G$10,設定!$G$9)))</f>
        <v/>
      </c>
    </row>
    <row r="90" customFormat="false" ht="21" hidden="false" customHeight="true" outlineLevel="0" collapsed="false">
      <c r="A90" s="91" t="str">
        <f aca="false">IF(名簿!$D90="","",名簿!$B90&amp;"")</f>
        <v/>
      </c>
      <c r="B90" s="91" t="str">
        <f aca="false">IF(名簿!$D90="","",名簿!$C90)</f>
        <v/>
      </c>
      <c r="C90" s="59" t="str">
        <f aca="false">IF(名簿!$D90="","",名簿!$D90&amp;IF(名簿!$F90="転出","（転出）",""))</f>
        <v/>
      </c>
      <c r="D90" s="149"/>
      <c r="E90" s="61" t="str">
        <f aca="false">IF(OR($C90="",名簿!$F90="転出"),"",IF($C$2="学級ごと",$A90,IF($C$2="前の単元と同じ",単元19!$E90&amp;"",$D90&amp;"")))</f>
        <v/>
      </c>
      <c r="F90" s="150"/>
      <c r="G90" s="150"/>
      <c r="H90" s="150"/>
      <c r="I90" s="151"/>
      <c r="J90" s="41" t="str">
        <f aca="false">IF($E90="","",$E90&amp;"|"&amp;COUNTIF($E$5:$E90,$E90))</f>
        <v/>
      </c>
      <c r="K90" s="40" t="str">
        <f aca="false">IF($I90="","",LEN($I90))</f>
        <v/>
      </c>
      <c r="L90" s="13"/>
      <c r="M90" s="13"/>
      <c r="N90" s="13"/>
      <c r="O90" s="13"/>
      <c r="P90" s="152"/>
      <c r="Q90" s="149"/>
      <c r="R90" s="152"/>
      <c r="S90" s="152"/>
      <c r="T90" s="62" t="str">
        <f aca="false">IF(OR($C90="",R90=""),"",IF(R90/IF($R$2="",100,$R$2)&gt;=設定!$I$28,設定!$G$8,IF(R90/IF($R$2="",100,$R$2)&lt;設定!$I$29,設定!$G$10,設定!$G$9)))</f>
        <v/>
      </c>
      <c r="U90" s="62" t="str">
        <f aca="false">IF(OR($C90="",S90=""),"",IF(S90/IF($S$2="",100,$S$2)&gt;=設定!$I$28,設定!$G$8,IF(S90/IF($S$2="",100,$S$2)&lt;設定!$I$29,設定!$G$10,設定!$G$9)))</f>
        <v/>
      </c>
    </row>
    <row r="91" customFormat="false" ht="21" hidden="false" customHeight="true" outlineLevel="0" collapsed="false">
      <c r="A91" s="91" t="str">
        <f aca="false">IF(名簿!$D91="","",名簿!$B91&amp;"")</f>
        <v/>
      </c>
      <c r="B91" s="91" t="str">
        <f aca="false">IF(名簿!$D91="","",名簿!$C91)</f>
        <v/>
      </c>
      <c r="C91" s="59" t="str">
        <f aca="false">IF(名簿!$D91="","",名簿!$D91&amp;IF(名簿!$F91="転出","（転出）",""))</f>
        <v/>
      </c>
      <c r="D91" s="149"/>
      <c r="E91" s="61" t="str">
        <f aca="false">IF(OR($C91="",名簿!$F91="転出"),"",IF($C$2="学級ごと",$A91,IF($C$2="前の単元と同じ",単元19!$E91&amp;"",$D91&amp;"")))</f>
        <v/>
      </c>
      <c r="F91" s="150"/>
      <c r="G91" s="150"/>
      <c r="H91" s="150"/>
      <c r="I91" s="151"/>
      <c r="J91" s="41" t="str">
        <f aca="false">IF($E91="","",$E91&amp;"|"&amp;COUNTIF($E$5:$E91,$E91))</f>
        <v/>
      </c>
      <c r="K91" s="40" t="str">
        <f aca="false">IF($I91="","",LEN($I91))</f>
        <v/>
      </c>
      <c r="L91" s="13"/>
      <c r="M91" s="13"/>
      <c r="N91" s="13"/>
      <c r="O91" s="13"/>
      <c r="P91" s="152"/>
      <c r="Q91" s="149"/>
      <c r="R91" s="152"/>
      <c r="S91" s="152"/>
      <c r="T91" s="62" t="str">
        <f aca="false">IF(OR($C91="",R91=""),"",IF(R91/IF($R$2="",100,$R$2)&gt;=設定!$I$28,設定!$G$8,IF(R91/IF($R$2="",100,$R$2)&lt;設定!$I$29,設定!$G$10,設定!$G$9)))</f>
        <v/>
      </c>
      <c r="U91" s="62" t="str">
        <f aca="false">IF(OR($C91="",S91=""),"",IF(S91/IF($S$2="",100,$S$2)&gt;=設定!$I$28,設定!$G$8,IF(S91/IF($S$2="",100,$S$2)&lt;設定!$I$29,設定!$G$10,設定!$G$9)))</f>
        <v/>
      </c>
    </row>
    <row r="92" customFormat="false" ht="21" hidden="false" customHeight="true" outlineLevel="0" collapsed="false">
      <c r="A92" s="91" t="str">
        <f aca="false">IF(名簿!$D92="","",名簿!$B92&amp;"")</f>
        <v/>
      </c>
      <c r="B92" s="91" t="str">
        <f aca="false">IF(名簿!$D92="","",名簿!$C92)</f>
        <v/>
      </c>
      <c r="C92" s="59" t="str">
        <f aca="false">IF(名簿!$D92="","",名簿!$D92&amp;IF(名簿!$F92="転出","（転出）",""))</f>
        <v/>
      </c>
      <c r="D92" s="149"/>
      <c r="E92" s="61" t="str">
        <f aca="false">IF(OR($C92="",名簿!$F92="転出"),"",IF($C$2="学級ごと",$A92,IF($C$2="前の単元と同じ",単元19!$E92&amp;"",$D92&amp;"")))</f>
        <v/>
      </c>
      <c r="F92" s="150"/>
      <c r="G92" s="150"/>
      <c r="H92" s="150"/>
      <c r="I92" s="151"/>
      <c r="J92" s="41" t="str">
        <f aca="false">IF($E92="","",$E92&amp;"|"&amp;COUNTIF($E$5:$E92,$E92))</f>
        <v/>
      </c>
      <c r="K92" s="40" t="str">
        <f aca="false">IF($I92="","",LEN($I92))</f>
        <v/>
      </c>
      <c r="L92" s="13"/>
      <c r="M92" s="13"/>
      <c r="N92" s="13"/>
      <c r="O92" s="13"/>
      <c r="P92" s="152"/>
      <c r="Q92" s="149"/>
      <c r="R92" s="152"/>
      <c r="S92" s="152"/>
      <c r="T92" s="62" t="str">
        <f aca="false">IF(OR($C92="",R92=""),"",IF(R92/IF($R$2="",100,$R$2)&gt;=設定!$I$28,設定!$G$8,IF(R92/IF($R$2="",100,$R$2)&lt;設定!$I$29,設定!$G$10,設定!$G$9)))</f>
        <v/>
      </c>
      <c r="U92" s="62" t="str">
        <f aca="false">IF(OR($C92="",S92=""),"",IF(S92/IF($S$2="",100,$S$2)&gt;=設定!$I$28,設定!$G$8,IF(S92/IF($S$2="",100,$S$2)&lt;設定!$I$29,設定!$G$10,設定!$G$9)))</f>
        <v/>
      </c>
    </row>
    <row r="93" customFormat="false" ht="21" hidden="false" customHeight="true" outlineLevel="0" collapsed="false">
      <c r="A93" s="91" t="str">
        <f aca="false">IF(名簿!$D93="","",名簿!$B93&amp;"")</f>
        <v/>
      </c>
      <c r="B93" s="91" t="str">
        <f aca="false">IF(名簿!$D93="","",名簿!$C93)</f>
        <v/>
      </c>
      <c r="C93" s="59" t="str">
        <f aca="false">IF(名簿!$D93="","",名簿!$D93&amp;IF(名簿!$F93="転出","（転出）",""))</f>
        <v/>
      </c>
      <c r="D93" s="149"/>
      <c r="E93" s="61" t="str">
        <f aca="false">IF(OR($C93="",名簿!$F93="転出"),"",IF($C$2="学級ごと",$A93,IF($C$2="前の単元と同じ",単元19!$E93&amp;"",$D93&amp;"")))</f>
        <v/>
      </c>
      <c r="F93" s="150"/>
      <c r="G93" s="150"/>
      <c r="H93" s="150"/>
      <c r="I93" s="151"/>
      <c r="J93" s="41" t="str">
        <f aca="false">IF($E93="","",$E93&amp;"|"&amp;COUNTIF($E$5:$E93,$E93))</f>
        <v/>
      </c>
      <c r="K93" s="40" t="str">
        <f aca="false">IF($I93="","",LEN($I93))</f>
        <v/>
      </c>
      <c r="L93" s="13"/>
      <c r="M93" s="13"/>
      <c r="N93" s="13"/>
      <c r="O93" s="13"/>
      <c r="P93" s="152"/>
      <c r="Q93" s="149"/>
      <c r="R93" s="152"/>
      <c r="S93" s="152"/>
      <c r="T93" s="62" t="str">
        <f aca="false">IF(OR($C93="",R93=""),"",IF(R93/IF($R$2="",100,$R$2)&gt;=設定!$I$28,設定!$G$8,IF(R93/IF($R$2="",100,$R$2)&lt;設定!$I$29,設定!$G$10,設定!$G$9)))</f>
        <v/>
      </c>
      <c r="U93" s="62" t="str">
        <f aca="false">IF(OR($C93="",S93=""),"",IF(S93/IF($S$2="",100,$S$2)&gt;=設定!$I$28,設定!$G$8,IF(S93/IF($S$2="",100,$S$2)&lt;設定!$I$29,設定!$G$10,設定!$G$9)))</f>
        <v/>
      </c>
    </row>
    <row r="94" customFormat="false" ht="21" hidden="false" customHeight="true" outlineLevel="0" collapsed="false">
      <c r="A94" s="91" t="str">
        <f aca="false">IF(名簿!$D94="","",名簿!$B94&amp;"")</f>
        <v/>
      </c>
      <c r="B94" s="91" t="str">
        <f aca="false">IF(名簿!$D94="","",名簿!$C94)</f>
        <v/>
      </c>
      <c r="C94" s="59" t="str">
        <f aca="false">IF(名簿!$D94="","",名簿!$D94&amp;IF(名簿!$F94="転出","（転出）",""))</f>
        <v/>
      </c>
      <c r="D94" s="149"/>
      <c r="E94" s="61" t="str">
        <f aca="false">IF(OR($C94="",名簿!$F94="転出"),"",IF($C$2="学級ごと",$A94,IF($C$2="前の単元と同じ",単元19!$E94&amp;"",$D94&amp;"")))</f>
        <v/>
      </c>
      <c r="F94" s="150"/>
      <c r="G94" s="150"/>
      <c r="H94" s="150"/>
      <c r="I94" s="151"/>
      <c r="J94" s="41" t="str">
        <f aca="false">IF($E94="","",$E94&amp;"|"&amp;COUNTIF($E$5:$E94,$E94))</f>
        <v/>
      </c>
      <c r="K94" s="40" t="str">
        <f aca="false">IF($I94="","",LEN($I94))</f>
        <v/>
      </c>
      <c r="L94" s="13"/>
      <c r="M94" s="13"/>
      <c r="N94" s="13"/>
      <c r="O94" s="13"/>
      <c r="P94" s="152"/>
      <c r="Q94" s="149"/>
      <c r="R94" s="152"/>
      <c r="S94" s="152"/>
      <c r="T94" s="62" t="str">
        <f aca="false">IF(OR($C94="",R94=""),"",IF(R94/IF($R$2="",100,$R$2)&gt;=設定!$I$28,設定!$G$8,IF(R94/IF($R$2="",100,$R$2)&lt;設定!$I$29,設定!$G$10,設定!$G$9)))</f>
        <v/>
      </c>
      <c r="U94" s="62" t="str">
        <f aca="false">IF(OR($C94="",S94=""),"",IF(S94/IF($S$2="",100,$S$2)&gt;=設定!$I$28,設定!$G$8,IF(S94/IF($S$2="",100,$S$2)&lt;設定!$I$29,設定!$G$10,設定!$G$9)))</f>
        <v/>
      </c>
    </row>
    <row r="95" customFormat="false" ht="21" hidden="false" customHeight="true" outlineLevel="0" collapsed="false">
      <c r="A95" s="91" t="str">
        <f aca="false">IF(名簿!$D95="","",名簿!$B95&amp;"")</f>
        <v/>
      </c>
      <c r="B95" s="91" t="str">
        <f aca="false">IF(名簿!$D95="","",名簿!$C95)</f>
        <v/>
      </c>
      <c r="C95" s="59" t="str">
        <f aca="false">IF(名簿!$D95="","",名簿!$D95&amp;IF(名簿!$F95="転出","（転出）",""))</f>
        <v/>
      </c>
      <c r="D95" s="149"/>
      <c r="E95" s="61" t="str">
        <f aca="false">IF(OR($C95="",名簿!$F95="転出"),"",IF($C$2="学級ごと",$A95,IF($C$2="前の単元と同じ",単元19!$E95&amp;"",$D95&amp;"")))</f>
        <v/>
      </c>
      <c r="F95" s="150"/>
      <c r="G95" s="150"/>
      <c r="H95" s="150"/>
      <c r="I95" s="151"/>
      <c r="J95" s="41" t="str">
        <f aca="false">IF($E95="","",$E95&amp;"|"&amp;COUNTIF($E$5:$E95,$E95))</f>
        <v/>
      </c>
      <c r="K95" s="40" t="str">
        <f aca="false">IF($I95="","",LEN($I95))</f>
        <v/>
      </c>
      <c r="L95" s="13"/>
      <c r="M95" s="13"/>
      <c r="N95" s="13"/>
      <c r="O95" s="13"/>
      <c r="P95" s="152"/>
      <c r="Q95" s="149"/>
      <c r="R95" s="152"/>
      <c r="S95" s="152"/>
      <c r="T95" s="62" t="str">
        <f aca="false">IF(OR($C95="",R95=""),"",IF(R95/IF($R$2="",100,$R$2)&gt;=設定!$I$28,設定!$G$8,IF(R95/IF($R$2="",100,$R$2)&lt;設定!$I$29,設定!$G$10,設定!$G$9)))</f>
        <v/>
      </c>
      <c r="U95" s="62" t="str">
        <f aca="false">IF(OR($C95="",S95=""),"",IF(S95/IF($S$2="",100,$S$2)&gt;=設定!$I$28,設定!$G$8,IF(S95/IF($S$2="",100,$S$2)&lt;設定!$I$29,設定!$G$10,設定!$G$9)))</f>
        <v/>
      </c>
    </row>
    <row r="96" customFormat="false" ht="21" hidden="false" customHeight="true" outlineLevel="0" collapsed="false">
      <c r="A96" s="91" t="str">
        <f aca="false">IF(名簿!$D96="","",名簿!$B96&amp;"")</f>
        <v/>
      </c>
      <c r="B96" s="91" t="str">
        <f aca="false">IF(名簿!$D96="","",名簿!$C96)</f>
        <v/>
      </c>
      <c r="C96" s="59" t="str">
        <f aca="false">IF(名簿!$D96="","",名簿!$D96&amp;IF(名簿!$F96="転出","（転出）",""))</f>
        <v/>
      </c>
      <c r="D96" s="149"/>
      <c r="E96" s="61" t="str">
        <f aca="false">IF(OR($C96="",名簿!$F96="転出"),"",IF($C$2="学級ごと",$A96,IF($C$2="前の単元と同じ",単元19!$E96&amp;"",$D96&amp;"")))</f>
        <v/>
      </c>
      <c r="F96" s="150"/>
      <c r="G96" s="150"/>
      <c r="H96" s="150"/>
      <c r="I96" s="151"/>
      <c r="J96" s="41" t="str">
        <f aca="false">IF($E96="","",$E96&amp;"|"&amp;COUNTIF($E$5:$E96,$E96))</f>
        <v/>
      </c>
      <c r="K96" s="40" t="str">
        <f aca="false">IF($I96="","",LEN($I96))</f>
        <v/>
      </c>
      <c r="L96" s="13"/>
      <c r="M96" s="13"/>
      <c r="N96" s="13"/>
      <c r="O96" s="13"/>
      <c r="P96" s="152"/>
      <c r="Q96" s="149"/>
      <c r="R96" s="152"/>
      <c r="S96" s="152"/>
      <c r="T96" s="62" t="str">
        <f aca="false">IF(OR($C96="",R96=""),"",IF(R96/IF($R$2="",100,$R$2)&gt;=設定!$I$28,設定!$G$8,IF(R96/IF($R$2="",100,$R$2)&lt;設定!$I$29,設定!$G$10,設定!$G$9)))</f>
        <v/>
      </c>
      <c r="U96" s="62" t="str">
        <f aca="false">IF(OR($C96="",S96=""),"",IF(S96/IF($S$2="",100,$S$2)&gt;=設定!$I$28,設定!$G$8,IF(S96/IF($S$2="",100,$S$2)&lt;設定!$I$29,設定!$G$10,設定!$G$9)))</f>
        <v/>
      </c>
    </row>
    <row r="97" customFormat="false" ht="21" hidden="false" customHeight="true" outlineLevel="0" collapsed="false">
      <c r="A97" s="91" t="str">
        <f aca="false">IF(名簿!$D97="","",名簿!$B97&amp;"")</f>
        <v/>
      </c>
      <c r="B97" s="91" t="str">
        <f aca="false">IF(名簿!$D97="","",名簿!$C97)</f>
        <v/>
      </c>
      <c r="C97" s="59" t="str">
        <f aca="false">IF(名簿!$D97="","",名簿!$D97&amp;IF(名簿!$F97="転出","（転出）",""))</f>
        <v/>
      </c>
      <c r="D97" s="149"/>
      <c r="E97" s="61" t="str">
        <f aca="false">IF(OR($C97="",名簿!$F97="転出"),"",IF($C$2="学級ごと",$A97,IF($C$2="前の単元と同じ",単元19!$E97&amp;"",$D97&amp;"")))</f>
        <v/>
      </c>
      <c r="F97" s="150"/>
      <c r="G97" s="150"/>
      <c r="H97" s="150"/>
      <c r="I97" s="151"/>
      <c r="J97" s="41" t="str">
        <f aca="false">IF($E97="","",$E97&amp;"|"&amp;COUNTIF($E$5:$E97,$E97))</f>
        <v/>
      </c>
      <c r="K97" s="40" t="str">
        <f aca="false">IF($I97="","",LEN($I97))</f>
        <v/>
      </c>
      <c r="L97" s="13"/>
      <c r="M97" s="13"/>
      <c r="N97" s="13"/>
      <c r="O97" s="13"/>
      <c r="P97" s="152"/>
      <c r="Q97" s="149"/>
      <c r="R97" s="152"/>
      <c r="S97" s="152"/>
      <c r="T97" s="62" t="str">
        <f aca="false">IF(OR($C97="",R97=""),"",IF(R97/IF($R$2="",100,$R$2)&gt;=設定!$I$28,設定!$G$8,IF(R97/IF($R$2="",100,$R$2)&lt;設定!$I$29,設定!$G$10,設定!$G$9)))</f>
        <v/>
      </c>
      <c r="U97" s="62" t="str">
        <f aca="false">IF(OR($C97="",S97=""),"",IF(S97/IF($S$2="",100,$S$2)&gt;=設定!$I$28,設定!$G$8,IF(S97/IF($S$2="",100,$S$2)&lt;設定!$I$29,設定!$G$10,設定!$G$9)))</f>
        <v/>
      </c>
    </row>
    <row r="98" customFormat="false" ht="21" hidden="false" customHeight="true" outlineLevel="0" collapsed="false">
      <c r="A98" s="91" t="str">
        <f aca="false">IF(名簿!$D98="","",名簿!$B98&amp;"")</f>
        <v/>
      </c>
      <c r="B98" s="91" t="str">
        <f aca="false">IF(名簿!$D98="","",名簿!$C98)</f>
        <v/>
      </c>
      <c r="C98" s="59" t="str">
        <f aca="false">IF(名簿!$D98="","",名簿!$D98&amp;IF(名簿!$F98="転出","（転出）",""))</f>
        <v/>
      </c>
      <c r="D98" s="149"/>
      <c r="E98" s="61" t="str">
        <f aca="false">IF(OR($C98="",名簿!$F98="転出"),"",IF($C$2="学級ごと",$A98,IF($C$2="前の単元と同じ",単元19!$E98&amp;"",$D98&amp;"")))</f>
        <v/>
      </c>
      <c r="F98" s="150"/>
      <c r="G98" s="150"/>
      <c r="H98" s="150"/>
      <c r="I98" s="151"/>
      <c r="J98" s="41" t="str">
        <f aca="false">IF($E98="","",$E98&amp;"|"&amp;COUNTIF($E$5:$E98,$E98))</f>
        <v/>
      </c>
      <c r="K98" s="40" t="str">
        <f aca="false">IF($I98="","",LEN($I98))</f>
        <v/>
      </c>
      <c r="L98" s="13"/>
      <c r="M98" s="13"/>
      <c r="N98" s="13"/>
      <c r="O98" s="13"/>
      <c r="P98" s="152"/>
      <c r="Q98" s="149"/>
      <c r="R98" s="152"/>
      <c r="S98" s="152"/>
      <c r="T98" s="62" t="str">
        <f aca="false">IF(OR($C98="",R98=""),"",IF(R98/IF($R$2="",100,$R$2)&gt;=設定!$I$28,設定!$G$8,IF(R98/IF($R$2="",100,$R$2)&lt;設定!$I$29,設定!$G$10,設定!$G$9)))</f>
        <v/>
      </c>
      <c r="U98" s="62" t="str">
        <f aca="false">IF(OR($C98="",S98=""),"",IF(S98/IF($S$2="",100,$S$2)&gt;=設定!$I$28,設定!$G$8,IF(S98/IF($S$2="",100,$S$2)&lt;設定!$I$29,設定!$G$10,設定!$G$9)))</f>
        <v/>
      </c>
    </row>
    <row r="99" customFormat="false" ht="21" hidden="false" customHeight="true" outlineLevel="0" collapsed="false">
      <c r="A99" s="91" t="str">
        <f aca="false">IF(名簿!$D99="","",名簿!$B99&amp;"")</f>
        <v/>
      </c>
      <c r="B99" s="91" t="str">
        <f aca="false">IF(名簿!$D99="","",名簿!$C99)</f>
        <v/>
      </c>
      <c r="C99" s="59" t="str">
        <f aca="false">IF(名簿!$D99="","",名簿!$D99&amp;IF(名簿!$F99="転出","（転出）",""))</f>
        <v/>
      </c>
      <c r="D99" s="149"/>
      <c r="E99" s="61" t="str">
        <f aca="false">IF(OR($C99="",名簿!$F99="転出"),"",IF($C$2="学級ごと",$A99,IF($C$2="前の単元と同じ",単元19!$E99&amp;"",$D99&amp;"")))</f>
        <v/>
      </c>
      <c r="F99" s="150"/>
      <c r="G99" s="150"/>
      <c r="H99" s="150"/>
      <c r="I99" s="151"/>
      <c r="J99" s="41" t="str">
        <f aca="false">IF($E99="","",$E99&amp;"|"&amp;COUNTIF($E$5:$E99,$E99))</f>
        <v/>
      </c>
      <c r="K99" s="40" t="str">
        <f aca="false">IF($I99="","",LEN($I99))</f>
        <v/>
      </c>
      <c r="L99" s="13"/>
      <c r="M99" s="13"/>
      <c r="N99" s="13"/>
      <c r="O99" s="13"/>
      <c r="P99" s="152"/>
      <c r="Q99" s="149"/>
      <c r="R99" s="152"/>
      <c r="S99" s="152"/>
      <c r="T99" s="62" t="str">
        <f aca="false">IF(OR($C99="",R99=""),"",IF(R99/IF($R$2="",100,$R$2)&gt;=設定!$I$28,設定!$G$8,IF(R99/IF($R$2="",100,$R$2)&lt;設定!$I$29,設定!$G$10,設定!$G$9)))</f>
        <v/>
      </c>
      <c r="U99" s="62" t="str">
        <f aca="false">IF(OR($C99="",S99=""),"",IF(S99/IF($S$2="",100,$S$2)&gt;=設定!$I$28,設定!$G$8,IF(S99/IF($S$2="",100,$S$2)&lt;設定!$I$29,設定!$G$10,設定!$G$9)))</f>
        <v/>
      </c>
    </row>
    <row r="100" customFormat="false" ht="21" hidden="false" customHeight="true" outlineLevel="0" collapsed="false">
      <c r="A100" s="91" t="str">
        <f aca="false">IF(名簿!$D100="","",名簿!$B100&amp;"")</f>
        <v/>
      </c>
      <c r="B100" s="91" t="str">
        <f aca="false">IF(名簿!$D100="","",名簿!$C100)</f>
        <v/>
      </c>
      <c r="C100" s="59" t="str">
        <f aca="false">IF(名簿!$D100="","",名簿!$D100&amp;IF(名簿!$F100="転出","（転出）",""))</f>
        <v/>
      </c>
      <c r="D100" s="149"/>
      <c r="E100" s="61" t="str">
        <f aca="false">IF(OR($C100="",名簿!$F100="転出"),"",IF($C$2="学級ごと",$A100,IF($C$2="前の単元と同じ",単元19!$E100&amp;"",$D100&amp;"")))</f>
        <v/>
      </c>
      <c r="F100" s="150"/>
      <c r="G100" s="150"/>
      <c r="H100" s="150"/>
      <c r="I100" s="151"/>
      <c r="J100" s="41" t="str">
        <f aca="false">IF($E100="","",$E100&amp;"|"&amp;COUNTIF($E$5:$E100,$E100))</f>
        <v/>
      </c>
      <c r="K100" s="40" t="str">
        <f aca="false">IF($I100="","",LEN($I100))</f>
        <v/>
      </c>
      <c r="L100" s="13"/>
      <c r="M100" s="13"/>
      <c r="N100" s="13"/>
      <c r="O100" s="13"/>
      <c r="P100" s="152"/>
      <c r="Q100" s="149"/>
      <c r="R100" s="152"/>
      <c r="S100" s="152"/>
      <c r="T100" s="62" t="str">
        <f aca="false">IF(OR($C100="",R100=""),"",IF(R100/IF($R$2="",100,$R$2)&gt;=設定!$I$28,設定!$G$8,IF(R100/IF($R$2="",100,$R$2)&lt;設定!$I$29,設定!$G$10,設定!$G$9)))</f>
        <v/>
      </c>
      <c r="U100" s="62" t="str">
        <f aca="false">IF(OR($C100="",S100=""),"",IF(S100/IF($S$2="",100,$S$2)&gt;=設定!$I$28,設定!$G$8,IF(S100/IF($S$2="",100,$S$2)&lt;設定!$I$29,設定!$G$10,設定!$G$9)))</f>
        <v/>
      </c>
    </row>
    <row r="101" customFormat="false" ht="21" hidden="false" customHeight="true" outlineLevel="0" collapsed="false">
      <c r="A101" s="91" t="str">
        <f aca="false">IF(名簿!$D101="","",名簿!$B101&amp;"")</f>
        <v/>
      </c>
      <c r="B101" s="91" t="str">
        <f aca="false">IF(名簿!$D101="","",名簿!$C101)</f>
        <v/>
      </c>
      <c r="C101" s="59" t="str">
        <f aca="false">IF(名簿!$D101="","",名簿!$D101&amp;IF(名簿!$F101="転出","（転出）",""))</f>
        <v/>
      </c>
      <c r="D101" s="149"/>
      <c r="E101" s="61" t="str">
        <f aca="false">IF(OR($C101="",名簿!$F101="転出"),"",IF($C$2="学級ごと",$A101,IF($C$2="前の単元と同じ",単元19!$E101&amp;"",$D101&amp;"")))</f>
        <v/>
      </c>
      <c r="F101" s="150"/>
      <c r="G101" s="150"/>
      <c r="H101" s="150"/>
      <c r="I101" s="151"/>
      <c r="J101" s="41" t="str">
        <f aca="false">IF($E101="","",$E101&amp;"|"&amp;COUNTIF($E$5:$E101,$E101))</f>
        <v/>
      </c>
      <c r="K101" s="40" t="str">
        <f aca="false">IF($I101="","",LEN($I101))</f>
        <v/>
      </c>
      <c r="L101" s="13"/>
      <c r="M101" s="13"/>
      <c r="N101" s="13"/>
      <c r="O101" s="13"/>
      <c r="P101" s="152"/>
      <c r="Q101" s="149"/>
      <c r="R101" s="152"/>
      <c r="S101" s="152"/>
      <c r="T101" s="62" t="str">
        <f aca="false">IF(OR($C101="",R101=""),"",IF(R101/IF($R$2="",100,$R$2)&gt;=設定!$I$28,設定!$G$8,IF(R101/IF($R$2="",100,$R$2)&lt;設定!$I$29,設定!$G$10,設定!$G$9)))</f>
        <v/>
      </c>
      <c r="U101" s="62" t="str">
        <f aca="false">IF(OR($C101="",S101=""),"",IF(S101/IF($S$2="",100,$S$2)&gt;=設定!$I$28,設定!$G$8,IF(S101/IF($S$2="",100,$S$2)&lt;設定!$I$29,設定!$G$10,設定!$G$9)))</f>
        <v/>
      </c>
    </row>
    <row r="102" customFormat="false" ht="21" hidden="false" customHeight="true" outlineLevel="0" collapsed="false">
      <c r="A102" s="91" t="str">
        <f aca="false">IF(名簿!$D102="","",名簿!$B102&amp;"")</f>
        <v/>
      </c>
      <c r="B102" s="91" t="str">
        <f aca="false">IF(名簿!$D102="","",名簿!$C102)</f>
        <v/>
      </c>
      <c r="C102" s="59" t="str">
        <f aca="false">IF(名簿!$D102="","",名簿!$D102&amp;IF(名簿!$F102="転出","（転出）",""))</f>
        <v/>
      </c>
      <c r="D102" s="149"/>
      <c r="E102" s="61" t="str">
        <f aca="false">IF(OR($C102="",名簿!$F102="転出"),"",IF($C$2="学級ごと",$A102,IF($C$2="前の単元と同じ",単元19!$E102&amp;"",$D102&amp;"")))</f>
        <v/>
      </c>
      <c r="F102" s="150"/>
      <c r="G102" s="150"/>
      <c r="H102" s="150"/>
      <c r="I102" s="151"/>
      <c r="J102" s="41" t="str">
        <f aca="false">IF($E102="","",$E102&amp;"|"&amp;COUNTIF($E$5:$E102,$E102))</f>
        <v/>
      </c>
      <c r="K102" s="40" t="str">
        <f aca="false">IF($I102="","",LEN($I102))</f>
        <v/>
      </c>
      <c r="L102" s="13"/>
      <c r="M102" s="13"/>
      <c r="N102" s="13"/>
      <c r="O102" s="13"/>
      <c r="P102" s="152"/>
      <c r="Q102" s="149"/>
      <c r="R102" s="152"/>
      <c r="S102" s="152"/>
      <c r="T102" s="62" t="str">
        <f aca="false">IF(OR($C102="",R102=""),"",IF(R102/IF($R$2="",100,$R$2)&gt;=設定!$I$28,設定!$G$8,IF(R102/IF($R$2="",100,$R$2)&lt;設定!$I$29,設定!$G$10,設定!$G$9)))</f>
        <v/>
      </c>
      <c r="U102" s="62" t="str">
        <f aca="false">IF(OR($C102="",S102=""),"",IF(S102/IF($S$2="",100,$S$2)&gt;=設定!$I$28,設定!$G$8,IF(S102/IF($S$2="",100,$S$2)&lt;設定!$I$29,設定!$G$10,設定!$G$9)))</f>
        <v/>
      </c>
    </row>
    <row r="103" customFormat="false" ht="21" hidden="false" customHeight="true" outlineLevel="0" collapsed="false">
      <c r="A103" s="91" t="str">
        <f aca="false">IF(名簿!$D103="","",名簿!$B103&amp;"")</f>
        <v/>
      </c>
      <c r="B103" s="91" t="str">
        <f aca="false">IF(名簿!$D103="","",名簿!$C103)</f>
        <v/>
      </c>
      <c r="C103" s="59" t="str">
        <f aca="false">IF(名簿!$D103="","",名簿!$D103&amp;IF(名簿!$F103="転出","（転出）",""))</f>
        <v/>
      </c>
      <c r="D103" s="149"/>
      <c r="E103" s="61" t="str">
        <f aca="false">IF(OR($C103="",名簿!$F103="転出"),"",IF($C$2="学級ごと",$A103,IF($C$2="前の単元と同じ",単元19!$E103&amp;"",$D103&amp;"")))</f>
        <v/>
      </c>
      <c r="F103" s="150"/>
      <c r="G103" s="150"/>
      <c r="H103" s="150"/>
      <c r="I103" s="151"/>
      <c r="J103" s="41" t="str">
        <f aca="false">IF($E103="","",$E103&amp;"|"&amp;COUNTIF($E$5:$E103,$E103))</f>
        <v/>
      </c>
      <c r="K103" s="40" t="str">
        <f aca="false">IF($I103="","",LEN($I103))</f>
        <v/>
      </c>
      <c r="L103" s="13"/>
      <c r="M103" s="13"/>
      <c r="N103" s="13"/>
      <c r="O103" s="13"/>
      <c r="P103" s="152"/>
      <c r="Q103" s="149"/>
      <c r="R103" s="152"/>
      <c r="S103" s="152"/>
      <c r="T103" s="62" t="str">
        <f aca="false">IF(OR($C103="",R103=""),"",IF(R103/IF($R$2="",100,$R$2)&gt;=設定!$I$28,設定!$G$8,IF(R103/IF($R$2="",100,$R$2)&lt;設定!$I$29,設定!$G$10,設定!$G$9)))</f>
        <v/>
      </c>
      <c r="U103" s="62" t="str">
        <f aca="false">IF(OR($C103="",S103=""),"",IF(S103/IF($S$2="",100,$S$2)&gt;=設定!$I$28,設定!$G$8,IF(S103/IF($S$2="",100,$S$2)&lt;設定!$I$29,設定!$G$10,設定!$G$9)))</f>
        <v/>
      </c>
    </row>
    <row r="104" customFormat="false" ht="21" hidden="false" customHeight="true" outlineLevel="0" collapsed="false">
      <c r="A104" s="91" t="str">
        <f aca="false">IF(名簿!$D104="","",名簿!$B104&amp;"")</f>
        <v/>
      </c>
      <c r="B104" s="91" t="str">
        <f aca="false">IF(名簿!$D104="","",名簿!$C104)</f>
        <v/>
      </c>
      <c r="C104" s="59" t="str">
        <f aca="false">IF(名簿!$D104="","",名簿!$D104&amp;IF(名簿!$F104="転出","（転出）",""))</f>
        <v/>
      </c>
      <c r="D104" s="149"/>
      <c r="E104" s="61" t="str">
        <f aca="false">IF(OR($C104="",名簿!$F104="転出"),"",IF($C$2="学級ごと",$A104,IF($C$2="前の単元と同じ",単元19!$E104&amp;"",$D104&amp;"")))</f>
        <v/>
      </c>
      <c r="F104" s="150"/>
      <c r="G104" s="150"/>
      <c r="H104" s="150"/>
      <c r="I104" s="151"/>
      <c r="J104" s="41" t="str">
        <f aca="false">IF($E104="","",$E104&amp;"|"&amp;COUNTIF($E$5:$E104,$E104))</f>
        <v/>
      </c>
      <c r="K104" s="40" t="str">
        <f aca="false">IF($I104="","",LEN($I104))</f>
        <v/>
      </c>
      <c r="L104" s="13"/>
      <c r="M104" s="13"/>
      <c r="N104" s="13"/>
      <c r="O104" s="13"/>
      <c r="P104" s="152"/>
      <c r="Q104" s="149"/>
      <c r="R104" s="152"/>
      <c r="S104" s="152"/>
      <c r="T104" s="62" t="str">
        <f aca="false">IF(OR($C104="",R104=""),"",IF(R104/IF($R$2="",100,$R$2)&gt;=設定!$I$28,設定!$G$8,IF(R104/IF($R$2="",100,$R$2)&lt;設定!$I$29,設定!$G$10,設定!$G$9)))</f>
        <v/>
      </c>
      <c r="U104" s="62" t="str">
        <f aca="false">IF(OR($C104="",S104=""),"",IF(S104/IF($S$2="",100,$S$2)&gt;=設定!$I$28,設定!$G$8,IF(S104/IF($S$2="",100,$S$2)&lt;設定!$I$29,設定!$G$10,設定!$G$9)))</f>
        <v/>
      </c>
    </row>
    <row r="105" customFormat="false" ht="21" hidden="false" customHeight="true" outlineLevel="0" collapsed="false">
      <c r="A105" s="91" t="str">
        <f aca="false">IF(名簿!$D105="","",名簿!$B105&amp;"")</f>
        <v/>
      </c>
      <c r="B105" s="91" t="str">
        <f aca="false">IF(名簿!$D105="","",名簿!$C105)</f>
        <v/>
      </c>
      <c r="C105" s="59" t="str">
        <f aca="false">IF(名簿!$D105="","",名簿!$D105&amp;IF(名簿!$F105="転出","（転出）",""))</f>
        <v/>
      </c>
      <c r="D105" s="149"/>
      <c r="E105" s="61" t="str">
        <f aca="false">IF(OR($C105="",名簿!$F105="転出"),"",IF($C$2="学級ごと",$A105,IF($C$2="前の単元と同じ",単元19!$E105&amp;"",$D105&amp;"")))</f>
        <v/>
      </c>
      <c r="F105" s="150"/>
      <c r="G105" s="150"/>
      <c r="H105" s="150"/>
      <c r="I105" s="151"/>
      <c r="J105" s="41" t="str">
        <f aca="false">IF($E105="","",$E105&amp;"|"&amp;COUNTIF($E$5:$E105,$E105))</f>
        <v/>
      </c>
      <c r="K105" s="40" t="str">
        <f aca="false">IF($I105="","",LEN($I105))</f>
        <v/>
      </c>
      <c r="L105" s="13"/>
      <c r="M105" s="13"/>
      <c r="N105" s="13"/>
      <c r="O105" s="13"/>
      <c r="P105" s="152"/>
      <c r="Q105" s="149"/>
      <c r="R105" s="152"/>
      <c r="S105" s="152"/>
      <c r="T105" s="62" t="str">
        <f aca="false">IF(OR($C105="",R105=""),"",IF(R105/IF($R$2="",100,$R$2)&gt;=設定!$I$28,設定!$G$8,IF(R105/IF($R$2="",100,$R$2)&lt;設定!$I$29,設定!$G$10,設定!$G$9)))</f>
        <v/>
      </c>
      <c r="U105" s="62" t="str">
        <f aca="false">IF(OR($C105="",S105=""),"",IF(S105/IF($S$2="",100,$S$2)&gt;=設定!$I$28,設定!$G$8,IF(S105/IF($S$2="",100,$S$2)&lt;設定!$I$29,設定!$G$10,設定!$G$9)))</f>
        <v/>
      </c>
    </row>
    <row r="106" customFormat="false" ht="21" hidden="false" customHeight="true" outlineLevel="0" collapsed="false">
      <c r="A106" s="91" t="str">
        <f aca="false">IF(名簿!$D106="","",名簿!$B106&amp;"")</f>
        <v/>
      </c>
      <c r="B106" s="91" t="str">
        <f aca="false">IF(名簿!$D106="","",名簿!$C106)</f>
        <v/>
      </c>
      <c r="C106" s="59" t="str">
        <f aca="false">IF(名簿!$D106="","",名簿!$D106&amp;IF(名簿!$F106="転出","（転出）",""))</f>
        <v/>
      </c>
      <c r="D106" s="149"/>
      <c r="E106" s="61" t="str">
        <f aca="false">IF(OR($C106="",名簿!$F106="転出"),"",IF($C$2="学級ごと",$A106,IF($C$2="前の単元と同じ",単元19!$E106&amp;"",$D106&amp;"")))</f>
        <v/>
      </c>
      <c r="F106" s="150"/>
      <c r="G106" s="150"/>
      <c r="H106" s="150"/>
      <c r="I106" s="151"/>
      <c r="J106" s="41" t="str">
        <f aca="false">IF($E106="","",$E106&amp;"|"&amp;COUNTIF($E$5:$E106,$E106))</f>
        <v/>
      </c>
      <c r="K106" s="40" t="str">
        <f aca="false">IF($I106="","",LEN($I106))</f>
        <v/>
      </c>
      <c r="L106" s="13"/>
      <c r="M106" s="13"/>
      <c r="N106" s="13"/>
      <c r="O106" s="13"/>
      <c r="P106" s="152"/>
      <c r="Q106" s="149"/>
      <c r="R106" s="152"/>
      <c r="S106" s="152"/>
      <c r="T106" s="62" t="str">
        <f aca="false">IF(OR($C106="",R106=""),"",IF(R106/IF($R$2="",100,$R$2)&gt;=設定!$I$28,設定!$G$8,IF(R106/IF($R$2="",100,$R$2)&lt;設定!$I$29,設定!$G$10,設定!$G$9)))</f>
        <v/>
      </c>
      <c r="U106" s="62" t="str">
        <f aca="false">IF(OR($C106="",S106=""),"",IF(S106/IF($S$2="",100,$S$2)&gt;=設定!$I$28,設定!$G$8,IF(S106/IF($S$2="",100,$S$2)&lt;設定!$I$29,設定!$G$10,設定!$G$9)))</f>
        <v/>
      </c>
    </row>
    <row r="107" customFormat="false" ht="21" hidden="false" customHeight="true" outlineLevel="0" collapsed="false">
      <c r="A107" s="91" t="str">
        <f aca="false">IF(名簿!$D107="","",名簿!$B107&amp;"")</f>
        <v/>
      </c>
      <c r="B107" s="91" t="str">
        <f aca="false">IF(名簿!$D107="","",名簿!$C107)</f>
        <v/>
      </c>
      <c r="C107" s="59" t="str">
        <f aca="false">IF(名簿!$D107="","",名簿!$D107&amp;IF(名簿!$F107="転出","（転出）",""))</f>
        <v/>
      </c>
      <c r="D107" s="149"/>
      <c r="E107" s="61" t="str">
        <f aca="false">IF(OR($C107="",名簿!$F107="転出"),"",IF($C$2="学級ごと",$A107,IF($C$2="前の単元と同じ",単元19!$E107&amp;"",$D107&amp;"")))</f>
        <v/>
      </c>
      <c r="F107" s="150"/>
      <c r="G107" s="150"/>
      <c r="H107" s="150"/>
      <c r="I107" s="151"/>
      <c r="J107" s="41" t="str">
        <f aca="false">IF($E107="","",$E107&amp;"|"&amp;COUNTIF($E$5:$E107,$E107))</f>
        <v/>
      </c>
      <c r="K107" s="40" t="str">
        <f aca="false">IF($I107="","",LEN($I107))</f>
        <v/>
      </c>
      <c r="L107" s="13"/>
      <c r="M107" s="13"/>
      <c r="N107" s="13"/>
      <c r="O107" s="13"/>
      <c r="P107" s="152"/>
      <c r="Q107" s="149"/>
      <c r="R107" s="152"/>
      <c r="S107" s="152"/>
      <c r="T107" s="62" t="str">
        <f aca="false">IF(OR($C107="",R107=""),"",IF(R107/IF($R$2="",100,$R$2)&gt;=設定!$I$28,設定!$G$8,IF(R107/IF($R$2="",100,$R$2)&lt;設定!$I$29,設定!$G$10,設定!$G$9)))</f>
        <v/>
      </c>
      <c r="U107" s="62" t="str">
        <f aca="false">IF(OR($C107="",S107=""),"",IF(S107/IF($S$2="",100,$S$2)&gt;=設定!$I$28,設定!$G$8,IF(S107/IF($S$2="",100,$S$2)&lt;設定!$I$29,設定!$G$10,設定!$G$9)))</f>
        <v/>
      </c>
    </row>
    <row r="108" customFormat="false" ht="21" hidden="false" customHeight="true" outlineLevel="0" collapsed="false">
      <c r="A108" s="91" t="str">
        <f aca="false">IF(名簿!$D108="","",名簿!$B108&amp;"")</f>
        <v/>
      </c>
      <c r="B108" s="91" t="str">
        <f aca="false">IF(名簿!$D108="","",名簿!$C108)</f>
        <v/>
      </c>
      <c r="C108" s="59" t="str">
        <f aca="false">IF(名簿!$D108="","",名簿!$D108&amp;IF(名簿!$F108="転出","（転出）",""))</f>
        <v/>
      </c>
      <c r="D108" s="149"/>
      <c r="E108" s="61" t="str">
        <f aca="false">IF(OR($C108="",名簿!$F108="転出"),"",IF($C$2="学級ごと",$A108,IF($C$2="前の単元と同じ",単元19!$E108&amp;"",$D108&amp;"")))</f>
        <v/>
      </c>
      <c r="F108" s="150"/>
      <c r="G108" s="150"/>
      <c r="H108" s="150"/>
      <c r="I108" s="151"/>
      <c r="J108" s="41" t="str">
        <f aca="false">IF($E108="","",$E108&amp;"|"&amp;COUNTIF($E$5:$E108,$E108))</f>
        <v/>
      </c>
      <c r="K108" s="40" t="str">
        <f aca="false">IF($I108="","",LEN($I108))</f>
        <v/>
      </c>
      <c r="L108" s="13"/>
      <c r="M108" s="13"/>
      <c r="N108" s="13"/>
      <c r="O108" s="13"/>
      <c r="P108" s="152"/>
      <c r="Q108" s="149"/>
      <c r="R108" s="152"/>
      <c r="S108" s="152"/>
      <c r="T108" s="62" t="str">
        <f aca="false">IF(OR($C108="",R108=""),"",IF(R108/IF($R$2="",100,$R$2)&gt;=設定!$I$28,設定!$G$8,IF(R108/IF($R$2="",100,$R$2)&lt;設定!$I$29,設定!$G$10,設定!$G$9)))</f>
        <v/>
      </c>
      <c r="U108" s="62" t="str">
        <f aca="false">IF(OR($C108="",S108=""),"",IF(S108/IF($S$2="",100,$S$2)&gt;=設定!$I$28,設定!$G$8,IF(S108/IF($S$2="",100,$S$2)&lt;設定!$I$29,設定!$G$10,設定!$G$9)))</f>
        <v/>
      </c>
    </row>
    <row r="109" customFormat="false" ht="21" hidden="false" customHeight="true" outlineLevel="0" collapsed="false">
      <c r="A109" s="91" t="str">
        <f aca="false">IF(名簿!$D109="","",名簿!$B109&amp;"")</f>
        <v/>
      </c>
      <c r="B109" s="91" t="str">
        <f aca="false">IF(名簿!$D109="","",名簿!$C109)</f>
        <v/>
      </c>
      <c r="C109" s="59" t="str">
        <f aca="false">IF(名簿!$D109="","",名簿!$D109&amp;IF(名簿!$F109="転出","（転出）",""))</f>
        <v/>
      </c>
      <c r="D109" s="149"/>
      <c r="E109" s="61" t="str">
        <f aca="false">IF(OR($C109="",名簿!$F109="転出"),"",IF($C$2="学級ごと",$A109,IF($C$2="前の単元と同じ",単元19!$E109&amp;"",$D109&amp;"")))</f>
        <v/>
      </c>
      <c r="F109" s="150"/>
      <c r="G109" s="150"/>
      <c r="H109" s="150"/>
      <c r="I109" s="151"/>
      <c r="J109" s="41" t="str">
        <f aca="false">IF($E109="","",$E109&amp;"|"&amp;COUNTIF($E$5:$E109,$E109))</f>
        <v/>
      </c>
      <c r="K109" s="40" t="str">
        <f aca="false">IF($I109="","",LEN($I109))</f>
        <v/>
      </c>
      <c r="L109" s="13"/>
      <c r="M109" s="13"/>
      <c r="N109" s="13"/>
      <c r="O109" s="13"/>
      <c r="P109" s="152"/>
      <c r="Q109" s="149"/>
      <c r="R109" s="152"/>
      <c r="S109" s="152"/>
      <c r="T109" s="62" t="str">
        <f aca="false">IF(OR($C109="",R109=""),"",IF(R109/IF($R$2="",100,$R$2)&gt;=設定!$I$28,設定!$G$8,IF(R109/IF($R$2="",100,$R$2)&lt;設定!$I$29,設定!$G$10,設定!$G$9)))</f>
        <v/>
      </c>
      <c r="U109" s="62" t="str">
        <f aca="false">IF(OR($C109="",S109=""),"",IF(S109/IF($S$2="",100,$S$2)&gt;=設定!$I$28,設定!$G$8,IF(S109/IF($S$2="",100,$S$2)&lt;設定!$I$29,設定!$G$10,設定!$G$9)))</f>
        <v/>
      </c>
    </row>
    <row r="110" customFormat="false" ht="21" hidden="false" customHeight="true" outlineLevel="0" collapsed="false">
      <c r="A110" s="91" t="str">
        <f aca="false">IF(名簿!$D110="","",名簿!$B110&amp;"")</f>
        <v/>
      </c>
      <c r="B110" s="91" t="str">
        <f aca="false">IF(名簿!$D110="","",名簿!$C110)</f>
        <v/>
      </c>
      <c r="C110" s="59" t="str">
        <f aca="false">IF(名簿!$D110="","",名簿!$D110&amp;IF(名簿!$F110="転出","（転出）",""))</f>
        <v/>
      </c>
      <c r="D110" s="149"/>
      <c r="E110" s="61" t="str">
        <f aca="false">IF(OR($C110="",名簿!$F110="転出"),"",IF($C$2="学級ごと",$A110,IF($C$2="前の単元と同じ",単元19!$E110&amp;"",$D110&amp;"")))</f>
        <v/>
      </c>
      <c r="F110" s="150"/>
      <c r="G110" s="150"/>
      <c r="H110" s="150"/>
      <c r="I110" s="151"/>
      <c r="J110" s="41" t="str">
        <f aca="false">IF($E110="","",$E110&amp;"|"&amp;COUNTIF($E$5:$E110,$E110))</f>
        <v/>
      </c>
      <c r="K110" s="40" t="str">
        <f aca="false">IF($I110="","",LEN($I110))</f>
        <v/>
      </c>
      <c r="L110" s="13"/>
      <c r="M110" s="13"/>
      <c r="N110" s="13"/>
      <c r="O110" s="13"/>
      <c r="P110" s="152"/>
      <c r="Q110" s="149"/>
      <c r="R110" s="152"/>
      <c r="S110" s="152"/>
      <c r="T110" s="62" t="str">
        <f aca="false">IF(OR($C110="",R110=""),"",IF(R110/IF($R$2="",100,$R$2)&gt;=設定!$I$28,設定!$G$8,IF(R110/IF($R$2="",100,$R$2)&lt;設定!$I$29,設定!$G$10,設定!$G$9)))</f>
        <v/>
      </c>
      <c r="U110" s="62" t="str">
        <f aca="false">IF(OR($C110="",S110=""),"",IF(S110/IF($S$2="",100,$S$2)&gt;=設定!$I$28,設定!$G$8,IF(S110/IF($S$2="",100,$S$2)&lt;設定!$I$29,設定!$G$10,設定!$G$9)))</f>
        <v/>
      </c>
    </row>
    <row r="111" customFormat="false" ht="21" hidden="false" customHeight="true" outlineLevel="0" collapsed="false">
      <c r="A111" s="91" t="str">
        <f aca="false">IF(名簿!$D111="","",名簿!$B111&amp;"")</f>
        <v/>
      </c>
      <c r="B111" s="91" t="str">
        <f aca="false">IF(名簿!$D111="","",名簿!$C111)</f>
        <v/>
      </c>
      <c r="C111" s="59" t="str">
        <f aca="false">IF(名簿!$D111="","",名簿!$D111&amp;IF(名簿!$F111="転出","（転出）",""))</f>
        <v/>
      </c>
      <c r="D111" s="149"/>
      <c r="E111" s="61" t="str">
        <f aca="false">IF(OR($C111="",名簿!$F111="転出"),"",IF($C$2="学級ごと",$A111,IF($C$2="前の単元と同じ",単元19!$E111&amp;"",$D111&amp;"")))</f>
        <v/>
      </c>
      <c r="F111" s="150"/>
      <c r="G111" s="150"/>
      <c r="H111" s="150"/>
      <c r="I111" s="151"/>
      <c r="J111" s="41" t="str">
        <f aca="false">IF($E111="","",$E111&amp;"|"&amp;COUNTIF($E$5:$E111,$E111))</f>
        <v/>
      </c>
      <c r="K111" s="40" t="str">
        <f aca="false">IF($I111="","",LEN($I111))</f>
        <v/>
      </c>
      <c r="L111" s="13"/>
      <c r="M111" s="13"/>
      <c r="N111" s="13"/>
      <c r="O111" s="13"/>
      <c r="P111" s="152"/>
      <c r="Q111" s="149"/>
      <c r="R111" s="152"/>
      <c r="S111" s="152"/>
      <c r="T111" s="62" t="str">
        <f aca="false">IF(OR($C111="",R111=""),"",IF(R111/IF($R$2="",100,$R$2)&gt;=設定!$I$28,設定!$G$8,IF(R111/IF($R$2="",100,$R$2)&lt;設定!$I$29,設定!$G$10,設定!$G$9)))</f>
        <v/>
      </c>
      <c r="U111" s="62" t="str">
        <f aca="false">IF(OR($C111="",S111=""),"",IF(S111/IF($S$2="",100,$S$2)&gt;=設定!$I$28,設定!$G$8,IF(S111/IF($S$2="",100,$S$2)&lt;設定!$I$29,設定!$G$10,設定!$G$9)))</f>
        <v/>
      </c>
    </row>
    <row r="112" customFormat="false" ht="21" hidden="false" customHeight="true" outlineLevel="0" collapsed="false">
      <c r="A112" s="91" t="str">
        <f aca="false">IF(名簿!$D112="","",名簿!$B112&amp;"")</f>
        <v/>
      </c>
      <c r="B112" s="91" t="str">
        <f aca="false">IF(名簿!$D112="","",名簿!$C112)</f>
        <v/>
      </c>
      <c r="C112" s="59" t="str">
        <f aca="false">IF(名簿!$D112="","",名簿!$D112&amp;IF(名簿!$F112="転出","（転出）",""))</f>
        <v/>
      </c>
      <c r="D112" s="149"/>
      <c r="E112" s="61" t="str">
        <f aca="false">IF(OR($C112="",名簿!$F112="転出"),"",IF($C$2="学級ごと",$A112,IF($C$2="前の単元と同じ",単元19!$E112&amp;"",$D112&amp;"")))</f>
        <v/>
      </c>
      <c r="F112" s="150"/>
      <c r="G112" s="150"/>
      <c r="H112" s="150"/>
      <c r="I112" s="151"/>
      <c r="J112" s="41" t="str">
        <f aca="false">IF($E112="","",$E112&amp;"|"&amp;COUNTIF($E$5:$E112,$E112))</f>
        <v/>
      </c>
      <c r="K112" s="40" t="str">
        <f aca="false">IF($I112="","",LEN($I112))</f>
        <v/>
      </c>
      <c r="L112" s="13"/>
      <c r="M112" s="13"/>
      <c r="N112" s="13"/>
      <c r="O112" s="13"/>
      <c r="P112" s="152"/>
      <c r="Q112" s="149"/>
      <c r="R112" s="152"/>
      <c r="S112" s="152"/>
      <c r="T112" s="62" t="str">
        <f aca="false">IF(OR($C112="",R112=""),"",IF(R112/IF($R$2="",100,$R$2)&gt;=設定!$I$28,設定!$G$8,IF(R112/IF($R$2="",100,$R$2)&lt;設定!$I$29,設定!$G$10,設定!$G$9)))</f>
        <v/>
      </c>
      <c r="U112" s="62" t="str">
        <f aca="false">IF(OR($C112="",S112=""),"",IF(S112/IF($S$2="",100,$S$2)&gt;=設定!$I$28,設定!$G$8,IF(S112/IF($S$2="",100,$S$2)&lt;設定!$I$29,設定!$G$10,設定!$G$9)))</f>
        <v/>
      </c>
    </row>
    <row r="113" customFormat="false" ht="21" hidden="false" customHeight="true" outlineLevel="0" collapsed="false">
      <c r="A113" s="91" t="str">
        <f aca="false">IF(名簿!$D113="","",名簿!$B113&amp;"")</f>
        <v/>
      </c>
      <c r="B113" s="91" t="str">
        <f aca="false">IF(名簿!$D113="","",名簿!$C113)</f>
        <v/>
      </c>
      <c r="C113" s="59" t="str">
        <f aca="false">IF(名簿!$D113="","",名簿!$D113&amp;IF(名簿!$F113="転出","（転出）",""))</f>
        <v/>
      </c>
      <c r="D113" s="149"/>
      <c r="E113" s="61" t="str">
        <f aca="false">IF(OR($C113="",名簿!$F113="転出"),"",IF($C$2="学級ごと",$A113,IF($C$2="前の単元と同じ",単元19!$E113&amp;"",$D113&amp;"")))</f>
        <v/>
      </c>
      <c r="F113" s="150"/>
      <c r="G113" s="150"/>
      <c r="H113" s="150"/>
      <c r="I113" s="151"/>
      <c r="J113" s="41" t="str">
        <f aca="false">IF($E113="","",$E113&amp;"|"&amp;COUNTIF($E$5:$E113,$E113))</f>
        <v/>
      </c>
      <c r="K113" s="40" t="str">
        <f aca="false">IF($I113="","",LEN($I113))</f>
        <v/>
      </c>
      <c r="L113" s="13"/>
      <c r="M113" s="13"/>
      <c r="N113" s="13"/>
      <c r="O113" s="13"/>
      <c r="P113" s="152"/>
      <c r="Q113" s="149"/>
      <c r="R113" s="152"/>
      <c r="S113" s="152"/>
      <c r="T113" s="62" t="str">
        <f aca="false">IF(OR($C113="",R113=""),"",IF(R113/IF($R$2="",100,$R$2)&gt;=設定!$I$28,設定!$G$8,IF(R113/IF($R$2="",100,$R$2)&lt;設定!$I$29,設定!$G$10,設定!$G$9)))</f>
        <v/>
      </c>
      <c r="U113" s="62" t="str">
        <f aca="false">IF(OR($C113="",S113=""),"",IF(S113/IF($S$2="",100,$S$2)&gt;=設定!$I$28,設定!$G$8,IF(S113/IF($S$2="",100,$S$2)&lt;設定!$I$29,設定!$G$10,設定!$G$9)))</f>
        <v/>
      </c>
    </row>
    <row r="114" customFormat="false" ht="21" hidden="false" customHeight="true" outlineLevel="0" collapsed="false">
      <c r="A114" s="91" t="str">
        <f aca="false">IF(名簿!$D114="","",名簿!$B114&amp;"")</f>
        <v/>
      </c>
      <c r="B114" s="91" t="str">
        <f aca="false">IF(名簿!$D114="","",名簿!$C114)</f>
        <v/>
      </c>
      <c r="C114" s="59" t="str">
        <f aca="false">IF(名簿!$D114="","",名簿!$D114&amp;IF(名簿!$F114="転出","（転出）",""))</f>
        <v/>
      </c>
      <c r="D114" s="149"/>
      <c r="E114" s="61" t="str">
        <f aca="false">IF(OR($C114="",名簿!$F114="転出"),"",IF($C$2="学級ごと",$A114,IF($C$2="前の単元と同じ",単元19!$E114&amp;"",$D114&amp;"")))</f>
        <v/>
      </c>
      <c r="F114" s="150"/>
      <c r="G114" s="150"/>
      <c r="H114" s="150"/>
      <c r="I114" s="151"/>
      <c r="J114" s="41" t="str">
        <f aca="false">IF($E114="","",$E114&amp;"|"&amp;COUNTIF($E$5:$E114,$E114))</f>
        <v/>
      </c>
      <c r="K114" s="40" t="str">
        <f aca="false">IF($I114="","",LEN($I114))</f>
        <v/>
      </c>
      <c r="L114" s="13"/>
      <c r="M114" s="13"/>
      <c r="N114" s="13"/>
      <c r="O114" s="13"/>
      <c r="P114" s="152"/>
      <c r="Q114" s="149"/>
      <c r="R114" s="152"/>
      <c r="S114" s="152"/>
      <c r="T114" s="62" t="str">
        <f aca="false">IF(OR($C114="",R114=""),"",IF(R114/IF($R$2="",100,$R$2)&gt;=設定!$I$28,設定!$G$8,IF(R114/IF($R$2="",100,$R$2)&lt;設定!$I$29,設定!$G$10,設定!$G$9)))</f>
        <v/>
      </c>
      <c r="U114" s="62" t="str">
        <f aca="false">IF(OR($C114="",S114=""),"",IF(S114/IF($S$2="",100,$S$2)&gt;=設定!$I$28,設定!$G$8,IF(S114/IF($S$2="",100,$S$2)&lt;設定!$I$29,設定!$G$10,設定!$G$9)))</f>
        <v/>
      </c>
    </row>
    <row r="115" customFormat="false" ht="21" hidden="false" customHeight="true" outlineLevel="0" collapsed="false">
      <c r="A115" s="91" t="str">
        <f aca="false">IF(名簿!$D115="","",名簿!$B115&amp;"")</f>
        <v/>
      </c>
      <c r="B115" s="91" t="str">
        <f aca="false">IF(名簿!$D115="","",名簿!$C115)</f>
        <v/>
      </c>
      <c r="C115" s="59" t="str">
        <f aca="false">IF(名簿!$D115="","",名簿!$D115&amp;IF(名簿!$F115="転出","（転出）",""))</f>
        <v/>
      </c>
      <c r="D115" s="149"/>
      <c r="E115" s="61" t="str">
        <f aca="false">IF(OR($C115="",名簿!$F115="転出"),"",IF($C$2="学級ごと",$A115,IF($C$2="前の単元と同じ",単元19!$E115&amp;"",$D115&amp;"")))</f>
        <v/>
      </c>
      <c r="F115" s="150"/>
      <c r="G115" s="150"/>
      <c r="H115" s="150"/>
      <c r="I115" s="151"/>
      <c r="J115" s="41" t="str">
        <f aca="false">IF($E115="","",$E115&amp;"|"&amp;COUNTIF($E$5:$E115,$E115))</f>
        <v/>
      </c>
      <c r="K115" s="40" t="str">
        <f aca="false">IF($I115="","",LEN($I115))</f>
        <v/>
      </c>
      <c r="L115" s="13"/>
      <c r="M115" s="13"/>
      <c r="N115" s="13"/>
      <c r="O115" s="13"/>
      <c r="P115" s="152"/>
      <c r="Q115" s="149"/>
      <c r="R115" s="152"/>
      <c r="S115" s="152"/>
      <c r="T115" s="62" t="str">
        <f aca="false">IF(OR($C115="",R115=""),"",IF(R115/IF($R$2="",100,$R$2)&gt;=設定!$I$28,設定!$G$8,IF(R115/IF($R$2="",100,$R$2)&lt;設定!$I$29,設定!$G$10,設定!$G$9)))</f>
        <v/>
      </c>
      <c r="U115" s="62" t="str">
        <f aca="false">IF(OR($C115="",S115=""),"",IF(S115/IF($S$2="",100,$S$2)&gt;=設定!$I$28,設定!$G$8,IF(S115/IF($S$2="",100,$S$2)&lt;設定!$I$29,設定!$G$10,設定!$G$9)))</f>
        <v/>
      </c>
    </row>
    <row r="116" customFormat="false" ht="21" hidden="false" customHeight="true" outlineLevel="0" collapsed="false">
      <c r="A116" s="91" t="str">
        <f aca="false">IF(名簿!$D116="","",名簿!$B116&amp;"")</f>
        <v/>
      </c>
      <c r="B116" s="91" t="str">
        <f aca="false">IF(名簿!$D116="","",名簿!$C116)</f>
        <v/>
      </c>
      <c r="C116" s="59" t="str">
        <f aca="false">IF(名簿!$D116="","",名簿!$D116&amp;IF(名簿!$F116="転出","（転出）",""))</f>
        <v/>
      </c>
      <c r="D116" s="149"/>
      <c r="E116" s="61" t="str">
        <f aca="false">IF(OR($C116="",名簿!$F116="転出"),"",IF($C$2="学級ごと",$A116,IF($C$2="前の単元と同じ",単元19!$E116&amp;"",$D116&amp;"")))</f>
        <v/>
      </c>
      <c r="F116" s="150"/>
      <c r="G116" s="150"/>
      <c r="H116" s="150"/>
      <c r="I116" s="151"/>
      <c r="J116" s="41" t="str">
        <f aca="false">IF($E116="","",$E116&amp;"|"&amp;COUNTIF($E$5:$E116,$E116))</f>
        <v/>
      </c>
      <c r="K116" s="40" t="str">
        <f aca="false">IF($I116="","",LEN($I116))</f>
        <v/>
      </c>
      <c r="L116" s="13"/>
      <c r="M116" s="13"/>
      <c r="N116" s="13"/>
      <c r="O116" s="13"/>
      <c r="P116" s="152"/>
      <c r="Q116" s="149"/>
      <c r="R116" s="152"/>
      <c r="S116" s="152"/>
      <c r="T116" s="62" t="str">
        <f aca="false">IF(OR($C116="",R116=""),"",IF(R116/IF($R$2="",100,$R$2)&gt;=設定!$I$28,設定!$G$8,IF(R116/IF($R$2="",100,$R$2)&lt;設定!$I$29,設定!$G$10,設定!$G$9)))</f>
        <v/>
      </c>
      <c r="U116" s="62" t="str">
        <f aca="false">IF(OR($C116="",S116=""),"",IF(S116/IF($S$2="",100,$S$2)&gt;=設定!$I$28,設定!$G$8,IF(S116/IF($S$2="",100,$S$2)&lt;設定!$I$29,設定!$G$10,設定!$G$9)))</f>
        <v/>
      </c>
    </row>
    <row r="117" customFormat="false" ht="21" hidden="false" customHeight="true" outlineLevel="0" collapsed="false">
      <c r="A117" s="91" t="str">
        <f aca="false">IF(名簿!$D117="","",名簿!$B117&amp;"")</f>
        <v/>
      </c>
      <c r="B117" s="91" t="str">
        <f aca="false">IF(名簿!$D117="","",名簿!$C117)</f>
        <v/>
      </c>
      <c r="C117" s="59" t="str">
        <f aca="false">IF(名簿!$D117="","",名簿!$D117&amp;IF(名簿!$F117="転出","（転出）",""))</f>
        <v/>
      </c>
      <c r="D117" s="149"/>
      <c r="E117" s="61" t="str">
        <f aca="false">IF(OR($C117="",名簿!$F117="転出"),"",IF($C$2="学級ごと",$A117,IF($C$2="前の単元と同じ",単元19!$E117&amp;"",$D117&amp;"")))</f>
        <v/>
      </c>
      <c r="F117" s="150"/>
      <c r="G117" s="150"/>
      <c r="H117" s="150"/>
      <c r="I117" s="151"/>
      <c r="J117" s="41" t="str">
        <f aca="false">IF($E117="","",$E117&amp;"|"&amp;COUNTIF($E$5:$E117,$E117))</f>
        <v/>
      </c>
      <c r="K117" s="40" t="str">
        <f aca="false">IF($I117="","",LEN($I117))</f>
        <v/>
      </c>
      <c r="L117" s="13"/>
      <c r="M117" s="13"/>
      <c r="N117" s="13"/>
      <c r="O117" s="13"/>
      <c r="P117" s="152"/>
      <c r="Q117" s="149"/>
      <c r="R117" s="152"/>
      <c r="S117" s="152"/>
      <c r="T117" s="62" t="str">
        <f aca="false">IF(OR($C117="",R117=""),"",IF(R117/IF($R$2="",100,$R$2)&gt;=設定!$I$28,設定!$G$8,IF(R117/IF($R$2="",100,$R$2)&lt;設定!$I$29,設定!$G$10,設定!$G$9)))</f>
        <v/>
      </c>
      <c r="U117" s="62" t="str">
        <f aca="false">IF(OR($C117="",S117=""),"",IF(S117/IF($S$2="",100,$S$2)&gt;=設定!$I$28,設定!$G$8,IF(S117/IF($S$2="",100,$S$2)&lt;設定!$I$29,設定!$G$10,設定!$G$9)))</f>
        <v/>
      </c>
    </row>
    <row r="118" customFormat="false" ht="21" hidden="false" customHeight="true" outlineLevel="0" collapsed="false">
      <c r="A118" s="91" t="str">
        <f aca="false">IF(名簿!$D118="","",名簿!$B118&amp;"")</f>
        <v/>
      </c>
      <c r="B118" s="91" t="str">
        <f aca="false">IF(名簿!$D118="","",名簿!$C118)</f>
        <v/>
      </c>
      <c r="C118" s="59" t="str">
        <f aca="false">IF(名簿!$D118="","",名簿!$D118&amp;IF(名簿!$F118="転出","（転出）",""))</f>
        <v/>
      </c>
      <c r="D118" s="149"/>
      <c r="E118" s="61" t="str">
        <f aca="false">IF(OR($C118="",名簿!$F118="転出"),"",IF($C$2="学級ごと",$A118,IF($C$2="前の単元と同じ",単元19!$E118&amp;"",$D118&amp;"")))</f>
        <v/>
      </c>
      <c r="F118" s="150"/>
      <c r="G118" s="150"/>
      <c r="H118" s="150"/>
      <c r="I118" s="151"/>
      <c r="J118" s="41" t="str">
        <f aca="false">IF($E118="","",$E118&amp;"|"&amp;COUNTIF($E$5:$E118,$E118))</f>
        <v/>
      </c>
      <c r="K118" s="40" t="str">
        <f aca="false">IF($I118="","",LEN($I118))</f>
        <v/>
      </c>
      <c r="L118" s="13"/>
      <c r="M118" s="13"/>
      <c r="N118" s="13"/>
      <c r="O118" s="13"/>
      <c r="P118" s="152"/>
      <c r="Q118" s="149"/>
      <c r="R118" s="152"/>
      <c r="S118" s="152"/>
      <c r="T118" s="62" t="str">
        <f aca="false">IF(OR($C118="",R118=""),"",IF(R118/IF($R$2="",100,$R$2)&gt;=設定!$I$28,設定!$G$8,IF(R118/IF($R$2="",100,$R$2)&lt;設定!$I$29,設定!$G$10,設定!$G$9)))</f>
        <v/>
      </c>
      <c r="U118" s="62" t="str">
        <f aca="false">IF(OR($C118="",S118=""),"",IF(S118/IF($S$2="",100,$S$2)&gt;=設定!$I$28,設定!$G$8,IF(S118/IF($S$2="",100,$S$2)&lt;設定!$I$29,設定!$G$10,設定!$G$9)))</f>
        <v/>
      </c>
    </row>
    <row r="119" customFormat="false" ht="21" hidden="false" customHeight="true" outlineLevel="0" collapsed="false">
      <c r="A119" s="91" t="str">
        <f aca="false">IF(名簿!$D119="","",名簿!$B119&amp;"")</f>
        <v/>
      </c>
      <c r="B119" s="91" t="str">
        <f aca="false">IF(名簿!$D119="","",名簿!$C119)</f>
        <v/>
      </c>
      <c r="C119" s="59" t="str">
        <f aca="false">IF(名簿!$D119="","",名簿!$D119&amp;IF(名簿!$F119="転出","（転出）",""))</f>
        <v/>
      </c>
      <c r="D119" s="149"/>
      <c r="E119" s="61" t="str">
        <f aca="false">IF(OR($C119="",名簿!$F119="転出"),"",IF($C$2="学級ごと",$A119,IF($C$2="前の単元と同じ",単元19!$E119&amp;"",$D119&amp;"")))</f>
        <v/>
      </c>
      <c r="F119" s="150"/>
      <c r="G119" s="150"/>
      <c r="H119" s="150"/>
      <c r="I119" s="151"/>
      <c r="J119" s="41" t="str">
        <f aca="false">IF($E119="","",$E119&amp;"|"&amp;COUNTIF($E$5:$E119,$E119))</f>
        <v/>
      </c>
      <c r="K119" s="40" t="str">
        <f aca="false">IF($I119="","",LEN($I119))</f>
        <v/>
      </c>
      <c r="L119" s="13"/>
      <c r="M119" s="13"/>
      <c r="N119" s="13"/>
      <c r="O119" s="13"/>
      <c r="P119" s="152"/>
      <c r="Q119" s="149"/>
      <c r="R119" s="152"/>
      <c r="S119" s="152"/>
      <c r="T119" s="62" t="str">
        <f aca="false">IF(OR($C119="",R119=""),"",IF(R119/IF($R$2="",100,$R$2)&gt;=設定!$I$28,設定!$G$8,IF(R119/IF($R$2="",100,$R$2)&lt;設定!$I$29,設定!$G$10,設定!$G$9)))</f>
        <v/>
      </c>
      <c r="U119" s="62" t="str">
        <f aca="false">IF(OR($C119="",S119=""),"",IF(S119/IF($S$2="",100,$S$2)&gt;=設定!$I$28,設定!$G$8,IF(S119/IF($S$2="",100,$S$2)&lt;設定!$I$29,設定!$G$10,設定!$G$9)))</f>
        <v/>
      </c>
    </row>
    <row r="120" customFormat="false" ht="21" hidden="false" customHeight="true" outlineLevel="0" collapsed="false">
      <c r="A120" s="91" t="str">
        <f aca="false">IF(名簿!$D120="","",名簿!$B120&amp;"")</f>
        <v/>
      </c>
      <c r="B120" s="91" t="str">
        <f aca="false">IF(名簿!$D120="","",名簿!$C120)</f>
        <v/>
      </c>
      <c r="C120" s="59" t="str">
        <f aca="false">IF(名簿!$D120="","",名簿!$D120&amp;IF(名簿!$F120="転出","（転出）",""))</f>
        <v/>
      </c>
      <c r="D120" s="149"/>
      <c r="E120" s="61" t="str">
        <f aca="false">IF(OR($C120="",名簿!$F120="転出"),"",IF($C$2="学級ごと",$A120,IF($C$2="前の単元と同じ",単元19!$E120&amp;"",$D120&amp;"")))</f>
        <v/>
      </c>
      <c r="F120" s="150"/>
      <c r="G120" s="150"/>
      <c r="H120" s="150"/>
      <c r="I120" s="151"/>
      <c r="J120" s="41" t="str">
        <f aca="false">IF($E120="","",$E120&amp;"|"&amp;COUNTIF($E$5:$E120,$E120))</f>
        <v/>
      </c>
      <c r="K120" s="40" t="str">
        <f aca="false">IF($I120="","",LEN($I120))</f>
        <v/>
      </c>
      <c r="L120" s="13"/>
      <c r="M120" s="13"/>
      <c r="N120" s="13"/>
      <c r="O120" s="13"/>
      <c r="P120" s="152"/>
      <c r="Q120" s="149"/>
      <c r="R120" s="152"/>
      <c r="S120" s="152"/>
      <c r="T120" s="62" t="str">
        <f aca="false">IF(OR($C120="",R120=""),"",IF(R120/IF($R$2="",100,$R$2)&gt;=設定!$I$28,設定!$G$8,IF(R120/IF($R$2="",100,$R$2)&lt;設定!$I$29,設定!$G$10,設定!$G$9)))</f>
        <v/>
      </c>
      <c r="U120" s="62" t="str">
        <f aca="false">IF(OR($C120="",S120=""),"",IF(S120/IF($S$2="",100,$S$2)&gt;=設定!$I$28,設定!$G$8,IF(S120/IF($S$2="",100,$S$2)&lt;設定!$I$29,設定!$G$10,設定!$G$9)))</f>
        <v/>
      </c>
    </row>
    <row r="121" customFormat="false" ht="21" hidden="false" customHeight="true" outlineLevel="0" collapsed="false">
      <c r="A121" s="91" t="str">
        <f aca="false">IF(名簿!$D121="","",名簿!$B121&amp;"")</f>
        <v/>
      </c>
      <c r="B121" s="91" t="str">
        <f aca="false">IF(名簿!$D121="","",名簿!$C121)</f>
        <v/>
      </c>
      <c r="C121" s="59" t="str">
        <f aca="false">IF(名簿!$D121="","",名簿!$D121&amp;IF(名簿!$F121="転出","（転出）",""))</f>
        <v/>
      </c>
      <c r="D121" s="149"/>
      <c r="E121" s="61" t="str">
        <f aca="false">IF(OR($C121="",名簿!$F121="転出"),"",IF($C$2="学級ごと",$A121,IF($C$2="前の単元と同じ",単元19!$E121&amp;"",$D121&amp;"")))</f>
        <v/>
      </c>
      <c r="F121" s="150"/>
      <c r="G121" s="150"/>
      <c r="H121" s="150"/>
      <c r="I121" s="151"/>
      <c r="J121" s="41" t="str">
        <f aca="false">IF($E121="","",$E121&amp;"|"&amp;COUNTIF($E$5:$E121,$E121))</f>
        <v/>
      </c>
      <c r="K121" s="40" t="str">
        <f aca="false">IF($I121="","",LEN($I121))</f>
        <v/>
      </c>
      <c r="L121" s="13"/>
      <c r="M121" s="13"/>
      <c r="N121" s="13"/>
      <c r="O121" s="13"/>
      <c r="P121" s="152"/>
      <c r="Q121" s="149"/>
      <c r="R121" s="152"/>
      <c r="S121" s="152"/>
      <c r="T121" s="62" t="str">
        <f aca="false">IF(OR($C121="",R121=""),"",IF(R121/IF($R$2="",100,$R$2)&gt;=設定!$I$28,設定!$G$8,IF(R121/IF($R$2="",100,$R$2)&lt;設定!$I$29,設定!$G$10,設定!$G$9)))</f>
        <v/>
      </c>
      <c r="U121" s="62" t="str">
        <f aca="false">IF(OR($C121="",S121=""),"",IF(S121/IF($S$2="",100,$S$2)&gt;=設定!$I$28,設定!$G$8,IF(S121/IF($S$2="",100,$S$2)&lt;設定!$I$29,設定!$G$10,設定!$G$9)))</f>
        <v/>
      </c>
    </row>
    <row r="122" customFormat="false" ht="21" hidden="false" customHeight="true" outlineLevel="0" collapsed="false">
      <c r="A122" s="91" t="str">
        <f aca="false">IF(名簿!$D122="","",名簿!$B122&amp;"")</f>
        <v/>
      </c>
      <c r="B122" s="91" t="str">
        <f aca="false">IF(名簿!$D122="","",名簿!$C122)</f>
        <v/>
      </c>
      <c r="C122" s="59" t="str">
        <f aca="false">IF(名簿!$D122="","",名簿!$D122&amp;IF(名簿!$F122="転出","（転出）",""))</f>
        <v/>
      </c>
      <c r="D122" s="149"/>
      <c r="E122" s="61" t="str">
        <f aca="false">IF(OR($C122="",名簿!$F122="転出"),"",IF($C$2="学級ごと",$A122,IF($C$2="前の単元と同じ",単元19!$E122&amp;"",$D122&amp;"")))</f>
        <v/>
      </c>
      <c r="F122" s="150"/>
      <c r="G122" s="150"/>
      <c r="H122" s="150"/>
      <c r="I122" s="151"/>
      <c r="J122" s="41" t="str">
        <f aca="false">IF($E122="","",$E122&amp;"|"&amp;COUNTIF($E$5:$E122,$E122))</f>
        <v/>
      </c>
      <c r="K122" s="40" t="str">
        <f aca="false">IF($I122="","",LEN($I122))</f>
        <v/>
      </c>
      <c r="L122" s="13"/>
      <c r="M122" s="13"/>
      <c r="N122" s="13"/>
      <c r="O122" s="13"/>
      <c r="P122" s="152"/>
      <c r="Q122" s="149"/>
      <c r="R122" s="152"/>
      <c r="S122" s="152"/>
      <c r="T122" s="62" t="str">
        <f aca="false">IF(OR($C122="",R122=""),"",IF(R122/IF($R$2="",100,$R$2)&gt;=設定!$I$28,設定!$G$8,IF(R122/IF($R$2="",100,$R$2)&lt;設定!$I$29,設定!$G$10,設定!$G$9)))</f>
        <v/>
      </c>
      <c r="U122" s="62" t="str">
        <f aca="false">IF(OR($C122="",S122=""),"",IF(S122/IF($S$2="",100,$S$2)&gt;=設定!$I$28,設定!$G$8,IF(S122/IF($S$2="",100,$S$2)&lt;設定!$I$29,設定!$G$10,設定!$G$9)))</f>
        <v/>
      </c>
    </row>
    <row r="123" customFormat="false" ht="21" hidden="false" customHeight="true" outlineLevel="0" collapsed="false">
      <c r="A123" s="91" t="str">
        <f aca="false">IF(名簿!$D123="","",名簿!$B123&amp;"")</f>
        <v/>
      </c>
      <c r="B123" s="91" t="str">
        <f aca="false">IF(名簿!$D123="","",名簿!$C123)</f>
        <v/>
      </c>
      <c r="C123" s="59" t="str">
        <f aca="false">IF(名簿!$D123="","",名簿!$D123&amp;IF(名簿!$F123="転出","（転出）",""))</f>
        <v/>
      </c>
      <c r="D123" s="149"/>
      <c r="E123" s="61" t="str">
        <f aca="false">IF(OR($C123="",名簿!$F123="転出"),"",IF($C$2="学級ごと",$A123,IF($C$2="前の単元と同じ",単元19!$E123&amp;"",$D123&amp;"")))</f>
        <v/>
      </c>
      <c r="F123" s="150"/>
      <c r="G123" s="150"/>
      <c r="H123" s="150"/>
      <c r="I123" s="151"/>
      <c r="J123" s="41" t="str">
        <f aca="false">IF($E123="","",$E123&amp;"|"&amp;COUNTIF($E$5:$E123,$E123))</f>
        <v/>
      </c>
      <c r="K123" s="40" t="str">
        <f aca="false">IF($I123="","",LEN($I123))</f>
        <v/>
      </c>
      <c r="L123" s="13"/>
      <c r="M123" s="13"/>
      <c r="N123" s="13"/>
      <c r="O123" s="13"/>
      <c r="P123" s="152"/>
      <c r="Q123" s="149"/>
      <c r="R123" s="152"/>
      <c r="S123" s="152"/>
      <c r="T123" s="62" t="str">
        <f aca="false">IF(OR($C123="",R123=""),"",IF(R123/IF($R$2="",100,$R$2)&gt;=設定!$I$28,設定!$G$8,IF(R123/IF($R$2="",100,$R$2)&lt;設定!$I$29,設定!$G$10,設定!$G$9)))</f>
        <v/>
      </c>
      <c r="U123" s="62" t="str">
        <f aca="false">IF(OR($C123="",S123=""),"",IF(S123/IF($S$2="",100,$S$2)&gt;=設定!$I$28,設定!$G$8,IF(S123/IF($S$2="",100,$S$2)&lt;設定!$I$29,設定!$G$10,設定!$G$9)))</f>
        <v/>
      </c>
    </row>
    <row r="124" customFormat="false" ht="21" hidden="false" customHeight="true" outlineLevel="0" collapsed="false">
      <c r="A124" s="91" t="str">
        <f aca="false">IF(名簿!$D124="","",名簿!$B124&amp;"")</f>
        <v/>
      </c>
      <c r="B124" s="91" t="str">
        <f aca="false">IF(名簿!$D124="","",名簿!$C124)</f>
        <v/>
      </c>
      <c r="C124" s="59" t="str">
        <f aca="false">IF(名簿!$D124="","",名簿!$D124&amp;IF(名簿!$F124="転出","（転出）",""))</f>
        <v/>
      </c>
      <c r="D124" s="149"/>
      <c r="E124" s="61" t="str">
        <f aca="false">IF(OR($C124="",名簿!$F124="転出"),"",IF($C$2="学級ごと",$A124,IF($C$2="前の単元と同じ",単元19!$E124&amp;"",$D124&amp;"")))</f>
        <v/>
      </c>
      <c r="F124" s="150"/>
      <c r="G124" s="150"/>
      <c r="H124" s="150"/>
      <c r="I124" s="151"/>
      <c r="J124" s="41" t="str">
        <f aca="false">IF($E124="","",$E124&amp;"|"&amp;COUNTIF($E$5:$E124,$E124))</f>
        <v/>
      </c>
      <c r="K124" s="40" t="str">
        <f aca="false">IF($I124="","",LEN($I124))</f>
        <v/>
      </c>
      <c r="L124" s="13"/>
      <c r="M124" s="13"/>
      <c r="N124" s="13"/>
      <c r="O124" s="13"/>
      <c r="P124" s="152"/>
      <c r="Q124" s="149"/>
      <c r="R124" s="152"/>
      <c r="S124" s="152"/>
      <c r="T124" s="62" t="str">
        <f aca="false">IF(OR($C124="",R124=""),"",IF(R124/IF($R$2="",100,$R$2)&gt;=設定!$I$28,設定!$G$8,IF(R124/IF($R$2="",100,$R$2)&lt;設定!$I$29,設定!$G$10,設定!$G$9)))</f>
        <v/>
      </c>
      <c r="U124" s="62" t="str">
        <f aca="false">IF(OR($C124="",S124=""),"",IF(S124/IF($S$2="",100,$S$2)&gt;=設定!$I$28,設定!$G$8,IF(S124/IF($S$2="",100,$S$2)&lt;設定!$I$29,設定!$G$10,設定!$G$9)))</f>
        <v/>
      </c>
    </row>
    <row r="125" customFormat="false" ht="21" hidden="false" customHeight="true" outlineLevel="0" collapsed="false">
      <c r="A125" s="91" t="str">
        <f aca="false">IF(名簿!$D125="","",名簿!$B125&amp;"")</f>
        <v/>
      </c>
      <c r="B125" s="91" t="str">
        <f aca="false">IF(名簿!$D125="","",名簿!$C125)</f>
        <v/>
      </c>
      <c r="C125" s="59" t="str">
        <f aca="false">IF(名簿!$D125="","",名簿!$D125&amp;IF(名簿!$F125="転出","（転出）",""))</f>
        <v/>
      </c>
      <c r="D125" s="149"/>
      <c r="E125" s="61" t="str">
        <f aca="false">IF(OR($C125="",名簿!$F125="転出"),"",IF($C$2="学級ごと",$A125,IF($C$2="前の単元と同じ",単元19!$E125&amp;"",$D125&amp;"")))</f>
        <v/>
      </c>
      <c r="F125" s="150"/>
      <c r="G125" s="150"/>
      <c r="H125" s="150"/>
      <c r="I125" s="151"/>
      <c r="J125" s="41" t="str">
        <f aca="false">IF($E125="","",$E125&amp;"|"&amp;COUNTIF($E$5:$E125,$E125))</f>
        <v/>
      </c>
      <c r="K125" s="40" t="str">
        <f aca="false">IF($I125="","",LEN($I125))</f>
        <v/>
      </c>
      <c r="L125" s="13"/>
      <c r="M125" s="13"/>
      <c r="N125" s="13"/>
      <c r="O125" s="13"/>
      <c r="P125" s="152"/>
      <c r="Q125" s="149"/>
      <c r="R125" s="152"/>
      <c r="S125" s="152"/>
      <c r="T125" s="62" t="str">
        <f aca="false">IF(OR($C125="",R125=""),"",IF(R125/IF($R$2="",100,$R$2)&gt;=設定!$I$28,設定!$G$8,IF(R125/IF($R$2="",100,$R$2)&lt;設定!$I$29,設定!$G$10,設定!$G$9)))</f>
        <v/>
      </c>
      <c r="U125" s="62" t="str">
        <f aca="false">IF(OR($C125="",S125=""),"",IF(S125/IF($S$2="",100,$S$2)&gt;=設定!$I$28,設定!$G$8,IF(S125/IF($S$2="",100,$S$2)&lt;設定!$I$29,設定!$G$10,設定!$G$9)))</f>
        <v/>
      </c>
    </row>
    <row r="126" customFormat="false" ht="21" hidden="false" customHeight="true" outlineLevel="0" collapsed="false">
      <c r="A126" s="91" t="str">
        <f aca="false">IF(名簿!$D126="","",名簿!$B126&amp;"")</f>
        <v/>
      </c>
      <c r="B126" s="91" t="str">
        <f aca="false">IF(名簿!$D126="","",名簿!$C126)</f>
        <v/>
      </c>
      <c r="C126" s="59" t="str">
        <f aca="false">IF(名簿!$D126="","",名簿!$D126&amp;IF(名簿!$F126="転出","（転出）",""))</f>
        <v/>
      </c>
      <c r="D126" s="149"/>
      <c r="E126" s="61" t="str">
        <f aca="false">IF(OR($C126="",名簿!$F126="転出"),"",IF($C$2="学級ごと",$A126,IF($C$2="前の単元と同じ",単元19!$E126&amp;"",$D126&amp;"")))</f>
        <v/>
      </c>
      <c r="F126" s="150"/>
      <c r="G126" s="150"/>
      <c r="H126" s="150"/>
      <c r="I126" s="151"/>
      <c r="J126" s="41" t="str">
        <f aca="false">IF($E126="","",$E126&amp;"|"&amp;COUNTIF($E$5:$E126,$E126))</f>
        <v/>
      </c>
      <c r="K126" s="40" t="str">
        <f aca="false">IF($I126="","",LEN($I126))</f>
        <v/>
      </c>
      <c r="L126" s="13"/>
      <c r="M126" s="13"/>
      <c r="N126" s="13"/>
      <c r="O126" s="13"/>
      <c r="P126" s="152"/>
      <c r="Q126" s="149"/>
      <c r="R126" s="152"/>
      <c r="S126" s="152"/>
      <c r="T126" s="62" t="str">
        <f aca="false">IF(OR($C126="",R126=""),"",IF(R126/IF($R$2="",100,$R$2)&gt;=設定!$I$28,設定!$G$8,IF(R126/IF($R$2="",100,$R$2)&lt;設定!$I$29,設定!$G$10,設定!$G$9)))</f>
        <v/>
      </c>
      <c r="U126" s="62" t="str">
        <f aca="false">IF(OR($C126="",S126=""),"",IF(S126/IF($S$2="",100,$S$2)&gt;=設定!$I$28,設定!$G$8,IF(S126/IF($S$2="",100,$S$2)&lt;設定!$I$29,設定!$G$10,設定!$G$9)))</f>
        <v/>
      </c>
    </row>
    <row r="127" customFormat="false" ht="21" hidden="false" customHeight="true" outlineLevel="0" collapsed="false">
      <c r="A127" s="91" t="str">
        <f aca="false">IF(名簿!$D127="","",名簿!$B127&amp;"")</f>
        <v/>
      </c>
      <c r="B127" s="91" t="str">
        <f aca="false">IF(名簿!$D127="","",名簿!$C127)</f>
        <v/>
      </c>
      <c r="C127" s="59" t="str">
        <f aca="false">IF(名簿!$D127="","",名簿!$D127&amp;IF(名簿!$F127="転出","（転出）",""))</f>
        <v/>
      </c>
      <c r="D127" s="149"/>
      <c r="E127" s="61" t="str">
        <f aca="false">IF(OR($C127="",名簿!$F127="転出"),"",IF($C$2="学級ごと",$A127,IF($C$2="前の単元と同じ",単元19!$E127&amp;"",$D127&amp;"")))</f>
        <v/>
      </c>
      <c r="F127" s="150"/>
      <c r="G127" s="150"/>
      <c r="H127" s="150"/>
      <c r="I127" s="151"/>
      <c r="J127" s="41" t="str">
        <f aca="false">IF($E127="","",$E127&amp;"|"&amp;COUNTIF($E$5:$E127,$E127))</f>
        <v/>
      </c>
      <c r="K127" s="40" t="str">
        <f aca="false">IF($I127="","",LEN($I127))</f>
        <v/>
      </c>
      <c r="L127" s="13"/>
      <c r="M127" s="13"/>
      <c r="N127" s="13"/>
      <c r="O127" s="13"/>
      <c r="P127" s="152"/>
      <c r="Q127" s="149"/>
      <c r="R127" s="152"/>
      <c r="S127" s="152"/>
      <c r="T127" s="62" t="str">
        <f aca="false">IF(OR($C127="",R127=""),"",IF(R127/IF($R$2="",100,$R$2)&gt;=設定!$I$28,設定!$G$8,IF(R127/IF($R$2="",100,$R$2)&lt;設定!$I$29,設定!$G$10,設定!$G$9)))</f>
        <v/>
      </c>
      <c r="U127" s="62" t="str">
        <f aca="false">IF(OR($C127="",S127=""),"",IF(S127/IF($S$2="",100,$S$2)&gt;=設定!$I$28,設定!$G$8,IF(S127/IF($S$2="",100,$S$2)&lt;設定!$I$29,設定!$G$10,設定!$G$9)))</f>
        <v/>
      </c>
    </row>
    <row r="128" customFormat="false" ht="21" hidden="false" customHeight="true" outlineLevel="0" collapsed="false">
      <c r="A128" s="91" t="str">
        <f aca="false">IF(名簿!$D128="","",名簿!$B128&amp;"")</f>
        <v/>
      </c>
      <c r="B128" s="91" t="str">
        <f aca="false">IF(名簿!$D128="","",名簿!$C128)</f>
        <v/>
      </c>
      <c r="C128" s="59" t="str">
        <f aca="false">IF(名簿!$D128="","",名簿!$D128&amp;IF(名簿!$F128="転出","（転出）",""))</f>
        <v/>
      </c>
      <c r="D128" s="149"/>
      <c r="E128" s="61" t="str">
        <f aca="false">IF(OR($C128="",名簿!$F128="転出"),"",IF($C$2="学級ごと",$A128,IF($C$2="前の単元と同じ",単元19!$E128&amp;"",$D128&amp;"")))</f>
        <v/>
      </c>
      <c r="F128" s="150"/>
      <c r="G128" s="150"/>
      <c r="H128" s="150"/>
      <c r="I128" s="151"/>
      <c r="J128" s="41" t="str">
        <f aca="false">IF($E128="","",$E128&amp;"|"&amp;COUNTIF($E$5:$E128,$E128))</f>
        <v/>
      </c>
      <c r="K128" s="40" t="str">
        <f aca="false">IF($I128="","",LEN($I128))</f>
        <v/>
      </c>
      <c r="L128" s="13"/>
      <c r="M128" s="13"/>
      <c r="N128" s="13"/>
      <c r="O128" s="13"/>
      <c r="P128" s="152"/>
      <c r="Q128" s="149"/>
      <c r="R128" s="152"/>
      <c r="S128" s="152"/>
      <c r="T128" s="62" t="str">
        <f aca="false">IF(OR($C128="",R128=""),"",IF(R128/IF($R$2="",100,$R$2)&gt;=設定!$I$28,設定!$G$8,IF(R128/IF($R$2="",100,$R$2)&lt;設定!$I$29,設定!$G$10,設定!$G$9)))</f>
        <v/>
      </c>
      <c r="U128" s="62" t="str">
        <f aca="false">IF(OR($C128="",S128=""),"",IF(S128/IF($S$2="",100,$S$2)&gt;=設定!$I$28,設定!$G$8,IF(S128/IF($S$2="",100,$S$2)&lt;設定!$I$29,設定!$G$10,設定!$G$9)))</f>
        <v/>
      </c>
    </row>
    <row r="129" customFormat="false" ht="21" hidden="false" customHeight="true" outlineLevel="0" collapsed="false">
      <c r="A129" s="91" t="str">
        <f aca="false">IF(名簿!$D129="","",名簿!$B129&amp;"")</f>
        <v/>
      </c>
      <c r="B129" s="91" t="str">
        <f aca="false">IF(名簿!$D129="","",名簿!$C129)</f>
        <v/>
      </c>
      <c r="C129" s="59" t="str">
        <f aca="false">IF(名簿!$D129="","",名簿!$D129&amp;IF(名簿!$F129="転出","（転出）",""))</f>
        <v/>
      </c>
      <c r="D129" s="149"/>
      <c r="E129" s="61" t="str">
        <f aca="false">IF(OR($C129="",名簿!$F129="転出"),"",IF($C$2="学級ごと",$A129,IF($C$2="前の単元と同じ",単元19!$E129&amp;"",$D129&amp;"")))</f>
        <v/>
      </c>
      <c r="F129" s="150"/>
      <c r="G129" s="150"/>
      <c r="H129" s="150"/>
      <c r="I129" s="151"/>
      <c r="J129" s="41" t="str">
        <f aca="false">IF($E129="","",$E129&amp;"|"&amp;COUNTIF($E$5:$E129,$E129))</f>
        <v/>
      </c>
      <c r="K129" s="40" t="str">
        <f aca="false">IF($I129="","",LEN($I129))</f>
        <v/>
      </c>
      <c r="L129" s="13"/>
      <c r="M129" s="13"/>
      <c r="N129" s="13"/>
      <c r="O129" s="13"/>
      <c r="P129" s="152"/>
      <c r="Q129" s="149"/>
      <c r="R129" s="152"/>
      <c r="S129" s="152"/>
      <c r="T129" s="62" t="str">
        <f aca="false">IF(OR($C129="",R129=""),"",IF(R129/IF($R$2="",100,$R$2)&gt;=設定!$I$28,設定!$G$8,IF(R129/IF($R$2="",100,$R$2)&lt;設定!$I$29,設定!$G$10,設定!$G$9)))</f>
        <v/>
      </c>
      <c r="U129" s="62" t="str">
        <f aca="false">IF(OR($C129="",S129=""),"",IF(S129/IF($S$2="",100,$S$2)&gt;=設定!$I$28,設定!$G$8,IF(S129/IF($S$2="",100,$S$2)&lt;設定!$I$29,設定!$G$10,設定!$G$9)))</f>
        <v/>
      </c>
    </row>
    <row r="130" customFormat="false" ht="21" hidden="false" customHeight="true" outlineLevel="0" collapsed="false">
      <c r="A130" s="91" t="str">
        <f aca="false">IF(名簿!$D130="","",名簿!$B130&amp;"")</f>
        <v/>
      </c>
      <c r="B130" s="91" t="str">
        <f aca="false">IF(名簿!$D130="","",名簿!$C130)</f>
        <v/>
      </c>
      <c r="C130" s="59" t="str">
        <f aca="false">IF(名簿!$D130="","",名簿!$D130&amp;IF(名簿!$F130="転出","（転出）",""))</f>
        <v/>
      </c>
      <c r="D130" s="149"/>
      <c r="E130" s="61" t="str">
        <f aca="false">IF(OR($C130="",名簿!$F130="転出"),"",IF($C$2="学級ごと",$A130,IF($C$2="前の単元と同じ",単元19!$E130&amp;"",$D130&amp;"")))</f>
        <v/>
      </c>
      <c r="F130" s="150"/>
      <c r="G130" s="150"/>
      <c r="H130" s="150"/>
      <c r="I130" s="151"/>
      <c r="J130" s="41" t="str">
        <f aca="false">IF($E130="","",$E130&amp;"|"&amp;COUNTIF($E$5:$E130,$E130))</f>
        <v/>
      </c>
      <c r="K130" s="40" t="str">
        <f aca="false">IF($I130="","",LEN($I130))</f>
        <v/>
      </c>
      <c r="L130" s="13"/>
      <c r="M130" s="13"/>
      <c r="N130" s="13"/>
      <c r="O130" s="13"/>
      <c r="P130" s="152"/>
      <c r="Q130" s="149"/>
      <c r="R130" s="152"/>
      <c r="S130" s="152"/>
      <c r="T130" s="62" t="str">
        <f aca="false">IF(OR($C130="",R130=""),"",IF(R130/IF($R$2="",100,$R$2)&gt;=設定!$I$28,設定!$G$8,IF(R130/IF($R$2="",100,$R$2)&lt;設定!$I$29,設定!$G$10,設定!$G$9)))</f>
        <v/>
      </c>
      <c r="U130" s="62" t="str">
        <f aca="false">IF(OR($C130="",S130=""),"",IF(S130/IF($S$2="",100,$S$2)&gt;=設定!$I$28,設定!$G$8,IF(S130/IF($S$2="",100,$S$2)&lt;設定!$I$29,設定!$G$10,設定!$G$9)))</f>
        <v/>
      </c>
    </row>
    <row r="131" customFormat="false" ht="21" hidden="false" customHeight="true" outlineLevel="0" collapsed="false">
      <c r="A131" s="91" t="str">
        <f aca="false">IF(名簿!$D131="","",名簿!$B131&amp;"")</f>
        <v/>
      </c>
      <c r="B131" s="91" t="str">
        <f aca="false">IF(名簿!$D131="","",名簿!$C131)</f>
        <v/>
      </c>
      <c r="C131" s="59" t="str">
        <f aca="false">IF(名簿!$D131="","",名簿!$D131&amp;IF(名簿!$F131="転出","（転出）",""))</f>
        <v/>
      </c>
      <c r="D131" s="149"/>
      <c r="E131" s="61" t="str">
        <f aca="false">IF(OR($C131="",名簿!$F131="転出"),"",IF($C$2="学級ごと",$A131,IF($C$2="前の単元と同じ",単元19!$E131&amp;"",$D131&amp;"")))</f>
        <v/>
      </c>
      <c r="F131" s="150"/>
      <c r="G131" s="150"/>
      <c r="H131" s="150"/>
      <c r="I131" s="151"/>
      <c r="J131" s="41" t="str">
        <f aca="false">IF($E131="","",$E131&amp;"|"&amp;COUNTIF($E$5:$E131,$E131))</f>
        <v/>
      </c>
      <c r="K131" s="40" t="str">
        <f aca="false">IF($I131="","",LEN($I131))</f>
        <v/>
      </c>
      <c r="L131" s="13"/>
      <c r="M131" s="13"/>
      <c r="N131" s="13"/>
      <c r="O131" s="13"/>
      <c r="P131" s="152"/>
      <c r="Q131" s="149"/>
      <c r="R131" s="152"/>
      <c r="S131" s="152"/>
      <c r="T131" s="62" t="str">
        <f aca="false">IF(OR($C131="",R131=""),"",IF(R131/IF($R$2="",100,$R$2)&gt;=設定!$I$28,設定!$G$8,IF(R131/IF($R$2="",100,$R$2)&lt;設定!$I$29,設定!$G$10,設定!$G$9)))</f>
        <v/>
      </c>
      <c r="U131" s="62" t="str">
        <f aca="false">IF(OR($C131="",S131=""),"",IF(S131/IF($S$2="",100,$S$2)&gt;=設定!$I$28,設定!$G$8,IF(S131/IF($S$2="",100,$S$2)&lt;設定!$I$29,設定!$G$10,設定!$G$9)))</f>
        <v/>
      </c>
    </row>
    <row r="132" customFormat="false" ht="21" hidden="false" customHeight="true" outlineLevel="0" collapsed="false">
      <c r="A132" s="91" t="str">
        <f aca="false">IF(名簿!$D132="","",名簿!$B132&amp;"")</f>
        <v/>
      </c>
      <c r="B132" s="91" t="str">
        <f aca="false">IF(名簿!$D132="","",名簿!$C132)</f>
        <v/>
      </c>
      <c r="C132" s="59" t="str">
        <f aca="false">IF(名簿!$D132="","",名簿!$D132&amp;IF(名簿!$F132="転出","（転出）",""))</f>
        <v/>
      </c>
      <c r="D132" s="149"/>
      <c r="E132" s="61" t="str">
        <f aca="false">IF(OR($C132="",名簿!$F132="転出"),"",IF($C$2="学級ごと",$A132,IF($C$2="前の単元と同じ",単元19!$E132&amp;"",$D132&amp;"")))</f>
        <v/>
      </c>
      <c r="F132" s="150"/>
      <c r="G132" s="150"/>
      <c r="H132" s="150"/>
      <c r="I132" s="151"/>
      <c r="J132" s="41" t="str">
        <f aca="false">IF($E132="","",$E132&amp;"|"&amp;COUNTIF($E$5:$E132,$E132))</f>
        <v/>
      </c>
      <c r="K132" s="40" t="str">
        <f aca="false">IF($I132="","",LEN($I132))</f>
        <v/>
      </c>
      <c r="L132" s="13"/>
      <c r="M132" s="13"/>
      <c r="N132" s="13"/>
      <c r="O132" s="13"/>
      <c r="P132" s="152"/>
      <c r="Q132" s="149"/>
      <c r="R132" s="152"/>
      <c r="S132" s="152"/>
      <c r="T132" s="62" t="str">
        <f aca="false">IF(OR($C132="",R132=""),"",IF(R132/IF($R$2="",100,$R$2)&gt;=設定!$I$28,設定!$G$8,IF(R132/IF($R$2="",100,$R$2)&lt;設定!$I$29,設定!$G$10,設定!$G$9)))</f>
        <v/>
      </c>
      <c r="U132" s="62" t="str">
        <f aca="false">IF(OR($C132="",S132=""),"",IF(S132/IF($S$2="",100,$S$2)&gt;=設定!$I$28,設定!$G$8,IF(S132/IF($S$2="",100,$S$2)&lt;設定!$I$29,設定!$G$10,設定!$G$9)))</f>
        <v/>
      </c>
    </row>
    <row r="133" customFormat="false" ht="21" hidden="false" customHeight="true" outlineLevel="0" collapsed="false">
      <c r="A133" s="91" t="str">
        <f aca="false">IF(名簿!$D133="","",名簿!$B133&amp;"")</f>
        <v/>
      </c>
      <c r="B133" s="91" t="str">
        <f aca="false">IF(名簿!$D133="","",名簿!$C133)</f>
        <v/>
      </c>
      <c r="C133" s="59" t="str">
        <f aca="false">IF(名簿!$D133="","",名簿!$D133&amp;IF(名簿!$F133="転出","（転出）",""))</f>
        <v/>
      </c>
      <c r="D133" s="149"/>
      <c r="E133" s="61" t="str">
        <f aca="false">IF(OR($C133="",名簿!$F133="転出"),"",IF($C$2="学級ごと",$A133,IF($C$2="前の単元と同じ",単元19!$E133&amp;"",$D133&amp;"")))</f>
        <v/>
      </c>
      <c r="F133" s="150"/>
      <c r="G133" s="150"/>
      <c r="H133" s="150"/>
      <c r="I133" s="151"/>
      <c r="J133" s="41" t="str">
        <f aca="false">IF($E133="","",$E133&amp;"|"&amp;COUNTIF($E$5:$E133,$E133))</f>
        <v/>
      </c>
      <c r="K133" s="40" t="str">
        <f aca="false">IF($I133="","",LEN($I133))</f>
        <v/>
      </c>
      <c r="L133" s="13"/>
      <c r="M133" s="13"/>
      <c r="N133" s="13"/>
      <c r="O133" s="13"/>
      <c r="P133" s="152"/>
      <c r="Q133" s="149"/>
      <c r="R133" s="152"/>
      <c r="S133" s="152"/>
      <c r="T133" s="62" t="str">
        <f aca="false">IF(OR($C133="",R133=""),"",IF(R133/IF($R$2="",100,$R$2)&gt;=設定!$I$28,設定!$G$8,IF(R133/IF($R$2="",100,$R$2)&lt;設定!$I$29,設定!$G$10,設定!$G$9)))</f>
        <v/>
      </c>
      <c r="U133" s="62" t="str">
        <f aca="false">IF(OR($C133="",S133=""),"",IF(S133/IF($S$2="",100,$S$2)&gt;=設定!$I$28,設定!$G$8,IF(S133/IF($S$2="",100,$S$2)&lt;設定!$I$29,設定!$G$10,設定!$G$9)))</f>
        <v/>
      </c>
    </row>
    <row r="134" customFormat="false" ht="21" hidden="false" customHeight="true" outlineLevel="0" collapsed="false">
      <c r="A134" s="91" t="str">
        <f aca="false">IF(名簿!$D134="","",名簿!$B134&amp;"")</f>
        <v/>
      </c>
      <c r="B134" s="91" t="str">
        <f aca="false">IF(名簿!$D134="","",名簿!$C134)</f>
        <v/>
      </c>
      <c r="C134" s="59" t="str">
        <f aca="false">IF(名簿!$D134="","",名簿!$D134&amp;IF(名簿!$F134="転出","（転出）",""))</f>
        <v/>
      </c>
      <c r="D134" s="149"/>
      <c r="E134" s="61" t="str">
        <f aca="false">IF(OR($C134="",名簿!$F134="転出"),"",IF($C$2="学級ごと",$A134,IF($C$2="前の単元と同じ",単元19!$E134&amp;"",$D134&amp;"")))</f>
        <v/>
      </c>
      <c r="F134" s="150"/>
      <c r="G134" s="150"/>
      <c r="H134" s="150"/>
      <c r="I134" s="151"/>
      <c r="J134" s="41" t="str">
        <f aca="false">IF($E134="","",$E134&amp;"|"&amp;COUNTIF($E$5:$E134,$E134))</f>
        <v/>
      </c>
      <c r="K134" s="40" t="str">
        <f aca="false">IF($I134="","",LEN($I134))</f>
        <v/>
      </c>
      <c r="L134" s="13"/>
      <c r="M134" s="13"/>
      <c r="N134" s="13"/>
      <c r="O134" s="13"/>
      <c r="P134" s="152"/>
      <c r="Q134" s="149"/>
      <c r="R134" s="152"/>
      <c r="S134" s="152"/>
      <c r="T134" s="62" t="str">
        <f aca="false">IF(OR($C134="",R134=""),"",IF(R134/IF($R$2="",100,$R$2)&gt;=設定!$I$28,設定!$G$8,IF(R134/IF($R$2="",100,$R$2)&lt;設定!$I$29,設定!$G$10,設定!$G$9)))</f>
        <v/>
      </c>
      <c r="U134" s="62" t="str">
        <f aca="false">IF(OR($C134="",S134=""),"",IF(S134/IF($S$2="",100,$S$2)&gt;=設定!$I$28,設定!$G$8,IF(S134/IF($S$2="",100,$S$2)&lt;設定!$I$29,設定!$G$10,設定!$G$9)))</f>
        <v/>
      </c>
    </row>
    <row r="135" customFormat="false" ht="21" hidden="false" customHeight="true" outlineLevel="0" collapsed="false">
      <c r="A135" s="91" t="str">
        <f aca="false">IF(名簿!$D135="","",名簿!$B135&amp;"")</f>
        <v/>
      </c>
      <c r="B135" s="91" t="str">
        <f aca="false">IF(名簿!$D135="","",名簿!$C135)</f>
        <v/>
      </c>
      <c r="C135" s="59" t="str">
        <f aca="false">IF(名簿!$D135="","",名簿!$D135&amp;IF(名簿!$F135="転出","（転出）",""))</f>
        <v/>
      </c>
      <c r="D135" s="149"/>
      <c r="E135" s="61" t="str">
        <f aca="false">IF(OR($C135="",名簿!$F135="転出"),"",IF($C$2="学級ごと",$A135,IF($C$2="前の単元と同じ",単元19!$E135&amp;"",$D135&amp;"")))</f>
        <v/>
      </c>
      <c r="F135" s="150"/>
      <c r="G135" s="150"/>
      <c r="H135" s="150"/>
      <c r="I135" s="151"/>
      <c r="J135" s="41" t="str">
        <f aca="false">IF($E135="","",$E135&amp;"|"&amp;COUNTIF($E$5:$E135,$E135))</f>
        <v/>
      </c>
      <c r="K135" s="40" t="str">
        <f aca="false">IF($I135="","",LEN($I135))</f>
        <v/>
      </c>
      <c r="L135" s="13"/>
      <c r="M135" s="13"/>
      <c r="N135" s="13"/>
      <c r="O135" s="13"/>
      <c r="P135" s="152"/>
      <c r="Q135" s="149"/>
      <c r="R135" s="152"/>
      <c r="S135" s="152"/>
      <c r="T135" s="62" t="str">
        <f aca="false">IF(OR($C135="",R135=""),"",IF(R135/IF($R$2="",100,$R$2)&gt;=設定!$I$28,設定!$G$8,IF(R135/IF($R$2="",100,$R$2)&lt;設定!$I$29,設定!$G$10,設定!$G$9)))</f>
        <v/>
      </c>
      <c r="U135" s="62" t="str">
        <f aca="false">IF(OR($C135="",S135=""),"",IF(S135/IF($S$2="",100,$S$2)&gt;=設定!$I$28,設定!$G$8,IF(S135/IF($S$2="",100,$S$2)&lt;設定!$I$29,設定!$G$10,設定!$G$9)))</f>
        <v/>
      </c>
    </row>
    <row r="136" customFormat="false" ht="21" hidden="false" customHeight="true" outlineLevel="0" collapsed="false">
      <c r="A136" s="91" t="str">
        <f aca="false">IF(名簿!$D136="","",名簿!$B136&amp;"")</f>
        <v/>
      </c>
      <c r="B136" s="91" t="str">
        <f aca="false">IF(名簿!$D136="","",名簿!$C136)</f>
        <v/>
      </c>
      <c r="C136" s="59" t="str">
        <f aca="false">IF(名簿!$D136="","",名簿!$D136&amp;IF(名簿!$F136="転出","（転出）",""))</f>
        <v/>
      </c>
      <c r="D136" s="149"/>
      <c r="E136" s="61" t="str">
        <f aca="false">IF(OR($C136="",名簿!$F136="転出"),"",IF($C$2="学級ごと",$A136,IF($C$2="前の単元と同じ",単元19!$E136&amp;"",$D136&amp;"")))</f>
        <v/>
      </c>
      <c r="F136" s="150"/>
      <c r="G136" s="150"/>
      <c r="H136" s="150"/>
      <c r="I136" s="151"/>
      <c r="J136" s="41" t="str">
        <f aca="false">IF($E136="","",$E136&amp;"|"&amp;COUNTIF($E$5:$E136,$E136))</f>
        <v/>
      </c>
      <c r="K136" s="40" t="str">
        <f aca="false">IF($I136="","",LEN($I136))</f>
        <v/>
      </c>
      <c r="L136" s="13"/>
      <c r="M136" s="13"/>
      <c r="N136" s="13"/>
      <c r="O136" s="13"/>
      <c r="P136" s="152"/>
      <c r="Q136" s="149"/>
      <c r="R136" s="152"/>
      <c r="S136" s="152"/>
      <c r="T136" s="62" t="str">
        <f aca="false">IF(OR($C136="",R136=""),"",IF(R136/IF($R$2="",100,$R$2)&gt;=設定!$I$28,設定!$G$8,IF(R136/IF($R$2="",100,$R$2)&lt;設定!$I$29,設定!$G$10,設定!$G$9)))</f>
        <v/>
      </c>
      <c r="U136" s="62" t="str">
        <f aca="false">IF(OR($C136="",S136=""),"",IF(S136/IF($S$2="",100,$S$2)&gt;=設定!$I$28,設定!$G$8,IF(S136/IF($S$2="",100,$S$2)&lt;設定!$I$29,設定!$G$10,設定!$G$9)))</f>
        <v/>
      </c>
    </row>
    <row r="137" customFormat="false" ht="21" hidden="false" customHeight="true" outlineLevel="0" collapsed="false">
      <c r="A137" s="91" t="str">
        <f aca="false">IF(名簿!$D137="","",名簿!$B137&amp;"")</f>
        <v/>
      </c>
      <c r="B137" s="91" t="str">
        <f aca="false">IF(名簿!$D137="","",名簿!$C137)</f>
        <v/>
      </c>
      <c r="C137" s="59" t="str">
        <f aca="false">IF(名簿!$D137="","",名簿!$D137&amp;IF(名簿!$F137="転出","（転出）",""))</f>
        <v/>
      </c>
      <c r="D137" s="149"/>
      <c r="E137" s="61" t="str">
        <f aca="false">IF(OR($C137="",名簿!$F137="転出"),"",IF($C$2="学級ごと",$A137,IF($C$2="前の単元と同じ",単元19!$E137&amp;"",$D137&amp;"")))</f>
        <v/>
      </c>
      <c r="F137" s="150"/>
      <c r="G137" s="150"/>
      <c r="H137" s="150"/>
      <c r="I137" s="151"/>
      <c r="J137" s="41" t="str">
        <f aca="false">IF($E137="","",$E137&amp;"|"&amp;COUNTIF($E$5:$E137,$E137))</f>
        <v/>
      </c>
      <c r="K137" s="40" t="str">
        <f aca="false">IF($I137="","",LEN($I137))</f>
        <v/>
      </c>
      <c r="L137" s="13"/>
      <c r="M137" s="13"/>
      <c r="N137" s="13"/>
      <c r="O137" s="13"/>
      <c r="P137" s="152"/>
      <c r="Q137" s="149"/>
      <c r="R137" s="152"/>
      <c r="S137" s="152"/>
      <c r="T137" s="62" t="str">
        <f aca="false">IF(OR($C137="",R137=""),"",IF(R137/IF($R$2="",100,$R$2)&gt;=設定!$I$28,設定!$G$8,IF(R137/IF($R$2="",100,$R$2)&lt;設定!$I$29,設定!$G$10,設定!$G$9)))</f>
        <v/>
      </c>
      <c r="U137" s="62" t="str">
        <f aca="false">IF(OR($C137="",S137=""),"",IF(S137/IF($S$2="",100,$S$2)&gt;=設定!$I$28,設定!$G$8,IF(S137/IF($S$2="",100,$S$2)&lt;設定!$I$29,設定!$G$10,設定!$G$9)))</f>
        <v/>
      </c>
    </row>
    <row r="138" customFormat="false" ht="21" hidden="false" customHeight="true" outlineLevel="0" collapsed="false">
      <c r="A138" s="91" t="str">
        <f aca="false">IF(名簿!$D138="","",名簿!$B138&amp;"")</f>
        <v/>
      </c>
      <c r="B138" s="91" t="str">
        <f aca="false">IF(名簿!$D138="","",名簿!$C138)</f>
        <v/>
      </c>
      <c r="C138" s="59" t="str">
        <f aca="false">IF(名簿!$D138="","",名簿!$D138&amp;IF(名簿!$F138="転出","（転出）",""))</f>
        <v/>
      </c>
      <c r="D138" s="149"/>
      <c r="E138" s="61" t="str">
        <f aca="false">IF(OR($C138="",名簿!$F138="転出"),"",IF($C$2="学級ごと",$A138,IF($C$2="前の単元と同じ",単元19!$E138&amp;"",$D138&amp;"")))</f>
        <v/>
      </c>
      <c r="F138" s="150"/>
      <c r="G138" s="150"/>
      <c r="H138" s="150"/>
      <c r="I138" s="151"/>
      <c r="J138" s="41" t="str">
        <f aca="false">IF($E138="","",$E138&amp;"|"&amp;COUNTIF($E$5:$E138,$E138))</f>
        <v/>
      </c>
      <c r="K138" s="40" t="str">
        <f aca="false">IF($I138="","",LEN($I138))</f>
        <v/>
      </c>
      <c r="L138" s="13"/>
      <c r="M138" s="13"/>
      <c r="N138" s="13"/>
      <c r="O138" s="13"/>
      <c r="P138" s="152"/>
      <c r="Q138" s="149"/>
      <c r="R138" s="152"/>
      <c r="S138" s="152"/>
      <c r="T138" s="62" t="str">
        <f aca="false">IF(OR($C138="",R138=""),"",IF(R138/IF($R$2="",100,$R$2)&gt;=設定!$I$28,設定!$G$8,IF(R138/IF($R$2="",100,$R$2)&lt;設定!$I$29,設定!$G$10,設定!$G$9)))</f>
        <v/>
      </c>
      <c r="U138" s="62" t="str">
        <f aca="false">IF(OR($C138="",S138=""),"",IF(S138/IF($S$2="",100,$S$2)&gt;=設定!$I$28,設定!$G$8,IF(S138/IF($S$2="",100,$S$2)&lt;設定!$I$29,設定!$G$10,設定!$G$9)))</f>
        <v/>
      </c>
    </row>
    <row r="139" customFormat="false" ht="21" hidden="false" customHeight="true" outlineLevel="0" collapsed="false">
      <c r="A139" s="91" t="str">
        <f aca="false">IF(名簿!$D139="","",名簿!$B139&amp;"")</f>
        <v/>
      </c>
      <c r="B139" s="91" t="str">
        <f aca="false">IF(名簿!$D139="","",名簿!$C139)</f>
        <v/>
      </c>
      <c r="C139" s="59" t="str">
        <f aca="false">IF(名簿!$D139="","",名簿!$D139&amp;IF(名簿!$F139="転出","（転出）",""))</f>
        <v/>
      </c>
      <c r="D139" s="149"/>
      <c r="E139" s="61" t="str">
        <f aca="false">IF(OR($C139="",名簿!$F139="転出"),"",IF($C$2="学級ごと",$A139,IF($C$2="前の単元と同じ",単元19!$E139&amp;"",$D139&amp;"")))</f>
        <v/>
      </c>
      <c r="F139" s="150"/>
      <c r="G139" s="150"/>
      <c r="H139" s="150"/>
      <c r="I139" s="151"/>
      <c r="J139" s="41" t="str">
        <f aca="false">IF($E139="","",$E139&amp;"|"&amp;COUNTIF($E$5:$E139,$E139))</f>
        <v/>
      </c>
      <c r="K139" s="40" t="str">
        <f aca="false">IF($I139="","",LEN($I139))</f>
        <v/>
      </c>
      <c r="L139" s="13"/>
      <c r="M139" s="13"/>
      <c r="N139" s="13"/>
      <c r="O139" s="13"/>
      <c r="P139" s="152"/>
      <c r="Q139" s="149"/>
      <c r="R139" s="152"/>
      <c r="S139" s="152"/>
      <c r="T139" s="62" t="str">
        <f aca="false">IF(OR($C139="",R139=""),"",IF(R139/IF($R$2="",100,$R$2)&gt;=設定!$I$28,設定!$G$8,IF(R139/IF($R$2="",100,$R$2)&lt;設定!$I$29,設定!$G$10,設定!$G$9)))</f>
        <v/>
      </c>
      <c r="U139" s="62" t="str">
        <f aca="false">IF(OR($C139="",S139=""),"",IF(S139/IF($S$2="",100,$S$2)&gt;=設定!$I$28,設定!$G$8,IF(S139/IF($S$2="",100,$S$2)&lt;設定!$I$29,設定!$G$10,設定!$G$9)))</f>
        <v/>
      </c>
    </row>
    <row r="140" customFormat="false" ht="21" hidden="false" customHeight="true" outlineLevel="0" collapsed="false">
      <c r="A140" s="91" t="str">
        <f aca="false">IF(名簿!$D140="","",名簿!$B140&amp;"")</f>
        <v/>
      </c>
      <c r="B140" s="91" t="str">
        <f aca="false">IF(名簿!$D140="","",名簿!$C140)</f>
        <v/>
      </c>
      <c r="C140" s="59" t="str">
        <f aca="false">IF(名簿!$D140="","",名簿!$D140&amp;IF(名簿!$F140="転出","（転出）",""))</f>
        <v/>
      </c>
      <c r="D140" s="149"/>
      <c r="E140" s="61" t="str">
        <f aca="false">IF(OR($C140="",名簿!$F140="転出"),"",IF($C$2="学級ごと",$A140,IF($C$2="前の単元と同じ",単元19!$E140&amp;"",$D140&amp;"")))</f>
        <v/>
      </c>
      <c r="F140" s="150"/>
      <c r="G140" s="150"/>
      <c r="H140" s="150"/>
      <c r="I140" s="151"/>
      <c r="J140" s="41" t="str">
        <f aca="false">IF($E140="","",$E140&amp;"|"&amp;COUNTIF($E$5:$E140,$E140))</f>
        <v/>
      </c>
      <c r="K140" s="40" t="str">
        <f aca="false">IF($I140="","",LEN($I140))</f>
        <v/>
      </c>
      <c r="L140" s="13"/>
      <c r="M140" s="13"/>
      <c r="N140" s="13"/>
      <c r="O140" s="13"/>
      <c r="P140" s="152"/>
      <c r="Q140" s="149"/>
      <c r="R140" s="152"/>
      <c r="S140" s="152"/>
      <c r="T140" s="62" t="str">
        <f aca="false">IF(OR($C140="",R140=""),"",IF(R140/IF($R$2="",100,$R$2)&gt;=設定!$I$28,設定!$G$8,IF(R140/IF($R$2="",100,$R$2)&lt;設定!$I$29,設定!$G$10,設定!$G$9)))</f>
        <v/>
      </c>
      <c r="U140" s="62" t="str">
        <f aca="false">IF(OR($C140="",S140=""),"",IF(S140/IF($S$2="",100,$S$2)&gt;=設定!$I$28,設定!$G$8,IF(S140/IF($S$2="",100,$S$2)&lt;設定!$I$29,設定!$G$10,設定!$G$9)))</f>
        <v/>
      </c>
    </row>
    <row r="141" customFormat="false" ht="21" hidden="false" customHeight="true" outlineLevel="0" collapsed="false">
      <c r="A141" s="91" t="str">
        <f aca="false">IF(名簿!$D141="","",名簿!$B141&amp;"")</f>
        <v/>
      </c>
      <c r="B141" s="91" t="str">
        <f aca="false">IF(名簿!$D141="","",名簿!$C141)</f>
        <v/>
      </c>
      <c r="C141" s="59" t="str">
        <f aca="false">IF(名簿!$D141="","",名簿!$D141&amp;IF(名簿!$F141="転出","（転出）",""))</f>
        <v/>
      </c>
      <c r="D141" s="149"/>
      <c r="E141" s="61" t="str">
        <f aca="false">IF(OR($C141="",名簿!$F141="転出"),"",IF($C$2="学級ごと",$A141,IF($C$2="前の単元と同じ",単元19!$E141&amp;"",$D141&amp;"")))</f>
        <v/>
      </c>
      <c r="F141" s="150"/>
      <c r="G141" s="150"/>
      <c r="H141" s="150"/>
      <c r="I141" s="151"/>
      <c r="J141" s="41" t="str">
        <f aca="false">IF($E141="","",$E141&amp;"|"&amp;COUNTIF($E$5:$E141,$E141))</f>
        <v/>
      </c>
      <c r="K141" s="40" t="str">
        <f aca="false">IF($I141="","",LEN($I141))</f>
        <v/>
      </c>
      <c r="L141" s="13"/>
      <c r="M141" s="13"/>
      <c r="N141" s="13"/>
      <c r="O141" s="13"/>
      <c r="P141" s="152"/>
      <c r="Q141" s="149"/>
      <c r="R141" s="152"/>
      <c r="S141" s="152"/>
      <c r="T141" s="62" t="str">
        <f aca="false">IF(OR($C141="",R141=""),"",IF(R141/IF($R$2="",100,$R$2)&gt;=設定!$I$28,設定!$G$8,IF(R141/IF($R$2="",100,$R$2)&lt;設定!$I$29,設定!$G$10,設定!$G$9)))</f>
        <v/>
      </c>
      <c r="U141" s="62" t="str">
        <f aca="false">IF(OR($C141="",S141=""),"",IF(S141/IF($S$2="",100,$S$2)&gt;=設定!$I$28,設定!$G$8,IF(S141/IF($S$2="",100,$S$2)&lt;設定!$I$29,設定!$G$10,設定!$G$9)))</f>
        <v/>
      </c>
    </row>
    <row r="142" customFormat="false" ht="21" hidden="false" customHeight="true" outlineLevel="0" collapsed="false">
      <c r="A142" s="91" t="str">
        <f aca="false">IF(名簿!$D142="","",名簿!$B142&amp;"")</f>
        <v/>
      </c>
      <c r="B142" s="91" t="str">
        <f aca="false">IF(名簿!$D142="","",名簿!$C142)</f>
        <v/>
      </c>
      <c r="C142" s="59" t="str">
        <f aca="false">IF(名簿!$D142="","",名簿!$D142&amp;IF(名簿!$F142="転出","（転出）",""))</f>
        <v/>
      </c>
      <c r="D142" s="149"/>
      <c r="E142" s="61" t="str">
        <f aca="false">IF(OR($C142="",名簿!$F142="転出"),"",IF($C$2="学級ごと",$A142,IF($C$2="前の単元と同じ",単元19!$E142&amp;"",$D142&amp;"")))</f>
        <v/>
      </c>
      <c r="F142" s="150"/>
      <c r="G142" s="150"/>
      <c r="H142" s="150"/>
      <c r="I142" s="151"/>
      <c r="J142" s="41" t="str">
        <f aca="false">IF($E142="","",$E142&amp;"|"&amp;COUNTIF($E$5:$E142,$E142))</f>
        <v/>
      </c>
      <c r="K142" s="40" t="str">
        <f aca="false">IF($I142="","",LEN($I142))</f>
        <v/>
      </c>
      <c r="L142" s="13"/>
      <c r="M142" s="13"/>
      <c r="N142" s="13"/>
      <c r="O142" s="13"/>
      <c r="P142" s="152"/>
      <c r="Q142" s="149"/>
      <c r="R142" s="152"/>
      <c r="S142" s="152"/>
      <c r="T142" s="62" t="str">
        <f aca="false">IF(OR($C142="",R142=""),"",IF(R142/IF($R$2="",100,$R$2)&gt;=設定!$I$28,設定!$G$8,IF(R142/IF($R$2="",100,$R$2)&lt;設定!$I$29,設定!$G$10,設定!$G$9)))</f>
        <v/>
      </c>
      <c r="U142" s="62" t="str">
        <f aca="false">IF(OR($C142="",S142=""),"",IF(S142/IF($S$2="",100,$S$2)&gt;=設定!$I$28,設定!$G$8,IF(S142/IF($S$2="",100,$S$2)&lt;設定!$I$29,設定!$G$10,設定!$G$9)))</f>
        <v/>
      </c>
    </row>
    <row r="143" customFormat="false" ht="21" hidden="false" customHeight="true" outlineLevel="0" collapsed="false">
      <c r="A143" s="91" t="str">
        <f aca="false">IF(名簿!$D143="","",名簿!$B143&amp;"")</f>
        <v/>
      </c>
      <c r="B143" s="91" t="str">
        <f aca="false">IF(名簿!$D143="","",名簿!$C143)</f>
        <v/>
      </c>
      <c r="C143" s="59" t="str">
        <f aca="false">IF(名簿!$D143="","",名簿!$D143&amp;IF(名簿!$F143="転出","（転出）",""))</f>
        <v/>
      </c>
      <c r="D143" s="149"/>
      <c r="E143" s="61" t="str">
        <f aca="false">IF(OR($C143="",名簿!$F143="転出"),"",IF($C$2="学級ごと",$A143,IF($C$2="前の単元と同じ",単元19!$E143&amp;"",$D143&amp;"")))</f>
        <v/>
      </c>
      <c r="F143" s="150"/>
      <c r="G143" s="150"/>
      <c r="H143" s="150"/>
      <c r="I143" s="151"/>
      <c r="J143" s="41" t="str">
        <f aca="false">IF($E143="","",$E143&amp;"|"&amp;COUNTIF($E$5:$E143,$E143))</f>
        <v/>
      </c>
      <c r="K143" s="40" t="str">
        <f aca="false">IF($I143="","",LEN($I143))</f>
        <v/>
      </c>
      <c r="L143" s="13"/>
      <c r="M143" s="13"/>
      <c r="N143" s="13"/>
      <c r="O143" s="13"/>
      <c r="P143" s="152"/>
      <c r="Q143" s="149"/>
      <c r="R143" s="152"/>
      <c r="S143" s="152"/>
      <c r="T143" s="62" t="str">
        <f aca="false">IF(OR($C143="",R143=""),"",IF(R143/IF($R$2="",100,$R$2)&gt;=設定!$I$28,設定!$G$8,IF(R143/IF($R$2="",100,$R$2)&lt;設定!$I$29,設定!$G$10,設定!$G$9)))</f>
        <v/>
      </c>
      <c r="U143" s="62" t="str">
        <f aca="false">IF(OR($C143="",S143=""),"",IF(S143/IF($S$2="",100,$S$2)&gt;=設定!$I$28,設定!$G$8,IF(S143/IF($S$2="",100,$S$2)&lt;設定!$I$29,設定!$G$10,設定!$G$9)))</f>
        <v/>
      </c>
    </row>
    <row r="144" customFormat="false" ht="21" hidden="false" customHeight="true" outlineLevel="0" collapsed="false">
      <c r="A144" s="91" t="str">
        <f aca="false">IF(名簿!$D144="","",名簿!$B144&amp;"")</f>
        <v/>
      </c>
      <c r="B144" s="91" t="str">
        <f aca="false">IF(名簿!$D144="","",名簿!$C144)</f>
        <v/>
      </c>
      <c r="C144" s="59" t="str">
        <f aca="false">IF(名簿!$D144="","",名簿!$D144&amp;IF(名簿!$F144="転出","（転出）",""))</f>
        <v/>
      </c>
      <c r="D144" s="149"/>
      <c r="E144" s="61" t="str">
        <f aca="false">IF(OR($C144="",名簿!$F144="転出"),"",IF($C$2="学級ごと",$A144,IF($C$2="前の単元と同じ",単元19!$E144&amp;"",$D144&amp;"")))</f>
        <v/>
      </c>
      <c r="F144" s="150"/>
      <c r="G144" s="150"/>
      <c r="H144" s="150"/>
      <c r="I144" s="151"/>
      <c r="J144" s="41" t="str">
        <f aca="false">IF($E144="","",$E144&amp;"|"&amp;COUNTIF($E$5:$E144,$E144))</f>
        <v/>
      </c>
      <c r="K144" s="40" t="str">
        <f aca="false">IF($I144="","",LEN($I144))</f>
        <v/>
      </c>
      <c r="L144" s="13"/>
      <c r="M144" s="13"/>
      <c r="N144" s="13"/>
      <c r="O144" s="13"/>
      <c r="P144" s="152"/>
      <c r="Q144" s="149"/>
      <c r="R144" s="152"/>
      <c r="S144" s="152"/>
      <c r="T144" s="62" t="str">
        <f aca="false">IF(OR($C144="",R144=""),"",IF(R144/IF($R$2="",100,$R$2)&gt;=設定!$I$28,設定!$G$8,IF(R144/IF($R$2="",100,$R$2)&lt;設定!$I$29,設定!$G$10,設定!$G$9)))</f>
        <v/>
      </c>
      <c r="U144" s="62" t="str">
        <f aca="false">IF(OR($C144="",S144=""),"",IF(S144/IF($S$2="",100,$S$2)&gt;=設定!$I$28,設定!$G$8,IF(S144/IF($S$2="",100,$S$2)&lt;設定!$I$29,設定!$G$10,設定!$G$9)))</f>
        <v/>
      </c>
    </row>
    <row r="145" customFormat="false" ht="21" hidden="false" customHeight="true" outlineLevel="0" collapsed="false">
      <c r="A145" s="91" t="str">
        <f aca="false">IF(名簿!$D145="","",名簿!$B145&amp;"")</f>
        <v/>
      </c>
      <c r="B145" s="91" t="str">
        <f aca="false">IF(名簿!$D145="","",名簿!$C145)</f>
        <v/>
      </c>
      <c r="C145" s="59" t="str">
        <f aca="false">IF(名簿!$D145="","",名簿!$D145&amp;IF(名簿!$F145="転出","（転出）",""))</f>
        <v/>
      </c>
      <c r="D145" s="149"/>
      <c r="E145" s="61" t="str">
        <f aca="false">IF(OR($C145="",名簿!$F145="転出"),"",IF($C$2="学級ごと",$A145,IF($C$2="前の単元と同じ",単元19!$E145&amp;"",$D145&amp;"")))</f>
        <v/>
      </c>
      <c r="F145" s="150"/>
      <c r="G145" s="150"/>
      <c r="H145" s="150"/>
      <c r="I145" s="151"/>
      <c r="J145" s="41" t="str">
        <f aca="false">IF($E145="","",$E145&amp;"|"&amp;COUNTIF($E$5:$E145,$E145))</f>
        <v/>
      </c>
      <c r="K145" s="40" t="str">
        <f aca="false">IF($I145="","",LEN($I145))</f>
        <v/>
      </c>
      <c r="L145" s="13"/>
      <c r="M145" s="13"/>
      <c r="N145" s="13"/>
      <c r="O145" s="13"/>
      <c r="P145" s="152"/>
      <c r="Q145" s="149"/>
      <c r="R145" s="152"/>
      <c r="S145" s="152"/>
      <c r="T145" s="62" t="str">
        <f aca="false">IF(OR($C145="",R145=""),"",IF(R145/IF($R$2="",100,$R$2)&gt;=設定!$I$28,設定!$G$8,IF(R145/IF($R$2="",100,$R$2)&lt;設定!$I$29,設定!$G$10,設定!$G$9)))</f>
        <v/>
      </c>
      <c r="U145" s="62" t="str">
        <f aca="false">IF(OR($C145="",S145=""),"",IF(S145/IF($S$2="",100,$S$2)&gt;=設定!$I$28,設定!$G$8,IF(S145/IF($S$2="",100,$S$2)&lt;設定!$I$29,設定!$G$10,設定!$G$9)))</f>
        <v/>
      </c>
    </row>
    <row r="146" customFormat="false" ht="21" hidden="false" customHeight="true" outlineLevel="0" collapsed="false">
      <c r="A146" s="91" t="str">
        <f aca="false">IF(名簿!$D146="","",名簿!$B146&amp;"")</f>
        <v/>
      </c>
      <c r="B146" s="91" t="str">
        <f aca="false">IF(名簿!$D146="","",名簿!$C146)</f>
        <v/>
      </c>
      <c r="C146" s="59" t="str">
        <f aca="false">IF(名簿!$D146="","",名簿!$D146&amp;IF(名簿!$F146="転出","（転出）",""))</f>
        <v/>
      </c>
      <c r="D146" s="149"/>
      <c r="E146" s="61" t="str">
        <f aca="false">IF(OR($C146="",名簿!$F146="転出"),"",IF($C$2="学級ごと",$A146,IF($C$2="前の単元と同じ",単元19!$E146&amp;"",$D146&amp;"")))</f>
        <v/>
      </c>
      <c r="F146" s="150"/>
      <c r="G146" s="150"/>
      <c r="H146" s="150"/>
      <c r="I146" s="151"/>
      <c r="J146" s="41" t="str">
        <f aca="false">IF($E146="","",$E146&amp;"|"&amp;COUNTIF($E$5:$E146,$E146))</f>
        <v/>
      </c>
      <c r="K146" s="40" t="str">
        <f aca="false">IF($I146="","",LEN($I146))</f>
        <v/>
      </c>
      <c r="L146" s="13"/>
      <c r="M146" s="13"/>
      <c r="N146" s="13"/>
      <c r="O146" s="13"/>
      <c r="P146" s="152"/>
      <c r="Q146" s="149"/>
      <c r="R146" s="152"/>
      <c r="S146" s="152"/>
      <c r="T146" s="62" t="str">
        <f aca="false">IF(OR($C146="",R146=""),"",IF(R146/IF($R$2="",100,$R$2)&gt;=設定!$I$28,設定!$G$8,IF(R146/IF($R$2="",100,$R$2)&lt;設定!$I$29,設定!$G$10,設定!$G$9)))</f>
        <v/>
      </c>
      <c r="U146" s="62" t="str">
        <f aca="false">IF(OR($C146="",S146=""),"",IF(S146/IF($S$2="",100,$S$2)&gt;=設定!$I$28,設定!$G$8,IF(S146/IF($S$2="",100,$S$2)&lt;設定!$I$29,設定!$G$10,設定!$G$9)))</f>
        <v/>
      </c>
    </row>
    <row r="147" customFormat="false" ht="21" hidden="false" customHeight="true" outlineLevel="0" collapsed="false">
      <c r="A147" s="91" t="str">
        <f aca="false">IF(名簿!$D147="","",名簿!$B147&amp;"")</f>
        <v/>
      </c>
      <c r="B147" s="91" t="str">
        <f aca="false">IF(名簿!$D147="","",名簿!$C147)</f>
        <v/>
      </c>
      <c r="C147" s="59" t="str">
        <f aca="false">IF(名簿!$D147="","",名簿!$D147&amp;IF(名簿!$F147="転出","（転出）",""))</f>
        <v/>
      </c>
      <c r="D147" s="149"/>
      <c r="E147" s="61" t="str">
        <f aca="false">IF(OR($C147="",名簿!$F147="転出"),"",IF($C$2="学級ごと",$A147,IF($C$2="前の単元と同じ",単元19!$E147&amp;"",$D147&amp;"")))</f>
        <v/>
      </c>
      <c r="F147" s="150"/>
      <c r="G147" s="150"/>
      <c r="H147" s="150"/>
      <c r="I147" s="151"/>
      <c r="J147" s="41" t="str">
        <f aca="false">IF($E147="","",$E147&amp;"|"&amp;COUNTIF($E$5:$E147,$E147))</f>
        <v/>
      </c>
      <c r="K147" s="40" t="str">
        <f aca="false">IF($I147="","",LEN($I147))</f>
        <v/>
      </c>
      <c r="L147" s="13"/>
      <c r="M147" s="13"/>
      <c r="N147" s="13"/>
      <c r="O147" s="13"/>
      <c r="P147" s="152"/>
      <c r="Q147" s="149"/>
      <c r="R147" s="152"/>
      <c r="S147" s="152"/>
      <c r="T147" s="62" t="str">
        <f aca="false">IF(OR($C147="",R147=""),"",IF(R147/IF($R$2="",100,$R$2)&gt;=設定!$I$28,設定!$G$8,IF(R147/IF($R$2="",100,$R$2)&lt;設定!$I$29,設定!$G$10,設定!$G$9)))</f>
        <v/>
      </c>
      <c r="U147" s="62" t="str">
        <f aca="false">IF(OR($C147="",S147=""),"",IF(S147/IF($S$2="",100,$S$2)&gt;=設定!$I$28,設定!$G$8,IF(S147/IF($S$2="",100,$S$2)&lt;設定!$I$29,設定!$G$10,設定!$G$9)))</f>
        <v/>
      </c>
    </row>
    <row r="148" customFormat="false" ht="21" hidden="false" customHeight="true" outlineLevel="0" collapsed="false">
      <c r="A148" s="91" t="str">
        <f aca="false">IF(名簿!$D148="","",名簿!$B148&amp;"")</f>
        <v/>
      </c>
      <c r="B148" s="91" t="str">
        <f aca="false">IF(名簿!$D148="","",名簿!$C148)</f>
        <v/>
      </c>
      <c r="C148" s="59" t="str">
        <f aca="false">IF(名簿!$D148="","",名簿!$D148&amp;IF(名簿!$F148="転出","（転出）",""))</f>
        <v/>
      </c>
      <c r="D148" s="149"/>
      <c r="E148" s="61" t="str">
        <f aca="false">IF(OR($C148="",名簿!$F148="転出"),"",IF($C$2="学級ごと",$A148,IF($C$2="前の単元と同じ",単元19!$E148&amp;"",$D148&amp;"")))</f>
        <v/>
      </c>
      <c r="F148" s="150"/>
      <c r="G148" s="150"/>
      <c r="H148" s="150"/>
      <c r="I148" s="151"/>
      <c r="J148" s="41" t="str">
        <f aca="false">IF($E148="","",$E148&amp;"|"&amp;COUNTIF($E$5:$E148,$E148))</f>
        <v/>
      </c>
      <c r="K148" s="40" t="str">
        <f aca="false">IF($I148="","",LEN($I148))</f>
        <v/>
      </c>
      <c r="L148" s="13"/>
      <c r="M148" s="13"/>
      <c r="N148" s="13"/>
      <c r="O148" s="13"/>
      <c r="P148" s="152"/>
      <c r="Q148" s="149"/>
      <c r="R148" s="152"/>
      <c r="S148" s="152"/>
      <c r="T148" s="62" t="str">
        <f aca="false">IF(OR($C148="",R148=""),"",IF(R148/IF($R$2="",100,$R$2)&gt;=設定!$I$28,設定!$G$8,IF(R148/IF($R$2="",100,$R$2)&lt;設定!$I$29,設定!$G$10,設定!$G$9)))</f>
        <v/>
      </c>
      <c r="U148" s="62" t="str">
        <f aca="false">IF(OR($C148="",S148=""),"",IF(S148/IF($S$2="",100,$S$2)&gt;=設定!$I$28,設定!$G$8,IF(S148/IF($S$2="",100,$S$2)&lt;設定!$I$29,設定!$G$10,設定!$G$9)))</f>
        <v/>
      </c>
    </row>
    <row r="149" customFormat="false" ht="21" hidden="false" customHeight="true" outlineLevel="0" collapsed="false">
      <c r="A149" s="91" t="str">
        <f aca="false">IF(名簿!$D149="","",名簿!$B149&amp;"")</f>
        <v/>
      </c>
      <c r="B149" s="91" t="str">
        <f aca="false">IF(名簿!$D149="","",名簿!$C149)</f>
        <v/>
      </c>
      <c r="C149" s="59" t="str">
        <f aca="false">IF(名簿!$D149="","",名簿!$D149&amp;IF(名簿!$F149="転出","（転出）",""))</f>
        <v/>
      </c>
      <c r="D149" s="149"/>
      <c r="E149" s="61" t="str">
        <f aca="false">IF(OR($C149="",名簿!$F149="転出"),"",IF($C$2="学級ごと",$A149,IF($C$2="前の単元と同じ",単元19!$E149&amp;"",$D149&amp;"")))</f>
        <v/>
      </c>
      <c r="F149" s="150"/>
      <c r="G149" s="150"/>
      <c r="H149" s="150"/>
      <c r="I149" s="151"/>
      <c r="J149" s="41" t="str">
        <f aca="false">IF($E149="","",$E149&amp;"|"&amp;COUNTIF($E$5:$E149,$E149))</f>
        <v/>
      </c>
      <c r="K149" s="40" t="str">
        <f aca="false">IF($I149="","",LEN($I149))</f>
        <v/>
      </c>
      <c r="L149" s="13"/>
      <c r="M149" s="13"/>
      <c r="N149" s="13"/>
      <c r="O149" s="13"/>
      <c r="P149" s="152"/>
      <c r="Q149" s="149"/>
      <c r="R149" s="152"/>
      <c r="S149" s="152"/>
      <c r="T149" s="62" t="str">
        <f aca="false">IF(OR($C149="",R149=""),"",IF(R149/IF($R$2="",100,$R$2)&gt;=設定!$I$28,設定!$G$8,IF(R149/IF($R$2="",100,$R$2)&lt;設定!$I$29,設定!$G$10,設定!$G$9)))</f>
        <v/>
      </c>
      <c r="U149" s="62" t="str">
        <f aca="false">IF(OR($C149="",S149=""),"",IF(S149/IF($S$2="",100,$S$2)&gt;=設定!$I$28,設定!$G$8,IF(S149/IF($S$2="",100,$S$2)&lt;設定!$I$29,設定!$G$10,設定!$G$9)))</f>
        <v/>
      </c>
    </row>
    <row r="150" customFormat="false" ht="21" hidden="false" customHeight="true" outlineLevel="0" collapsed="false">
      <c r="A150" s="91" t="str">
        <f aca="false">IF(名簿!$D150="","",名簿!$B150&amp;"")</f>
        <v/>
      </c>
      <c r="B150" s="91" t="str">
        <f aca="false">IF(名簿!$D150="","",名簿!$C150)</f>
        <v/>
      </c>
      <c r="C150" s="59" t="str">
        <f aca="false">IF(名簿!$D150="","",名簿!$D150&amp;IF(名簿!$F150="転出","（転出）",""))</f>
        <v/>
      </c>
      <c r="D150" s="149"/>
      <c r="E150" s="61" t="str">
        <f aca="false">IF(OR($C150="",名簿!$F150="転出"),"",IF($C$2="学級ごと",$A150,IF($C$2="前の単元と同じ",単元19!$E150&amp;"",$D150&amp;"")))</f>
        <v/>
      </c>
      <c r="F150" s="150"/>
      <c r="G150" s="150"/>
      <c r="H150" s="150"/>
      <c r="I150" s="151"/>
      <c r="J150" s="41" t="str">
        <f aca="false">IF($E150="","",$E150&amp;"|"&amp;COUNTIF($E$5:$E150,$E150))</f>
        <v/>
      </c>
      <c r="K150" s="40" t="str">
        <f aca="false">IF($I150="","",LEN($I150))</f>
        <v/>
      </c>
      <c r="L150" s="13"/>
      <c r="M150" s="13"/>
      <c r="N150" s="13"/>
      <c r="O150" s="13"/>
      <c r="P150" s="152"/>
      <c r="Q150" s="149"/>
      <c r="R150" s="152"/>
      <c r="S150" s="152"/>
      <c r="T150" s="62" t="str">
        <f aca="false">IF(OR($C150="",R150=""),"",IF(R150/IF($R$2="",100,$R$2)&gt;=設定!$I$28,設定!$G$8,IF(R150/IF($R$2="",100,$R$2)&lt;設定!$I$29,設定!$G$10,設定!$G$9)))</f>
        <v/>
      </c>
      <c r="U150" s="62" t="str">
        <f aca="false">IF(OR($C150="",S150=""),"",IF(S150/IF($S$2="",100,$S$2)&gt;=設定!$I$28,設定!$G$8,IF(S150/IF($S$2="",100,$S$2)&lt;設定!$I$29,設定!$G$10,設定!$G$9)))</f>
        <v/>
      </c>
    </row>
    <row r="151" customFormat="false" ht="21" hidden="false" customHeight="true" outlineLevel="0" collapsed="false">
      <c r="A151" s="91" t="str">
        <f aca="false">IF(名簿!$D151="","",名簿!$B151&amp;"")</f>
        <v/>
      </c>
      <c r="B151" s="91" t="str">
        <f aca="false">IF(名簿!$D151="","",名簿!$C151)</f>
        <v/>
      </c>
      <c r="C151" s="59" t="str">
        <f aca="false">IF(名簿!$D151="","",名簿!$D151&amp;IF(名簿!$F151="転出","（転出）",""))</f>
        <v/>
      </c>
      <c r="D151" s="149"/>
      <c r="E151" s="61" t="str">
        <f aca="false">IF(OR($C151="",名簿!$F151="転出"),"",IF($C$2="学級ごと",$A151,IF($C$2="前の単元と同じ",単元19!$E151&amp;"",$D151&amp;"")))</f>
        <v/>
      </c>
      <c r="F151" s="150"/>
      <c r="G151" s="150"/>
      <c r="H151" s="150"/>
      <c r="I151" s="151"/>
      <c r="J151" s="41" t="str">
        <f aca="false">IF($E151="","",$E151&amp;"|"&amp;COUNTIF($E$5:$E151,$E151))</f>
        <v/>
      </c>
      <c r="K151" s="40" t="str">
        <f aca="false">IF($I151="","",LEN($I151))</f>
        <v/>
      </c>
      <c r="L151" s="13"/>
      <c r="M151" s="13"/>
      <c r="N151" s="13"/>
      <c r="O151" s="13"/>
      <c r="P151" s="152"/>
      <c r="Q151" s="149"/>
      <c r="R151" s="152"/>
      <c r="S151" s="152"/>
      <c r="T151" s="62" t="str">
        <f aca="false">IF(OR($C151="",R151=""),"",IF(R151/IF($R$2="",100,$R$2)&gt;=設定!$I$28,設定!$G$8,IF(R151/IF($R$2="",100,$R$2)&lt;設定!$I$29,設定!$G$10,設定!$G$9)))</f>
        <v/>
      </c>
      <c r="U151" s="62" t="str">
        <f aca="false">IF(OR($C151="",S151=""),"",IF(S151/IF($S$2="",100,$S$2)&gt;=設定!$I$28,設定!$G$8,IF(S151/IF($S$2="",100,$S$2)&lt;設定!$I$29,設定!$G$10,設定!$G$9)))</f>
        <v/>
      </c>
    </row>
    <row r="152" customFormat="false" ht="21" hidden="false" customHeight="true" outlineLevel="0" collapsed="false">
      <c r="A152" s="91" t="str">
        <f aca="false">IF(名簿!$D152="","",名簿!$B152&amp;"")</f>
        <v/>
      </c>
      <c r="B152" s="91" t="str">
        <f aca="false">IF(名簿!$D152="","",名簿!$C152)</f>
        <v/>
      </c>
      <c r="C152" s="59" t="str">
        <f aca="false">IF(名簿!$D152="","",名簿!$D152&amp;IF(名簿!$F152="転出","（転出）",""))</f>
        <v/>
      </c>
      <c r="D152" s="149"/>
      <c r="E152" s="61" t="str">
        <f aca="false">IF(OR($C152="",名簿!$F152="転出"),"",IF($C$2="学級ごと",$A152,IF($C$2="前の単元と同じ",単元19!$E152&amp;"",$D152&amp;"")))</f>
        <v/>
      </c>
      <c r="F152" s="150"/>
      <c r="G152" s="150"/>
      <c r="H152" s="150"/>
      <c r="I152" s="151"/>
      <c r="J152" s="41" t="str">
        <f aca="false">IF($E152="","",$E152&amp;"|"&amp;COUNTIF($E$5:$E152,$E152))</f>
        <v/>
      </c>
      <c r="K152" s="40" t="str">
        <f aca="false">IF($I152="","",LEN($I152))</f>
        <v/>
      </c>
      <c r="L152" s="13"/>
      <c r="M152" s="13"/>
      <c r="N152" s="13"/>
      <c r="O152" s="13"/>
      <c r="P152" s="152"/>
      <c r="Q152" s="149"/>
      <c r="R152" s="152"/>
      <c r="S152" s="152"/>
      <c r="T152" s="62" t="str">
        <f aca="false">IF(OR($C152="",R152=""),"",IF(R152/IF($R$2="",100,$R$2)&gt;=設定!$I$28,設定!$G$8,IF(R152/IF($R$2="",100,$R$2)&lt;設定!$I$29,設定!$G$10,設定!$G$9)))</f>
        <v/>
      </c>
      <c r="U152" s="62" t="str">
        <f aca="false">IF(OR($C152="",S152=""),"",IF(S152/IF($S$2="",100,$S$2)&gt;=設定!$I$28,設定!$G$8,IF(S152/IF($S$2="",100,$S$2)&lt;設定!$I$29,設定!$G$10,設定!$G$9)))</f>
        <v/>
      </c>
    </row>
    <row r="153" customFormat="false" ht="21" hidden="false" customHeight="true" outlineLevel="0" collapsed="false">
      <c r="A153" s="91" t="str">
        <f aca="false">IF(名簿!$D153="","",名簿!$B153&amp;"")</f>
        <v/>
      </c>
      <c r="B153" s="91" t="str">
        <f aca="false">IF(名簿!$D153="","",名簿!$C153)</f>
        <v/>
      </c>
      <c r="C153" s="59" t="str">
        <f aca="false">IF(名簿!$D153="","",名簿!$D153&amp;IF(名簿!$F153="転出","（転出）",""))</f>
        <v/>
      </c>
      <c r="D153" s="149"/>
      <c r="E153" s="61" t="str">
        <f aca="false">IF(OR($C153="",名簿!$F153="転出"),"",IF($C$2="学級ごと",$A153,IF($C$2="前の単元と同じ",単元19!$E153&amp;"",$D153&amp;"")))</f>
        <v/>
      </c>
      <c r="F153" s="150"/>
      <c r="G153" s="150"/>
      <c r="H153" s="150"/>
      <c r="I153" s="151"/>
      <c r="J153" s="41" t="str">
        <f aca="false">IF($E153="","",$E153&amp;"|"&amp;COUNTIF($E$5:$E153,$E153))</f>
        <v/>
      </c>
      <c r="K153" s="40" t="str">
        <f aca="false">IF($I153="","",LEN($I153))</f>
        <v/>
      </c>
      <c r="L153" s="13"/>
      <c r="M153" s="13"/>
      <c r="N153" s="13"/>
      <c r="O153" s="13"/>
      <c r="P153" s="152"/>
      <c r="Q153" s="149"/>
      <c r="R153" s="152"/>
      <c r="S153" s="152"/>
      <c r="T153" s="62" t="str">
        <f aca="false">IF(OR($C153="",R153=""),"",IF(R153/IF($R$2="",100,$R$2)&gt;=設定!$I$28,設定!$G$8,IF(R153/IF($R$2="",100,$R$2)&lt;設定!$I$29,設定!$G$10,設定!$G$9)))</f>
        <v/>
      </c>
      <c r="U153" s="62" t="str">
        <f aca="false">IF(OR($C153="",S153=""),"",IF(S153/IF($S$2="",100,$S$2)&gt;=設定!$I$28,設定!$G$8,IF(S153/IF($S$2="",100,$S$2)&lt;設定!$I$29,設定!$G$10,設定!$G$9)))</f>
        <v/>
      </c>
    </row>
    <row r="154" customFormat="false" ht="21" hidden="false" customHeight="true" outlineLevel="0" collapsed="false">
      <c r="A154" s="91" t="str">
        <f aca="false">IF(名簿!$D154="","",名簿!$B154&amp;"")</f>
        <v/>
      </c>
      <c r="B154" s="91" t="str">
        <f aca="false">IF(名簿!$D154="","",名簿!$C154)</f>
        <v/>
      </c>
      <c r="C154" s="59" t="str">
        <f aca="false">IF(名簿!$D154="","",名簿!$D154&amp;IF(名簿!$F154="転出","（転出）",""))</f>
        <v/>
      </c>
      <c r="D154" s="149"/>
      <c r="E154" s="61" t="str">
        <f aca="false">IF(OR($C154="",名簿!$F154="転出"),"",IF($C$2="学級ごと",$A154,IF($C$2="前の単元と同じ",単元19!$E154&amp;"",$D154&amp;"")))</f>
        <v/>
      </c>
      <c r="F154" s="150"/>
      <c r="G154" s="150"/>
      <c r="H154" s="150"/>
      <c r="I154" s="151"/>
      <c r="J154" s="41" t="str">
        <f aca="false">IF($E154="","",$E154&amp;"|"&amp;COUNTIF($E$5:$E154,$E154))</f>
        <v/>
      </c>
      <c r="K154" s="40" t="str">
        <f aca="false">IF($I154="","",LEN($I154))</f>
        <v/>
      </c>
      <c r="L154" s="13"/>
      <c r="M154" s="13"/>
      <c r="N154" s="13"/>
      <c r="O154" s="13"/>
      <c r="P154" s="152"/>
      <c r="Q154" s="149"/>
      <c r="R154" s="152"/>
      <c r="S154" s="152"/>
      <c r="T154" s="62" t="str">
        <f aca="false">IF(OR($C154="",R154=""),"",IF(R154/IF($R$2="",100,$R$2)&gt;=設定!$I$28,設定!$G$8,IF(R154/IF($R$2="",100,$R$2)&lt;設定!$I$29,設定!$G$10,設定!$G$9)))</f>
        <v/>
      </c>
      <c r="U154" s="62" t="str">
        <f aca="false">IF(OR($C154="",S154=""),"",IF(S154/IF($S$2="",100,$S$2)&gt;=設定!$I$28,設定!$G$8,IF(S154/IF($S$2="",100,$S$2)&lt;設定!$I$29,設定!$G$10,設定!$G$9)))</f>
        <v/>
      </c>
    </row>
    <row r="155" customFormat="false" ht="21" hidden="false" customHeight="true" outlineLevel="0" collapsed="false">
      <c r="A155" s="91" t="str">
        <f aca="false">IF(名簿!$D155="","",名簿!$B155&amp;"")</f>
        <v/>
      </c>
      <c r="B155" s="91" t="str">
        <f aca="false">IF(名簿!$D155="","",名簿!$C155)</f>
        <v/>
      </c>
      <c r="C155" s="59" t="str">
        <f aca="false">IF(名簿!$D155="","",名簿!$D155&amp;IF(名簿!$F155="転出","（転出）",""))</f>
        <v/>
      </c>
      <c r="D155" s="149"/>
      <c r="E155" s="61" t="str">
        <f aca="false">IF(OR($C155="",名簿!$F155="転出"),"",IF($C$2="学級ごと",$A155,IF($C$2="前の単元と同じ",単元19!$E155&amp;"",$D155&amp;"")))</f>
        <v/>
      </c>
      <c r="F155" s="150"/>
      <c r="G155" s="150"/>
      <c r="H155" s="150"/>
      <c r="I155" s="151"/>
      <c r="J155" s="41" t="str">
        <f aca="false">IF($E155="","",$E155&amp;"|"&amp;COUNTIF($E$5:$E155,$E155))</f>
        <v/>
      </c>
      <c r="K155" s="40" t="str">
        <f aca="false">IF($I155="","",LEN($I155))</f>
        <v/>
      </c>
      <c r="L155" s="13"/>
      <c r="M155" s="13"/>
      <c r="N155" s="13"/>
      <c r="O155" s="13"/>
      <c r="P155" s="152"/>
      <c r="Q155" s="149"/>
      <c r="R155" s="152"/>
      <c r="S155" s="152"/>
      <c r="T155" s="62" t="str">
        <f aca="false">IF(OR($C155="",R155=""),"",IF(R155/IF($R$2="",100,$R$2)&gt;=設定!$I$28,設定!$G$8,IF(R155/IF($R$2="",100,$R$2)&lt;設定!$I$29,設定!$G$10,設定!$G$9)))</f>
        <v/>
      </c>
      <c r="U155" s="62" t="str">
        <f aca="false">IF(OR($C155="",S155=""),"",IF(S155/IF($S$2="",100,$S$2)&gt;=設定!$I$28,設定!$G$8,IF(S155/IF($S$2="",100,$S$2)&lt;設定!$I$29,設定!$G$10,設定!$G$9)))</f>
        <v/>
      </c>
    </row>
    <row r="156" customFormat="false" ht="21" hidden="false" customHeight="true" outlineLevel="0" collapsed="false">
      <c r="A156" s="91" t="str">
        <f aca="false">IF(名簿!$D156="","",名簿!$B156&amp;"")</f>
        <v/>
      </c>
      <c r="B156" s="91" t="str">
        <f aca="false">IF(名簿!$D156="","",名簿!$C156)</f>
        <v/>
      </c>
      <c r="C156" s="59" t="str">
        <f aca="false">IF(名簿!$D156="","",名簿!$D156&amp;IF(名簿!$F156="転出","（転出）",""))</f>
        <v/>
      </c>
      <c r="D156" s="149"/>
      <c r="E156" s="61" t="str">
        <f aca="false">IF(OR($C156="",名簿!$F156="転出"),"",IF($C$2="学級ごと",$A156,IF($C$2="前の単元と同じ",単元19!$E156&amp;"",$D156&amp;"")))</f>
        <v/>
      </c>
      <c r="F156" s="150"/>
      <c r="G156" s="150"/>
      <c r="H156" s="150"/>
      <c r="I156" s="151"/>
      <c r="J156" s="41" t="str">
        <f aca="false">IF($E156="","",$E156&amp;"|"&amp;COUNTIF($E$5:$E156,$E156))</f>
        <v/>
      </c>
      <c r="K156" s="40" t="str">
        <f aca="false">IF($I156="","",LEN($I156))</f>
        <v/>
      </c>
      <c r="L156" s="13"/>
      <c r="M156" s="13"/>
      <c r="N156" s="13"/>
      <c r="O156" s="13"/>
      <c r="P156" s="152"/>
      <c r="Q156" s="149"/>
      <c r="R156" s="152"/>
      <c r="S156" s="152"/>
      <c r="T156" s="62" t="str">
        <f aca="false">IF(OR($C156="",R156=""),"",IF(R156/IF($R$2="",100,$R$2)&gt;=設定!$I$28,設定!$G$8,IF(R156/IF($R$2="",100,$R$2)&lt;設定!$I$29,設定!$G$10,設定!$G$9)))</f>
        <v/>
      </c>
      <c r="U156" s="62" t="str">
        <f aca="false">IF(OR($C156="",S156=""),"",IF(S156/IF($S$2="",100,$S$2)&gt;=設定!$I$28,設定!$G$8,IF(S156/IF($S$2="",100,$S$2)&lt;設定!$I$29,設定!$G$10,設定!$G$9)))</f>
        <v/>
      </c>
    </row>
    <row r="157" customFormat="false" ht="21" hidden="false" customHeight="true" outlineLevel="0" collapsed="false">
      <c r="A157" s="91" t="str">
        <f aca="false">IF(名簿!$D157="","",名簿!$B157&amp;"")</f>
        <v/>
      </c>
      <c r="B157" s="91" t="str">
        <f aca="false">IF(名簿!$D157="","",名簿!$C157)</f>
        <v/>
      </c>
      <c r="C157" s="59" t="str">
        <f aca="false">IF(名簿!$D157="","",名簿!$D157&amp;IF(名簿!$F157="転出","（転出）",""))</f>
        <v/>
      </c>
      <c r="D157" s="149"/>
      <c r="E157" s="61" t="str">
        <f aca="false">IF(OR($C157="",名簿!$F157="転出"),"",IF($C$2="学級ごと",$A157,IF($C$2="前の単元と同じ",単元19!$E157&amp;"",$D157&amp;"")))</f>
        <v/>
      </c>
      <c r="F157" s="150"/>
      <c r="G157" s="150"/>
      <c r="H157" s="150"/>
      <c r="I157" s="151"/>
      <c r="J157" s="41" t="str">
        <f aca="false">IF($E157="","",$E157&amp;"|"&amp;COUNTIF($E$5:$E157,$E157))</f>
        <v/>
      </c>
      <c r="K157" s="40" t="str">
        <f aca="false">IF($I157="","",LEN($I157))</f>
        <v/>
      </c>
      <c r="L157" s="13"/>
      <c r="M157" s="13"/>
      <c r="N157" s="13"/>
      <c r="O157" s="13"/>
      <c r="P157" s="152"/>
      <c r="Q157" s="149"/>
      <c r="R157" s="152"/>
      <c r="S157" s="152"/>
      <c r="T157" s="62" t="str">
        <f aca="false">IF(OR($C157="",R157=""),"",IF(R157/IF($R$2="",100,$R$2)&gt;=設定!$I$28,設定!$G$8,IF(R157/IF($R$2="",100,$R$2)&lt;設定!$I$29,設定!$G$10,設定!$G$9)))</f>
        <v/>
      </c>
      <c r="U157" s="62" t="str">
        <f aca="false">IF(OR($C157="",S157=""),"",IF(S157/IF($S$2="",100,$S$2)&gt;=設定!$I$28,設定!$G$8,IF(S157/IF($S$2="",100,$S$2)&lt;設定!$I$29,設定!$G$10,設定!$G$9)))</f>
        <v/>
      </c>
    </row>
    <row r="158" customFormat="false" ht="21" hidden="false" customHeight="true" outlineLevel="0" collapsed="false">
      <c r="A158" s="91" t="str">
        <f aca="false">IF(名簿!$D158="","",名簿!$B158&amp;"")</f>
        <v/>
      </c>
      <c r="B158" s="91" t="str">
        <f aca="false">IF(名簿!$D158="","",名簿!$C158)</f>
        <v/>
      </c>
      <c r="C158" s="59" t="str">
        <f aca="false">IF(名簿!$D158="","",名簿!$D158&amp;IF(名簿!$F158="転出","（転出）",""))</f>
        <v/>
      </c>
      <c r="D158" s="149"/>
      <c r="E158" s="61" t="str">
        <f aca="false">IF(OR($C158="",名簿!$F158="転出"),"",IF($C$2="学級ごと",$A158,IF($C$2="前の単元と同じ",単元19!$E158&amp;"",$D158&amp;"")))</f>
        <v/>
      </c>
      <c r="F158" s="150"/>
      <c r="G158" s="150"/>
      <c r="H158" s="150"/>
      <c r="I158" s="151"/>
      <c r="J158" s="41" t="str">
        <f aca="false">IF($E158="","",$E158&amp;"|"&amp;COUNTIF($E$5:$E158,$E158))</f>
        <v/>
      </c>
      <c r="K158" s="40" t="str">
        <f aca="false">IF($I158="","",LEN($I158))</f>
        <v/>
      </c>
      <c r="L158" s="13"/>
      <c r="M158" s="13"/>
      <c r="N158" s="13"/>
      <c r="O158" s="13"/>
      <c r="P158" s="152"/>
      <c r="Q158" s="149"/>
      <c r="R158" s="152"/>
      <c r="S158" s="152"/>
      <c r="T158" s="62" t="str">
        <f aca="false">IF(OR($C158="",R158=""),"",IF(R158/IF($R$2="",100,$R$2)&gt;=設定!$I$28,設定!$G$8,IF(R158/IF($R$2="",100,$R$2)&lt;設定!$I$29,設定!$G$10,設定!$G$9)))</f>
        <v/>
      </c>
      <c r="U158" s="62" t="str">
        <f aca="false">IF(OR($C158="",S158=""),"",IF(S158/IF($S$2="",100,$S$2)&gt;=設定!$I$28,設定!$G$8,IF(S158/IF($S$2="",100,$S$2)&lt;設定!$I$29,設定!$G$10,設定!$G$9)))</f>
        <v/>
      </c>
    </row>
    <row r="159" customFormat="false" ht="21" hidden="false" customHeight="true" outlineLevel="0" collapsed="false">
      <c r="A159" s="91" t="str">
        <f aca="false">IF(名簿!$D159="","",名簿!$B159&amp;"")</f>
        <v/>
      </c>
      <c r="B159" s="91" t="str">
        <f aca="false">IF(名簿!$D159="","",名簿!$C159)</f>
        <v/>
      </c>
      <c r="C159" s="59" t="str">
        <f aca="false">IF(名簿!$D159="","",名簿!$D159&amp;IF(名簿!$F159="転出","（転出）",""))</f>
        <v/>
      </c>
      <c r="D159" s="149"/>
      <c r="E159" s="61" t="str">
        <f aca="false">IF(OR($C159="",名簿!$F159="転出"),"",IF($C$2="学級ごと",$A159,IF($C$2="前の単元と同じ",単元19!$E159&amp;"",$D159&amp;"")))</f>
        <v/>
      </c>
      <c r="F159" s="150"/>
      <c r="G159" s="150"/>
      <c r="H159" s="150"/>
      <c r="I159" s="151"/>
      <c r="J159" s="41" t="str">
        <f aca="false">IF($E159="","",$E159&amp;"|"&amp;COUNTIF($E$5:$E159,$E159))</f>
        <v/>
      </c>
      <c r="K159" s="40" t="str">
        <f aca="false">IF($I159="","",LEN($I159))</f>
        <v/>
      </c>
      <c r="L159" s="13"/>
      <c r="M159" s="13"/>
      <c r="N159" s="13"/>
      <c r="O159" s="13"/>
      <c r="P159" s="152"/>
      <c r="Q159" s="149"/>
      <c r="R159" s="152"/>
      <c r="S159" s="152"/>
      <c r="T159" s="62" t="str">
        <f aca="false">IF(OR($C159="",R159=""),"",IF(R159/IF($R$2="",100,$R$2)&gt;=設定!$I$28,設定!$G$8,IF(R159/IF($R$2="",100,$R$2)&lt;設定!$I$29,設定!$G$10,設定!$G$9)))</f>
        <v/>
      </c>
      <c r="U159" s="62" t="str">
        <f aca="false">IF(OR($C159="",S159=""),"",IF(S159/IF($S$2="",100,$S$2)&gt;=設定!$I$28,設定!$G$8,IF(S159/IF($S$2="",100,$S$2)&lt;設定!$I$29,設定!$G$10,設定!$G$9)))</f>
        <v/>
      </c>
    </row>
    <row r="160" customFormat="false" ht="21" hidden="false" customHeight="true" outlineLevel="0" collapsed="false">
      <c r="A160" s="91" t="str">
        <f aca="false">IF(名簿!$D160="","",名簿!$B160&amp;"")</f>
        <v/>
      </c>
      <c r="B160" s="91" t="str">
        <f aca="false">IF(名簿!$D160="","",名簿!$C160)</f>
        <v/>
      </c>
      <c r="C160" s="59" t="str">
        <f aca="false">IF(名簿!$D160="","",名簿!$D160&amp;IF(名簿!$F160="転出","（転出）",""))</f>
        <v/>
      </c>
      <c r="D160" s="149"/>
      <c r="E160" s="61" t="str">
        <f aca="false">IF(OR($C160="",名簿!$F160="転出"),"",IF($C$2="学級ごと",$A160,IF($C$2="前の単元と同じ",単元19!$E160&amp;"",$D160&amp;"")))</f>
        <v/>
      </c>
      <c r="F160" s="150"/>
      <c r="G160" s="150"/>
      <c r="H160" s="150"/>
      <c r="I160" s="151"/>
      <c r="J160" s="41" t="str">
        <f aca="false">IF($E160="","",$E160&amp;"|"&amp;COUNTIF($E$5:$E160,$E160))</f>
        <v/>
      </c>
      <c r="K160" s="40" t="str">
        <f aca="false">IF($I160="","",LEN($I160))</f>
        <v/>
      </c>
      <c r="L160" s="13"/>
      <c r="M160" s="13"/>
      <c r="N160" s="13"/>
      <c r="O160" s="13"/>
      <c r="P160" s="152"/>
      <c r="Q160" s="149"/>
      <c r="R160" s="152"/>
      <c r="S160" s="152"/>
      <c r="T160" s="62" t="str">
        <f aca="false">IF(OR($C160="",R160=""),"",IF(R160/IF($R$2="",100,$R$2)&gt;=設定!$I$28,設定!$G$8,IF(R160/IF($R$2="",100,$R$2)&lt;設定!$I$29,設定!$G$10,設定!$G$9)))</f>
        <v/>
      </c>
      <c r="U160" s="62" t="str">
        <f aca="false">IF(OR($C160="",S160=""),"",IF(S160/IF($S$2="",100,$S$2)&gt;=設定!$I$28,設定!$G$8,IF(S160/IF($S$2="",100,$S$2)&lt;設定!$I$29,設定!$G$10,設定!$G$9)))</f>
        <v/>
      </c>
    </row>
    <row r="161" customFormat="false" ht="21" hidden="false" customHeight="true" outlineLevel="0" collapsed="false">
      <c r="A161" s="91" t="str">
        <f aca="false">IF(名簿!$D161="","",名簿!$B161&amp;"")</f>
        <v/>
      </c>
      <c r="B161" s="91" t="str">
        <f aca="false">IF(名簿!$D161="","",名簿!$C161)</f>
        <v/>
      </c>
      <c r="C161" s="59" t="str">
        <f aca="false">IF(名簿!$D161="","",名簿!$D161&amp;IF(名簿!$F161="転出","（転出）",""))</f>
        <v/>
      </c>
      <c r="D161" s="149"/>
      <c r="E161" s="61" t="str">
        <f aca="false">IF(OR($C161="",名簿!$F161="転出"),"",IF($C$2="学級ごと",$A161,IF($C$2="前の単元と同じ",単元19!$E161&amp;"",$D161&amp;"")))</f>
        <v/>
      </c>
      <c r="F161" s="150"/>
      <c r="G161" s="150"/>
      <c r="H161" s="150"/>
      <c r="I161" s="151"/>
      <c r="J161" s="41" t="str">
        <f aca="false">IF($E161="","",$E161&amp;"|"&amp;COUNTIF($E$5:$E161,$E161))</f>
        <v/>
      </c>
      <c r="K161" s="40" t="str">
        <f aca="false">IF($I161="","",LEN($I161))</f>
        <v/>
      </c>
      <c r="L161" s="13"/>
      <c r="M161" s="13"/>
      <c r="N161" s="13"/>
      <c r="O161" s="13"/>
      <c r="P161" s="152"/>
      <c r="Q161" s="149"/>
      <c r="R161" s="152"/>
      <c r="S161" s="152"/>
      <c r="T161" s="62" t="str">
        <f aca="false">IF(OR($C161="",R161=""),"",IF(R161/IF($R$2="",100,$R$2)&gt;=設定!$I$28,設定!$G$8,IF(R161/IF($R$2="",100,$R$2)&lt;設定!$I$29,設定!$G$10,設定!$G$9)))</f>
        <v/>
      </c>
      <c r="U161" s="62" t="str">
        <f aca="false">IF(OR($C161="",S161=""),"",IF(S161/IF($S$2="",100,$S$2)&gt;=設定!$I$28,設定!$G$8,IF(S161/IF($S$2="",100,$S$2)&lt;設定!$I$29,設定!$G$10,設定!$G$9)))</f>
        <v/>
      </c>
    </row>
    <row r="162" customFormat="false" ht="21" hidden="false" customHeight="true" outlineLevel="0" collapsed="false">
      <c r="A162" s="91" t="str">
        <f aca="false">IF(名簿!$D162="","",名簿!$B162&amp;"")</f>
        <v/>
      </c>
      <c r="B162" s="91" t="str">
        <f aca="false">IF(名簿!$D162="","",名簿!$C162)</f>
        <v/>
      </c>
      <c r="C162" s="59" t="str">
        <f aca="false">IF(名簿!$D162="","",名簿!$D162&amp;IF(名簿!$F162="転出","（転出）",""))</f>
        <v/>
      </c>
      <c r="D162" s="149"/>
      <c r="E162" s="61" t="str">
        <f aca="false">IF(OR($C162="",名簿!$F162="転出"),"",IF($C$2="学級ごと",$A162,IF($C$2="前の単元と同じ",単元19!$E162&amp;"",$D162&amp;"")))</f>
        <v/>
      </c>
      <c r="F162" s="150"/>
      <c r="G162" s="150"/>
      <c r="H162" s="150"/>
      <c r="I162" s="151"/>
      <c r="J162" s="41" t="str">
        <f aca="false">IF($E162="","",$E162&amp;"|"&amp;COUNTIF($E$5:$E162,$E162))</f>
        <v/>
      </c>
      <c r="K162" s="40" t="str">
        <f aca="false">IF($I162="","",LEN($I162))</f>
        <v/>
      </c>
      <c r="L162" s="13"/>
      <c r="M162" s="13"/>
      <c r="N162" s="13"/>
      <c r="O162" s="13"/>
      <c r="P162" s="152"/>
      <c r="Q162" s="149"/>
      <c r="R162" s="152"/>
      <c r="S162" s="152"/>
      <c r="T162" s="62" t="str">
        <f aca="false">IF(OR($C162="",R162=""),"",IF(R162/IF($R$2="",100,$R$2)&gt;=設定!$I$28,設定!$G$8,IF(R162/IF($R$2="",100,$R$2)&lt;設定!$I$29,設定!$G$10,設定!$G$9)))</f>
        <v/>
      </c>
      <c r="U162" s="62" t="str">
        <f aca="false">IF(OR($C162="",S162=""),"",IF(S162/IF($S$2="",100,$S$2)&gt;=設定!$I$28,設定!$G$8,IF(S162/IF($S$2="",100,$S$2)&lt;設定!$I$29,設定!$G$10,設定!$G$9)))</f>
        <v/>
      </c>
    </row>
    <row r="163" customFormat="false" ht="21" hidden="false" customHeight="true" outlineLevel="0" collapsed="false">
      <c r="A163" s="91" t="str">
        <f aca="false">IF(名簿!$D163="","",名簿!$B163&amp;"")</f>
        <v/>
      </c>
      <c r="B163" s="91" t="str">
        <f aca="false">IF(名簿!$D163="","",名簿!$C163)</f>
        <v/>
      </c>
      <c r="C163" s="59" t="str">
        <f aca="false">IF(名簿!$D163="","",名簿!$D163&amp;IF(名簿!$F163="転出","（転出）",""))</f>
        <v/>
      </c>
      <c r="D163" s="149"/>
      <c r="E163" s="61" t="str">
        <f aca="false">IF(OR($C163="",名簿!$F163="転出"),"",IF($C$2="学級ごと",$A163,IF($C$2="前の単元と同じ",単元19!$E163&amp;"",$D163&amp;"")))</f>
        <v/>
      </c>
      <c r="F163" s="150"/>
      <c r="G163" s="150"/>
      <c r="H163" s="150"/>
      <c r="I163" s="151"/>
      <c r="J163" s="41" t="str">
        <f aca="false">IF($E163="","",$E163&amp;"|"&amp;COUNTIF($E$5:$E163,$E163))</f>
        <v/>
      </c>
      <c r="K163" s="40" t="str">
        <f aca="false">IF($I163="","",LEN($I163))</f>
        <v/>
      </c>
      <c r="L163" s="13"/>
      <c r="M163" s="13"/>
      <c r="N163" s="13"/>
      <c r="O163" s="13"/>
      <c r="P163" s="152"/>
      <c r="Q163" s="149"/>
      <c r="R163" s="152"/>
      <c r="S163" s="152"/>
      <c r="T163" s="62" t="str">
        <f aca="false">IF(OR($C163="",R163=""),"",IF(R163/IF($R$2="",100,$R$2)&gt;=設定!$I$28,設定!$G$8,IF(R163/IF($R$2="",100,$R$2)&lt;設定!$I$29,設定!$G$10,設定!$G$9)))</f>
        <v/>
      </c>
      <c r="U163" s="62" t="str">
        <f aca="false">IF(OR($C163="",S163=""),"",IF(S163/IF($S$2="",100,$S$2)&gt;=設定!$I$28,設定!$G$8,IF(S163/IF($S$2="",100,$S$2)&lt;設定!$I$29,設定!$G$10,設定!$G$9)))</f>
        <v/>
      </c>
    </row>
    <row r="164" customFormat="false" ht="21" hidden="false" customHeight="true" outlineLevel="0" collapsed="false">
      <c r="A164" s="91" t="str">
        <f aca="false">IF(名簿!$D164="","",名簿!$B164&amp;"")</f>
        <v/>
      </c>
      <c r="B164" s="91" t="str">
        <f aca="false">IF(名簿!$D164="","",名簿!$C164)</f>
        <v/>
      </c>
      <c r="C164" s="59" t="str">
        <f aca="false">IF(名簿!$D164="","",名簿!$D164&amp;IF(名簿!$F164="転出","（転出）",""))</f>
        <v/>
      </c>
      <c r="D164" s="149"/>
      <c r="E164" s="61" t="str">
        <f aca="false">IF(OR($C164="",名簿!$F164="転出"),"",IF($C$2="学級ごと",$A164,IF($C$2="前の単元と同じ",単元19!$E164&amp;"",$D164&amp;"")))</f>
        <v/>
      </c>
      <c r="F164" s="150"/>
      <c r="G164" s="150"/>
      <c r="H164" s="150"/>
      <c r="I164" s="151"/>
      <c r="J164" s="41" t="str">
        <f aca="false">IF($E164="","",$E164&amp;"|"&amp;COUNTIF($E$5:$E164,$E164))</f>
        <v/>
      </c>
      <c r="K164" s="40" t="str">
        <f aca="false">IF($I164="","",LEN($I164))</f>
        <v/>
      </c>
      <c r="L164" s="13"/>
      <c r="M164" s="13"/>
      <c r="N164" s="13"/>
      <c r="O164" s="13"/>
      <c r="P164" s="152"/>
      <c r="Q164" s="149"/>
      <c r="R164" s="152"/>
      <c r="S164" s="152"/>
      <c r="T164" s="62" t="str">
        <f aca="false">IF(OR($C164="",R164=""),"",IF(R164/IF($R$2="",100,$R$2)&gt;=設定!$I$28,設定!$G$8,IF(R164/IF($R$2="",100,$R$2)&lt;設定!$I$29,設定!$G$10,設定!$G$9)))</f>
        <v/>
      </c>
      <c r="U164" s="62" t="str">
        <f aca="false">IF(OR($C164="",S164=""),"",IF(S164/IF($S$2="",100,$S$2)&gt;=設定!$I$28,設定!$G$8,IF(S164/IF($S$2="",100,$S$2)&lt;設定!$I$29,設定!$G$10,設定!$G$9)))</f>
        <v/>
      </c>
    </row>
  </sheetData>
  <sheetProtection sheet="true" formatColumns="false" formatRows="false" autoFilter="false"/>
  <autoFilter ref="A4:I164"/>
  <mergeCells count="5">
    <mergeCell ref="A1:I1"/>
    <mergeCell ref="R1:U1"/>
    <mergeCell ref="A2:B2"/>
    <mergeCell ref="D2:I2"/>
    <mergeCell ref="T2:U2"/>
  </mergeCells>
  <conditionalFormatting sqref="A5:C164">
    <cfRule type="expression" priority="2" aboveAverage="0" equalAverage="0" bottom="0" percent="0" rank="0" text="" dxfId="37">
      <formula>RIGHT($C5,4)="（転出）"</formula>
    </cfRule>
    <cfRule type="expression" priority="3" aboveAverage="0" equalAverage="0" bottom="0" percent="0" rank="0" text="" dxfId="8">
      <formula>$C5&lt;&gt;""</formula>
    </cfRule>
  </conditionalFormatting>
  <conditionalFormatting sqref="D5:D164">
    <cfRule type="expression" priority="4" aboveAverage="0" equalAverage="0" bottom="0" percent="0" rank="0" text="" dxfId="37">
      <formula>RIGHT($C5,4)="（転出）"</formula>
    </cfRule>
    <cfRule type="expression" priority="5" aboveAverage="0" equalAverage="0" bottom="0" percent="0" rank="0" text="" dxfId="38">
      <formula>AND($C5&lt;&gt;"",$C$2&lt;&gt;"習熟度別")</formula>
    </cfRule>
    <cfRule type="expression" priority="6" aboveAverage="0" equalAverage="0" bottom="0" percent="0" rank="0" text="" dxfId="39">
      <formula>AND($C5&lt;&gt;"",$E5="")</formula>
    </cfRule>
    <cfRule type="expression" priority="7" aboveAverage="0" equalAverage="0" bottom="0" percent="0" rank="0" text="" dxfId="39">
      <formula>AND($C5&lt;&gt;"",$D5&lt;&gt;"",COUNTIF(コース一覧,$D5)=0)</formula>
    </cfRule>
    <cfRule type="expression" priority="8" aboveAverage="0" equalAverage="0" bottom="0" percent="0" rank="0" text="" dxfId="40">
      <formula>AND($C5&lt;&gt;"",$C$2="習熟度別",$Q5&lt;&gt;"",$E5&lt;&gt;"",$Q5&lt;&gt;$E5)</formula>
    </cfRule>
    <cfRule type="expression" priority="9" aboveAverage="0" equalAverage="0" bottom="0" percent="0" rank="0" text="" dxfId="41">
      <formula>$C5&lt;&gt;""</formula>
    </cfRule>
  </conditionalFormatting>
  <conditionalFormatting sqref="E5:E164">
    <cfRule type="expression" priority="10" aboveAverage="0" equalAverage="0" bottom="0" percent="0" rank="0" text="" dxfId="37">
      <formula>RIGHT($C5,4)="（転出）"</formula>
    </cfRule>
    <cfRule type="expression" priority="11" aboveAverage="0" equalAverage="0" bottom="0" percent="0" rank="0" text="" dxfId="42">
      <formula>AND($E5&lt;&gt;"",$E5=$L$2)</formula>
    </cfRule>
    <cfRule type="expression" priority="12" aboveAverage="0" equalAverage="0" bottom="0" percent="0" rank="0" text="" dxfId="43">
      <formula>AND($E5&lt;&gt;"",$E5=$L$3)</formula>
    </cfRule>
    <cfRule type="expression" priority="13" aboveAverage="0" equalAverage="0" bottom="0" percent="0" rank="0" text="" dxfId="44">
      <formula>AND($E5&lt;&gt;"",$E5=$L$4)</formula>
    </cfRule>
    <cfRule type="expression" priority="14" aboveAverage="0" equalAverage="0" bottom="0" percent="0" rank="0" text="" dxfId="45">
      <formula>AND($E5&lt;&gt;"",$E5=$L$5)</formula>
    </cfRule>
    <cfRule type="expression" priority="15" aboveAverage="0" equalAverage="0" bottom="0" percent="0" rank="0" text="" dxfId="46">
      <formula>AND($E5&lt;&gt;"",$E5=$L$6)</formula>
    </cfRule>
    <cfRule type="expression" priority="16" aboveAverage="0" equalAverage="0" bottom="0" percent="0" rank="0" text="" dxfId="8">
      <formula>$C5&lt;&gt;""</formula>
    </cfRule>
  </conditionalFormatting>
  <conditionalFormatting sqref="F5:H164">
    <cfRule type="expression" priority="17" aboveAverage="0" equalAverage="0" bottom="0" percent="0" rank="0" text="" dxfId="37">
      <formula>RIGHT($C5,4)="（転出）"</formula>
    </cfRule>
    <cfRule type="expression" priority="18" aboveAverage="0" equalAverage="0" bottom="0" percent="0" rank="0" text="" dxfId="12">
      <formula>AND(F5&lt;&gt;"",F5=設定!$G$10)</formula>
    </cfRule>
    <cfRule type="expression" priority="19" aboveAverage="0" equalAverage="0" bottom="0" percent="0" rank="0" text="" dxfId="47">
      <formula>AND(F5&lt;&gt;"",F5=設定!$G$8)</formula>
    </cfRule>
    <cfRule type="expression" priority="20" aboveAverage="0" equalAverage="0" bottom="0" percent="0" rank="0" text="" dxfId="41">
      <formula>AND($C5&lt;&gt;"",$E5&lt;&gt;"")</formula>
    </cfRule>
    <cfRule type="expression" priority="21" aboveAverage="0" equalAverage="0" bottom="0" percent="0" rank="0" text="" dxfId="8">
      <formula>$C5&lt;&gt;""</formula>
    </cfRule>
  </conditionalFormatting>
  <conditionalFormatting sqref="I5:I164">
    <cfRule type="expression" priority="22" aboveAverage="0" equalAverage="0" bottom="0" percent="0" rank="0" text="" dxfId="37">
      <formula>RIGHT($C5,4)="（転出）"</formula>
    </cfRule>
    <cfRule type="expression" priority="23" aboveAverage="0" equalAverage="0" bottom="0" percent="0" rank="0" text="" dxfId="48">
      <formula>AND($C5&lt;&gt;"",$I5&lt;&gt;"",ISNUMBER(設定!$I$22),LEN($I5)&gt;設定!$I$22)</formula>
    </cfRule>
    <cfRule type="expression" priority="24" aboveAverage="0" equalAverage="0" bottom="0" percent="0" rank="0" text="" dxfId="41">
      <formula>AND($C5&lt;&gt;"",$E5&lt;&gt;"")</formula>
    </cfRule>
    <cfRule type="expression" priority="25" aboveAverage="0" equalAverage="0" bottom="0" percent="0" rank="0" text="" dxfId="8">
      <formula>$C5&lt;&gt;""</formula>
    </cfRule>
  </conditionalFormatting>
  <conditionalFormatting sqref="K5:K164">
    <cfRule type="expression" priority="26" aboveAverage="0" equalAverage="0" bottom="0" percent="0" rank="0" text="" dxfId="49">
      <formula>AND($K5&lt;&gt;"",ISNUMBER(設定!$I$22),$K5&gt;設定!$I$22)</formula>
    </cfRule>
    <cfRule type="expression" priority="27" aboveAverage="0" equalAverage="0" bottom="0" percent="0" rank="0" text="" dxfId="50">
      <formula>$C5&lt;&gt;""</formula>
    </cfRule>
  </conditionalFormatting>
  <conditionalFormatting sqref="P5:P164">
    <cfRule type="expression" priority="28" aboveAverage="0" equalAverage="0" bottom="0" percent="0" rank="0" text="" dxfId="41">
      <formula>$C5&lt;&gt;""</formula>
    </cfRule>
  </conditionalFormatting>
  <conditionalFormatting sqref="R5:R164">
    <cfRule type="expression" priority="29" aboveAverage="0" equalAverage="0" bottom="0" percent="0" rank="0" text="" dxfId="49">
      <formula>AND($C5&lt;&gt;"",$R5&lt;&gt;"",$R$2&lt;&gt;"",$R5&gt;$R$2)</formula>
    </cfRule>
    <cfRule type="expression" priority="30" aboveAverage="0" equalAverage="0" bottom="0" percent="0" rank="0" text="" dxfId="41">
      <formula>$C5&lt;&gt;""</formula>
    </cfRule>
  </conditionalFormatting>
  <conditionalFormatting sqref="S5:S164">
    <cfRule type="expression" priority="31" aboveAverage="0" equalAverage="0" bottom="0" percent="0" rank="0" text="" dxfId="49">
      <formula>AND($C5&lt;&gt;"",$S5&lt;&gt;"",$S$2&lt;&gt;"",$S5&gt;$S$2)</formula>
    </cfRule>
    <cfRule type="expression" priority="32" aboveAverage="0" equalAverage="0" bottom="0" percent="0" rank="0" text="" dxfId="41">
      <formula>$C5&lt;&gt;""</formula>
    </cfRule>
  </conditionalFormatting>
  <conditionalFormatting sqref="T5:U164">
    <cfRule type="expression" priority="33" aboveAverage="0" equalAverage="0" bottom="0" percent="0" rank="0" text="" dxfId="12">
      <formula>AND(T5&lt;&gt;"",T5=設定!$G$10)</formula>
    </cfRule>
    <cfRule type="expression" priority="34" aboveAverage="0" equalAverage="0" bottom="0" percent="0" rank="0" text="" dxfId="51">
      <formula>AND(T5&lt;&gt;"",T5=設定!$G$8)</formula>
    </cfRule>
    <cfRule type="expression" priority="35" aboveAverage="0" equalAverage="0" bottom="0" percent="0" rank="0" text="" dxfId="19">
      <formula>$C5&lt;&gt;""</formula>
    </cfRule>
  </conditionalFormatting>
  <conditionalFormatting sqref="Q5:Q164">
    <cfRule type="expression" priority="36" aboveAverage="0" equalAverage="0" bottom="0" percent="0" rank="0" text="" dxfId="40">
      <formula>AND($C5&lt;&gt;"",$Q5&lt;&gt;"",$E5&lt;&gt;"",$Q5&lt;&gt;$E5)</formula>
    </cfRule>
    <cfRule type="expression" priority="37" aboveAverage="0" equalAverage="0" bottom="0" percent="0" rank="0" text="" dxfId="41">
      <formula>$C5&lt;&gt;""</formula>
    </cfRule>
  </conditionalFormatting>
  <conditionalFormatting sqref="L2:N2">
    <cfRule type="expression" priority="38" aboveAverage="0" equalAverage="0" bottom="0" percent="0" rank="0" text="" dxfId="14">
      <formula>$L2=""</formula>
    </cfRule>
  </conditionalFormatting>
  <conditionalFormatting sqref="L3:N3">
    <cfRule type="expression" priority="39" aboveAverage="0" equalAverage="0" bottom="0" percent="0" rank="0" text="" dxfId="14">
      <formula>$L3=""</formula>
    </cfRule>
  </conditionalFormatting>
  <conditionalFormatting sqref="L4:N4">
    <cfRule type="expression" priority="40" aboveAverage="0" equalAverage="0" bottom="0" percent="0" rank="0" text="" dxfId="14">
      <formula>$L4=""</formula>
    </cfRule>
  </conditionalFormatting>
  <conditionalFormatting sqref="L5:N5">
    <cfRule type="expression" priority="41" aboveAverage="0" equalAverage="0" bottom="0" percent="0" rank="0" text="" dxfId="14">
      <formula>$L5=""</formula>
    </cfRule>
  </conditionalFormatting>
  <conditionalFormatting sqref="L6:N6">
    <cfRule type="expression" priority="42" aboveAverage="0" equalAverage="0" bottom="0" percent="0" rank="0" text="" dxfId="14">
      <formula>$L6=""</formula>
    </cfRule>
  </conditionalFormatting>
  <conditionalFormatting sqref="N7">
    <cfRule type="expression" priority="43" aboveAverage="0" equalAverage="0" bottom="0" percent="0" rank="0" text="" dxfId="52">
      <formula>$N$7=0</formula>
    </cfRule>
  </conditionalFormatting>
  <dataValidations count="6">
    <dataValidation allowBlank="true" error="点数（数字）を入力してください。" errorStyle="stop" operator="between" showDropDown="false" showErrorMessage="true" showInputMessage="false" sqref="R2:S2 P5:P164 R5:S164" type="decimal">
      <formula1>0</formula1>
      <formula2>1000</formula2>
    </dataValidation>
    <dataValidation allowBlank="false" error="一覧から選んでください。" errorStyle="stop" errorTitle="入力エラー" operator="between" showDropDown="false" showErrorMessage="true" showInputMessage="false" sqref="C2" type="list">
      <formula1>"習熟度別,前の単元と同じ,学級ごと"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D5:D164" type="list">
      <formula1>コース一覧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Q5:Q164" type="list">
      <formula1>コース一覧</formula1>
      <formula2>0</formula2>
    </dataValidation>
    <dataValidation allowBlank="true" error="設定シートの評価記号（A/B/C）から選んでください。" errorStyle="stop" errorTitle="入力エラー" operator="between" showDropDown="false" showErrorMessage="true" showInputMessage="false" sqref="F5:H164" type="list">
      <formula1>評価記号</formula1>
      <formula2>0</formula2>
    </dataValidation>
    <dataValidation allowBlank="true" error="一覧から選んでください。" errorStyle="stop" errorTitle="入力エラー" operator="between" showDropDown="false" showErrorMessage="true" showInputMessage="false" sqref="M2:M6" type="list">
      <formula1>担当者一覧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2026-09-28T22:03:49Z</dcterms:created>
  <dc:creator>openpyxl</dc:creator>
  <dc:description/>
  <dc:language>en-US</dc:language>
  <cp:lastModifiedBy/>
  <dcterms:modified xsi:type="dcterms:W3CDTF">2026-09-29T07:03:57Z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